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81c447d7e734d44/Firma/Rozpočty/2021/02_Domov pro seniory Litomysl (Deltaplan Stepan)/rozpocet/_vypocty/"/>
    </mc:Choice>
  </mc:AlternateContent>
  <xr:revisionPtr revIDLastSave="2126" documentId="8_{BF16233D-5AD8-4E90-831D-4A15CDD155F1}" xr6:coauthVersionLast="47" xr6:coauthVersionMax="47" xr10:uidLastSave="{5EA809F5-A9F2-47B0-9342-AFFDBA9B72C7}"/>
  <bookViews>
    <workbookView xWindow="25800" yWindow="0" windowWidth="25800" windowHeight="21000" tabRatio="888" activeTab="1" xr2:uid="{F957F52A-736B-4987-B368-D2DF2DD827F2}"/>
  </bookViews>
  <sheets>
    <sheet name="A8_Fasáda" sheetId="18" r:id="rId1"/>
    <sheet name="A8_Rekapitulace" sheetId="19" r:id="rId2"/>
  </sheets>
  <definedNames>
    <definedName name="_xlnm._FilterDatabase" localSheetId="0" hidden="1">A8_Fasáda!$A$2:$AG$284</definedName>
    <definedName name="fasada.F1">A8_Rekapitulace!$G$6</definedName>
    <definedName name="fasada.f10">A8_Rekapitulace!$G$23</definedName>
    <definedName name="fasada.f11">A8_Rekapitulace!$G$24</definedName>
    <definedName name="fasada.f12">A8_Rekapitulace!$G$25</definedName>
    <definedName name="fasada.F13">A8_Rekapitulace!$G$26</definedName>
    <definedName name="fasada.F2">A8_Rekapitulace!$G$7</definedName>
    <definedName name="fasada.F3">A8_Rekapitulace!$G$8</definedName>
    <definedName name="fasada.F4_1">A8_Rekapitulace!$G$10</definedName>
    <definedName name="fasada.F4_2">A8_Rekapitulace!$G$11</definedName>
    <definedName name="fasada.F5_1">A8_Rekapitulace!$G$13</definedName>
    <definedName name="fasada.F5_2">A8_Rekapitulace!$G$14</definedName>
    <definedName name="fasada.F6">A8_Rekapitulace!$G$15</definedName>
    <definedName name="fasada.F6_1">A8_Rekapitulace!$G$16</definedName>
    <definedName name="fasada.F6_2">A8_Rekapitulace!$G$17</definedName>
    <definedName name="fasada.F6_3">A8_Rekapitulace!$G$18</definedName>
    <definedName name="fasada.F7">A8_Rekapitulace!$G$19</definedName>
    <definedName name="fasada.F7_1">A8_Rekapitulace!$G$20</definedName>
    <definedName name="fasada.f8">A8_Rekapitulace!$G$21</definedName>
    <definedName name="fasada.F9">A8_Rekapitulace!$G$22</definedName>
    <definedName name="_xlnm.Print_Titles" localSheetId="0">A8_Fasáda!$3:$9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83" i="18" l="1"/>
  <c r="L283" i="18"/>
  <c r="AB283" i="18"/>
  <c r="K269" i="18"/>
  <c r="L269" i="18"/>
  <c r="AB269" i="18" s="1"/>
  <c r="AF283" i="18"/>
  <c r="AE283" i="18"/>
  <c r="AD283" i="18"/>
  <c r="AC283" i="18"/>
  <c r="AF271" i="18"/>
  <c r="AE271" i="18"/>
  <c r="AD271" i="18"/>
  <c r="AC271" i="18"/>
  <c r="AF270" i="18"/>
  <c r="AE270" i="18"/>
  <c r="AD270" i="18"/>
  <c r="AC270" i="18"/>
  <c r="AB270" i="18"/>
  <c r="AF269" i="18"/>
  <c r="AE269" i="18"/>
  <c r="AD269" i="18"/>
  <c r="AC269" i="18"/>
  <c r="AF258" i="18"/>
  <c r="AD258" i="18"/>
  <c r="AC258" i="18"/>
  <c r="AF257" i="18"/>
  <c r="AD257" i="18"/>
  <c r="AC257" i="18"/>
  <c r="AB257" i="18"/>
  <c r="AF256" i="18"/>
  <c r="AD256" i="18"/>
  <c r="AC256" i="18"/>
  <c r="AB256" i="18"/>
  <c r="AF255" i="18"/>
  <c r="AD255" i="18"/>
  <c r="AC255" i="18"/>
  <c r="AB255" i="18"/>
  <c r="AF254" i="18"/>
  <c r="AD254" i="18"/>
  <c r="AC254" i="18"/>
  <c r="AB254" i="18"/>
  <c r="AF253" i="18"/>
  <c r="AD253" i="18"/>
  <c r="AC253" i="18"/>
  <c r="AF252" i="18"/>
  <c r="AD252" i="18"/>
  <c r="AC252" i="18"/>
  <c r="L251" i="18"/>
  <c r="K253" i="18"/>
  <c r="K251" i="18"/>
  <c r="AF251" i="18"/>
  <c r="AD251" i="18"/>
  <c r="AC251" i="18"/>
  <c r="L253" i="18"/>
  <c r="L252" i="18"/>
  <c r="L193" i="18"/>
  <c r="K193" i="18"/>
  <c r="K192" i="18"/>
  <c r="L192" i="18"/>
  <c r="AF195" i="18"/>
  <c r="AE195" i="18"/>
  <c r="AD195" i="18"/>
  <c r="AC195" i="18"/>
  <c r="AB195" i="18"/>
  <c r="AF194" i="18"/>
  <c r="AE194" i="18"/>
  <c r="AD194" i="18"/>
  <c r="AC194" i="18"/>
  <c r="AB194" i="18"/>
  <c r="AF193" i="18"/>
  <c r="AE193" i="18"/>
  <c r="AD193" i="18"/>
  <c r="AC193" i="18"/>
  <c r="AF192" i="18"/>
  <c r="AE192" i="18"/>
  <c r="AD192" i="18"/>
  <c r="AC192" i="18"/>
  <c r="AB192" i="18"/>
  <c r="K129" i="18"/>
  <c r="L129" i="18"/>
  <c r="AF131" i="18"/>
  <c r="AD131" i="18"/>
  <c r="AC131" i="18"/>
  <c r="AB131" i="18"/>
  <c r="AF130" i="18"/>
  <c r="AD130" i="18"/>
  <c r="AC130" i="18"/>
  <c r="AB130" i="18"/>
  <c r="AF129" i="18"/>
  <c r="AD129" i="18"/>
  <c r="AC129" i="18"/>
  <c r="K71" i="18"/>
  <c r="K72" i="18"/>
  <c r="L72" i="18"/>
  <c r="L71" i="18"/>
  <c r="AF74" i="18"/>
  <c r="AE74" i="18"/>
  <c r="AD74" i="18"/>
  <c r="AC74" i="18"/>
  <c r="AB74" i="18"/>
  <c r="AF73" i="18"/>
  <c r="AE73" i="18"/>
  <c r="AD73" i="18"/>
  <c r="AC73" i="18"/>
  <c r="AB73" i="18"/>
  <c r="AF72" i="18"/>
  <c r="AE72" i="18"/>
  <c r="AD72" i="18"/>
  <c r="AC72" i="18"/>
  <c r="AF75" i="18"/>
  <c r="AE75" i="18"/>
  <c r="AD75" i="18"/>
  <c r="AC75" i="18"/>
  <c r="AF71" i="18"/>
  <c r="AE71" i="18"/>
  <c r="AD71" i="18"/>
  <c r="AC71" i="18"/>
  <c r="T72" i="19"/>
  <c r="S72" i="19"/>
  <c r="R72" i="19"/>
  <c r="P72" i="19"/>
  <c r="M54" i="19"/>
  <c r="L53" i="19"/>
  <c r="J54" i="19"/>
  <c r="I53" i="19"/>
  <c r="M47" i="19"/>
  <c r="M46" i="19"/>
  <c r="M45" i="19"/>
  <c r="M44" i="19"/>
  <c r="L47" i="19"/>
  <c r="L46" i="19"/>
  <c r="L45" i="19"/>
  <c r="L44" i="19"/>
  <c r="T74" i="19"/>
  <c r="T73" i="19"/>
  <c r="T71" i="19"/>
  <c r="G71" i="19" s="1"/>
  <c r="S74" i="19"/>
  <c r="S73" i="19"/>
  <c r="S70" i="19"/>
  <c r="G70" i="19" s="1"/>
  <c r="R74" i="19"/>
  <c r="R73" i="19"/>
  <c r="R69" i="19"/>
  <c r="G69" i="19" s="1"/>
  <c r="P67" i="19"/>
  <c r="G67" i="19" s="1"/>
  <c r="P74" i="19"/>
  <c r="P73" i="19"/>
  <c r="N62" i="19"/>
  <c r="G62" i="19" s="1"/>
  <c r="J42" i="19"/>
  <c r="I42" i="19"/>
  <c r="G22" i="19"/>
  <c r="Q73" i="19" s="1"/>
  <c r="U63" i="19"/>
  <c r="U61" i="19"/>
  <c r="U60" i="19"/>
  <c r="O60" i="19"/>
  <c r="O59" i="19"/>
  <c r="O63" i="19"/>
  <c r="O57" i="19"/>
  <c r="O56" i="19"/>
  <c r="M63" i="19"/>
  <c r="J63" i="19"/>
  <c r="N64" i="19"/>
  <c r="G64" i="19" s="1"/>
  <c r="N63" i="19"/>
  <c r="N60" i="19"/>
  <c r="N61" i="19"/>
  <c r="M55" i="19"/>
  <c r="M52" i="19"/>
  <c r="G52" i="19" s="1"/>
  <c r="M51" i="19"/>
  <c r="L50" i="19"/>
  <c r="G50" i="19" s="1"/>
  <c r="L49" i="19"/>
  <c r="K58" i="19"/>
  <c r="K57" i="19"/>
  <c r="K56" i="19"/>
  <c r="J55" i="19"/>
  <c r="J51" i="19"/>
  <c r="J46" i="19"/>
  <c r="J43" i="19"/>
  <c r="I49" i="19"/>
  <c r="I46" i="19"/>
  <c r="I43" i="19"/>
  <c r="G75" i="19"/>
  <c r="AB251" i="18" l="1"/>
  <c r="AB253" i="18"/>
  <c r="K252" i="18"/>
  <c r="AB252" i="18" s="1"/>
  <c r="AB72" i="18"/>
  <c r="AB193" i="18"/>
  <c r="AB129" i="18"/>
  <c r="AB71" i="18"/>
  <c r="G53" i="19"/>
  <c r="Q72" i="19"/>
  <c r="G72" i="19" s="1"/>
  <c r="G54" i="19"/>
  <c r="G46" i="19"/>
  <c r="G47" i="19"/>
  <c r="G45" i="19"/>
  <c r="G42" i="19"/>
  <c r="Q68" i="19"/>
  <c r="G68" i="19" s="1"/>
  <c r="Q74" i="19"/>
  <c r="G74" i="19" s="1"/>
  <c r="G73" i="19"/>
  <c r="G44" i="19"/>
  <c r="G56" i="19"/>
  <c r="G61" i="19"/>
  <c r="G60" i="19"/>
  <c r="G63" i="19"/>
  <c r="G55" i="19"/>
  <c r="G51" i="19"/>
  <c r="G49" i="19"/>
  <c r="G43" i="19"/>
  <c r="G58" i="19"/>
  <c r="G59" i="19"/>
  <c r="G57" i="19"/>
  <c r="L93" i="18" l="1"/>
  <c r="AB93" i="18" s="1"/>
  <c r="L92" i="18"/>
  <c r="L88" i="18"/>
  <c r="K92" i="18"/>
  <c r="L91" i="18"/>
  <c r="AB91" i="18" s="1"/>
  <c r="AF148" i="18"/>
  <c r="AE148" i="18"/>
  <c r="AD148" i="18"/>
  <c r="AC148" i="18"/>
  <c r="AF147" i="18"/>
  <c r="AE147" i="18"/>
  <c r="AD147" i="18"/>
  <c r="AC147" i="18"/>
  <c r="AF146" i="18"/>
  <c r="AE146" i="18"/>
  <c r="AD146" i="18"/>
  <c r="AC146" i="18"/>
  <c r="AF145" i="18"/>
  <c r="AE145" i="18"/>
  <c r="AD145" i="18"/>
  <c r="AC145" i="18"/>
  <c r="AF144" i="18"/>
  <c r="AE144" i="18"/>
  <c r="AD144" i="18"/>
  <c r="AC144" i="18"/>
  <c r="AF94" i="18"/>
  <c r="AE94" i="18"/>
  <c r="AD94" i="18"/>
  <c r="AC94" i="18"/>
  <c r="AF93" i="18"/>
  <c r="AE93" i="18"/>
  <c r="AD93" i="18"/>
  <c r="AC93" i="18"/>
  <c r="AF92" i="18"/>
  <c r="AE92" i="18"/>
  <c r="AD92" i="18"/>
  <c r="AC92" i="18"/>
  <c r="AF91" i="18"/>
  <c r="AE91" i="18"/>
  <c r="AD91" i="18"/>
  <c r="AC91" i="18"/>
  <c r="L147" i="18"/>
  <c r="L146" i="18"/>
  <c r="AB146" i="18" s="1"/>
  <c r="K147" i="18"/>
  <c r="K145" i="18"/>
  <c r="K144" i="18"/>
  <c r="L145" i="18"/>
  <c r="L144" i="18"/>
  <c r="K143" i="18"/>
  <c r="L143" i="18"/>
  <c r="K142" i="18"/>
  <c r="L142" i="18"/>
  <c r="AF143" i="18"/>
  <c r="AE143" i="18"/>
  <c r="AD143" i="18"/>
  <c r="AC143" i="18"/>
  <c r="AF142" i="18"/>
  <c r="AE142" i="18"/>
  <c r="AD142" i="18"/>
  <c r="AC142" i="18"/>
  <c r="AB147" i="18" l="1"/>
  <c r="AB145" i="18"/>
  <c r="AB92" i="18"/>
  <c r="AB144" i="18"/>
  <c r="AB143" i="18"/>
  <c r="AB142" i="18"/>
  <c r="K141" i="18"/>
  <c r="L141" i="18"/>
  <c r="AF141" i="18"/>
  <c r="AE141" i="18"/>
  <c r="AD141" i="18"/>
  <c r="AC141" i="18"/>
  <c r="L140" i="18"/>
  <c r="AB140" i="18" s="1"/>
  <c r="AF140" i="18"/>
  <c r="AE140" i="18"/>
  <c r="AD140" i="18"/>
  <c r="AC140" i="18"/>
  <c r="K139" i="18"/>
  <c r="L139" i="18"/>
  <c r="K138" i="18"/>
  <c r="L138" i="18"/>
  <c r="AF138" i="18"/>
  <c r="AE138" i="18"/>
  <c r="AD138" i="18"/>
  <c r="AC138" i="18"/>
  <c r="V87" i="18"/>
  <c r="K87" i="18"/>
  <c r="L87" i="18"/>
  <c r="AF87" i="18"/>
  <c r="AE87" i="18"/>
  <c r="AD87" i="18"/>
  <c r="AC87" i="18"/>
  <c r="AF139" i="18"/>
  <c r="AE139" i="18"/>
  <c r="AD139" i="18"/>
  <c r="AC139" i="18"/>
  <c r="L90" i="18"/>
  <c r="AB90" i="18" s="1"/>
  <c r="K89" i="18"/>
  <c r="AB88" i="18"/>
  <c r="L89" i="18"/>
  <c r="L86" i="18"/>
  <c r="K86" i="18"/>
  <c r="AF90" i="18"/>
  <c r="AE90" i="18"/>
  <c r="AD90" i="18"/>
  <c r="AC90" i="18"/>
  <c r="AF89" i="18"/>
  <c r="AE89" i="18"/>
  <c r="AD89" i="18"/>
  <c r="AC89" i="18"/>
  <c r="AF88" i="18"/>
  <c r="AE88" i="18"/>
  <c r="AD88" i="18"/>
  <c r="AC88" i="18"/>
  <c r="K85" i="18"/>
  <c r="L85" i="18"/>
  <c r="K84" i="18"/>
  <c r="L84" i="18"/>
  <c r="K83" i="18"/>
  <c r="L83" i="18"/>
  <c r="AF86" i="18"/>
  <c r="AE86" i="18"/>
  <c r="AD86" i="18"/>
  <c r="AC86" i="18"/>
  <c r="AF85" i="18"/>
  <c r="AE85" i="18"/>
  <c r="AD85" i="18"/>
  <c r="AC85" i="18"/>
  <c r="AF84" i="18"/>
  <c r="AE84" i="18"/>
  <c r="AD84" i="18"/>
  <c r="AC84" i="18"/>
  <c r="L82" i="18"/>
  <c r="AB82" i="18" s="1"/>
  <c r="K81" i="18"/>
  <c r="K80" i="18"/>
  <c r="L80" i="18"/>
  <c r="L81" i="18"/>
  <c r="AF83" i="18"/>
  <c r="AE83" i="18"/>
  <c r="AD83" i="18"/>
  <c r="AC83" i="18"/>
  <c r="AF82" i="18"/>
  <c r="AE82" i="18"/>
  <c r="AD82" i="18"/>
  <c r="AC82" i="18"/>
  <c r="AF81" i="18"/>
  <c r="AE81" i="18"/>
  <c r="AD81" i="18"/>
  <c r="AC81" i="18"/>
  <c r="AF80" i="18"/>
  <c r="AE80" i="18"/>
  <c r="AD80" i="18"/>
  <c r="AC80" i="18"/>
  <c r="L206" i="18"/>
  <c r="K206" i="18"/>
  <c r="U14" i="18"/>
  <c r="U201" i="18"/>
  <c r="T201" i="18"/>
  <c r="T14" i="18"/>
  <c r="K21" i="18"/>
  <c r="K205" i="18"/>
  <c r="K204" i="18"/>
  <c r="L205" i="18"/>
  <c r="L204" i="18"/>
  <c r="L21" i="18"/>
  <c r="L203" i="18"/>
  <c r="K202" i="18"/>
  <c r="K203" i="18" s="1"/>
  <c r="L202" i="18"/>
  <c r="AF206" i="18"/>
  <c r="AE206" i="18"/>
  <c r="AD206" i="18"/>
  <c r="AC206" i="18"/>
  <c r="AF205" i="18"/>
  <c r="AE205" i="18"/>
  <c r="AD205" i="18"/>
  <c r="AC205" i="18"/>
  <c r="AF204" i="18"/>
  <c r="AE204" i="18"/>
  <c r="AD204" i="18"/>
  <c r="AC204" i="18"/>
  <c r="AF203" i="18"/>
  <c r="AE203" i="18"/>
  <c r="AD203" i="18"/>
  <c r="AC203" i="18"/>
  <c r="AF202" i="18"/>
  <c r="AE202" i="18"/>
  <c r="AD202" i="18"/>
  <c r="AC202" i="18"/>
  <c r="AB89" i="18" l="1"/>
  <c r="AB87" i="18"/>
  <c r="AB139" i="18"/>
  <c r="AB141" i="18"/>
  <c r="AB138" i="18"/>
  <c r="AB204" i="18"/>
  <c r="AB84" i="18"/>
  <c r="AB86" i="18"/>
  <c r="AB81" i="18"/>
  <c r="AB83" i="18"/>
  <c r="AB85" i="18"/>
  <c r="AB206" i="18"/>
  <c r="AB80" i="18"/>
  <c r="AB205" i="18"/>
  <c r="AB203" i="18"/>
  <c r="AB202" i="18"/>
  <c r="L137" i="18"/>
  <c r="K137" i="18"/>
  <c r="L136" i="18"/>
  <c r="L135" i="18"/>
  <c r="L134" i="18"/>
  <c r="K135" i="18"/>
  <c r="K136" i="18"/>
  <c r="K134" i="18"/>
  <c r="K133" i="18"/>
  <c r="K132" i="18"/>
  <c r="L133" i="18"/>
  <c r="L132" i="18"/>
  <c r="AF149" i="18"/>
  <c r="AE149" i="18"/>
  <c r="AD149" i="18"/>
  <c r="AC149" i="18"/>
  <c r="AB149" i="18"/>
  <c r="AF137" i="18"/>
  <c r="AE137" i="18"/>
  <c r="AD137" i="18"/>
  <c r="AC137" i="18"/>
  <c r="AF136" i="18"/>
  <c r="AE136" i="18"/>
  <c r="AD136" i="18"/>
  <c r="AC136" i="18"/>
  <c r="AF135" i="18"/>
  <c r="AE135" i="18"/>
  <c r="AD135" i="18"/>
  <c r="AC135" i="18"/>
  <c r="AF134" i="18"/>
  <c r="AE134" i="18"/>
  <c r="AD134" i="18"/>
  <c r="AC134" i="18"/>
  <c r="AF133" i="18"/>
  <c r="AE133" i="18"/>
  <c r="AD133" i="18"/>
  <c r="AC133" i="18"/>
  <c r="AF132" i="18"/>
  <c r="AE132" i="18"/>
  <c r="AD132" i="18"/>
  <c r="AC132" i="18"/>
  <c r="K76" i="18"/>
  <c r="L78" i="18"/>
  <c r="AB78" i="18" s="1"/>
  <c r="L76" i="18"/>
  <c r="AF76" i="18"/>
  <c r="AE76" i="18"/>
  <c r="AD76" i="18"/>
  <c r="AC76" i="18"/>
  <c r="AF79" i="18"/>
  <c r="AE79" i="18"/>
  <c r="AD79" i="18"/>
  <c r="AC79" i="18"/>
  <c r="L79" i="18"/>
  <c r="K79" i="18"/>
  <c r="L77" i="18"/>
  <c r="K75" i="18"/>
  <c r="L75" i="18"/>
  <c r="AF78" i="18"/>
  <c r="AE78" i="18"/>
  <c r="AD78" i="18"/>
  <c r="AC78" i="18"/>
  <c r="AF77" i="18"/>
  <c r="AE77" i="18"/>
  <c r="AD77" i="18"/>
  <c r="AC77" i="18"/>
  <c r="AF21" i="18"/>
  <c r="AE21" i="18"/>
  <c r="AD21" i="18"/>
  <c r="AC21" i="18"/>
  <c r="AB21" i="18"/>
  <c r="L20" i="18"/>
  <c r="L19" i="18"/>
  <c r="AB19" i="18" s="1"/>
  <c r="K20" i="18"/>
  <c r="L18" i="18"/>
  <c r="K18" i="18"/>
  <c r="L17" i="18"/>
  <c r="AB17" i="18" s="1"/>
  <c r="AF19" i="18"/>
  <c r="AE19" i="18"/>
  <c r="AD19" i="18"/>
  <c r="AC19" i="18"/>
  <c r="AF20" i="18"/>
  <c r="AE20" i="18"/>
  <c r="AD20" i="18"/>
  <c r="AC20" i="18"/>
  <c r="AF18" i="18"/>
  <c r="AE18" i="18"/>
  <c r="AD18" i="18"/>
  <c r="AC18" i="18"/>
  <c r="AF17" i="18"/>
  <c r="AE17" i="18"/>
  <c r="AD17" i="18"/>
  <c r="AC17" i="18"/>
  <c r="AB284" i="18"/>
  <c r="AC284" i="18"/>
  <c r="AD284" i="18"/>
  <c r="AE284" i="18"/>
  <c r="AF284" i="18"/>
  <c r="AB75" i="18" l="1"/>
  <c r="AB132" i="18"/>
  <c r="AB137" i="18"/>
  <c r="AB76" i="18"/>
  <c r="AB133" i="18"/>
  <c r="AB135" i="18"/>
  <c r="AB136" i="18"/>
  <c r="AB134" i="18"/>
  <c r="AB79" i="18"/>
  <c r="AB77" i="18"/>
  <c r="AB18" i="18"/>
  <c r="AB20" i="18"/>
  <c r="P280" i="18"/>
  <c r="AE280" i="18" s="1"/>
  <c r="P278" i="18"/>
  <c r="AE278" i="18" s="1"/>
  <c r="K273" i="18"/>
  <c r="AB273" i="18" s="1"/>
  <c r="K272" i="18"/>
  <c r="K271" i="18"/>
  <c r="P274" i="18"/>
  <c r="AE274" i="18" s="1"/>
  <c r="L274" i="18"/>
  <c r="K274" i="18"/>
  <c r="L271" i="18"/>
  <c r="AF282" i="18"/>
  <c r="AE282" i="18"/>
  <c r="AD282" i="18"/>
  <c r="AC282" i="18"/>
  <c r="AB282" i="18"/>
  <c r="AF281" i="18"/>
  <c r="AE281" i="18"/>
  <c r="AD281" i="18"/>
  <c r="AC281" i="18"/>
  <c r="AB281" i="18"/>
  <c r="AF280" i="18"/>
  <c r="AD280" i="18"/>
  <c r="AC280" i="18"/>
  <c r="AF279" i="18"/>
  <c r="AE279" i="18"/>
  <c r="AD279" i="18"/>
  <c r="AC279" i="18"/>
  <c r="AB279" i="18"/>
  <c r="AF278" i="18"/>
  <c r="AD278" i="18"/>
  <c r="AC278" i="18"/>
  <c r="AF277" i="18"/>
  <c r="AE277" i="18"/>
  <c r="AD277" i="18"/>
  <c r="AC277" i="18"/>
  <c r="AB277" i="18"/>
  <c r="AF276" i="18"/>
  <c r="AE276" i="18"/>
  <c r="AD276" i="18"/>
  <c r="AC276" i="18"/>
  <c r="AB276" i="18"/>
  <c r="AF275" i="18"/>
  <c r="AE275" i="18"/>
  <c r="AD275" i="18"/>
  <c r="AC275" i="18"/>
  <c r="AB275" i="18"/>
  <c r="AF274" i="18"/>
  <c r="AD274" i="18"/>
  <c r="AC274" i="18"/>
  <c r="AF273" i="18"/>
  <c r="AE273" i="18"/>
  <c r="AD273" i="18"/>
  <c r="AC273" i="18"/>
  <c r="P264" i="18"/>
  <c r="P261" i="18"/>
  <c r="K261" i="18"/>
  <c r="L261" i="18"/>
  <c r="K259" i="18"/>
  <c r="K258" i="18"/>
  <c r="K260" i="18"/>
  <c r="L258" i="18"/>
  <c r="AB271" i="18" l="1"/>
  <c r="AB258" i="18"/>
  <c r="AB278" i="18"/>
  <c r="AB280" i="18"/>
  <c r="AB274" i="18"/>
  <c r="AF268" i="18"/>
  <c r="AE268" i="18"/>
  <c r="AD268" i="18"/>
  <c r="AC268" i="18"/>
  <c r="AB268" i="18"/>
  <c r="AF267" i="18"/>
  <c r="AE267" i="18"/>
  <c r="AD267" i="18"/>
  <c r="AC267" i="18"/>
  <c r="AB267" i="18"/>
  <c r="AF266" i="18"/>
  <c r="AE266" i="18"/>
  <c r="AD266" i="18"/>
  <c r="AC266" i="18"/>
  <c r="AB266" i="18"/>
  <c r="AF265" i="18"/>
  <c r="AE265" i="18"/>
  <c r="AD265" i="18"/>
  <c r="AC265" i="18"/>
  <c r="AB265" i="18"/>
  <c r="AF264" i="18"/>
  <c r="AE264" i="18"/>
  <c r="AD264" i="18"/>
  <c r="AC264" i="18"/>
  <c r="AB264" i="18"/>
  <c r="AF263" i="18"/>
  <c r="AE263" i="18"/>
  <c r="AD263" i="18"/>
  <c r="AC263" i="18"/>
  <c r="AB263" i="18"/>
  <c r="AF262" i="18"/>
  <c r="AE262" i="18"/>
  <c r="AD262" i="18"/>
  <c r="AC262" i="18"/>
  <c r="AB262" i="18"/>
  <c r="AF261" i="18"/>
  <c r="AE261" i="18"/>
  <c r="AD261" i="18"/>
  <c r="AC261" i="18"/>
  <c r="AB261" i="18"/>
  <c r="AF260" i="18"/>
  <c r="AE260" i="18"/>
  <c r="AD260" i="18"/>
  <c r="AC260" i="18"/>
  <c r="AB260" i="18"/>
  <c r="AF259" i="18"/>
  <c r="AE259" i="18"/>
  <c r="AD259" i="18"/>
  <c r="AC259" i="18"/>
  <c r="AB259" i="18"/>
  <c r="K247" i="18"/>
  <c r="AB247" i="18" s="1"/>
  <c r="L246" i="18"/>
  <c r="AB246" i="18" s="1"/>
  <c r="K245" i="18"/>
  <c r="AB245" i="18" s="1"/>
  <c r="K244" i="18"/>
  <c r="AB244" i="18" s="1"/>
  <c r="AF249" i="18"/>
  <c r="AD249" i="18"/>
  <c r="AC249" i="18"/>
  <c r="AB249" i="18"/>
  <c r="AF248" i="18"/>
  <c r="AD248" i="18"/>
  <c r="AC248" i="18"/>
  <c r="AB248" i="18"/>
  <c r="AF247" i="18"/>
  <c r="AD247" i="18"/>
  <c r="AC247" i="18"/>
  <c r="AF246" i="18"/>
  <c r="AE246" i="18"/>
  <c r="AD246" i="18"/>
  <c r="AC246" i="18"/>
  <c r="AF245" i="18"/>
  <c r="AE245" i="18"/>
  <c r="AD245" i="18"/>
  <c r="AC245" i="18"/>
  <c r="AF244" i="18"/>
  <c r="AE244" i="18"/>
  <c r="AD244" i="18"/>
  <c r="AC244" i="18"/>
  <c r="P184" i="18"/>
  <c r="AB184" i="18" s="1"/>
  <c r="K183" i="18"/>
  <c r="L179" i="18"/>
  <c r="AB179" i="18" s="1"/>
  <c r="AF186" i="18"/>
  <c r="AE186" i="18"/>
  <c r="AD186" i="18"/>
  <c r="AC186" i="18"/>
  <c r="AB186" i="18"/>
  <c r="AF185" i="18"/>
  <c r="AE185" i="18"/>
  <c r="AD185" i="18"/>
  <c r="AC185" i="18"/>
  <c r="AB185" i="18"/>
  <c r="AF184" i="18"/>
  <c r="AD184" i="18"/>
  <c r="AC184" i="18"/>
  <c r="AF183" i="18"/>
  <c r="AD183" i="18"/>
  <c r="AC183" i="18"/>
  <c r="AF182" i="18"/>
  <c r="AE182" i="18"/>
  <c r="AD182" i="18"/>
  <c r="AC182" i="18"/>
  <c r="AB182" i="18"/>
  <c r="AF181" i="18"/>
  <c r="AE181" i="18"/>
  <c r="AD181" i="18"/>
  <c r="AC181" i="18"/>
  <c r="AB181" i="18"/>
  <c r="AF180" i="18"/>
  <c r="AE180" i="18"/>
  <c r="AD180" i="18"/>
  <c r="AC180" i="18"/>
  <c r="AB180" i="18"/>
  <c r="AF179" i="18"/>
  <c r="AE179" i="18"/>
  <c r="AD179" i="18"/>
  <c r="AC179" i="18"/>
  <c r="P183" i="18"/>
  <c r="AF191" i="18"/>
  <c r="AE191" i="18"/>
  <c r="AD191" i="18"/>
  <c r="AC191" i="18"/>
  <c r="AB191" i="18"/>
  <c r="AF190" i="18"/>
  <c r="AE190" i="18"/>
  <c r="AD190" i="18"/>
  <c r="AC190" i="18"/>
  <c r="AB190" i="18"/>
  <c r="AF189" i="18"/>
  <c r="AE189" i="18"/>
  <c r="AD189" i="18"/>
  <c r="AC189" i="18"/>
  <c r="AB189" i="18"/>
  <c r="AF188" i="18"/>
  <c r="AE188" i="18"/>
  <c r="AD188" i="18"/>
  <c r="AC188" i="18"/>
  <c r="AB188" i="18"/>
  <c r="AF187" i="18"/>
  <c r="AE187" i="18"/>
  <c r="AD187" i="18"/>
  <c r="AC187" i="18"/>
  <c r="AB187" i="18"/>
  <c r="K124" i="18"/>
  <c r="P124" i="18"/>
  <c r="AF128" i="18"/>
  <c r="AD128" i="18"/>
  <c r="AC128" i="18"/>
  <c r="AB128" i="18"/>
  <c r="AF127" i="18"/>
  <c r="AD127" i="18"/>
  <c r="AC127" i="18"/>
  <c r="AB127" i="18"/>
  <c r="AF126" i="18"/>
  <c r="AD126" i="18"/>
  <c r="AC126" i="18"/>
  <c r="AB126" i="18"/>
  <c r="K64" i="18"/>
  <c r="AB64" i="18" s="1"/>
  <c r="AF70" i="18"/>
  <c r="AE70" i="18"/>
  <c r="AD70" i="18"/>
  <c r="AC70" i="18"/>
  <c r="AB70" i="18"/>
  <c r="AF69" i="18"/>
  <c r="AE69" i="18"/>
  <c r="AD69" i="18"/>
  <c r="AC69" i="18"/>
  <c r="AB69" i="18"/>
  <c r="AF68" i="18"/>
  <c r="AE68" i="18"/>
  <c r="AD68" i="18"/>
  <c r="AC68" i="18"/>
  <c r="AB68" i="18"/>
  <c r="AF67" i="18"/>
  <c r="AE67" i="18"/>
  <c r="AD67" i="18"/>
  <c r="AC67" i="18"/>
  <c r="AB67" i="18"/>
  <c r="AF66" i="18"/>
  <c r="AE66" i="18"/>
  <c r="AD66" i="18"/>
  <c r="AC66" i="18"/>
  <c r="AB66" i="18"/>
  <c r="AF65" i="18"/>
  <c r="AE65" i="18"/>
  <c r="AD65" i="18"/>
  <c r="AC65" i="18"/>
  <c r="AB65" i="18"/>
  <c r="AF64" i="18"/>
  <c r="AE64" i="18"/>
  <c r="AD64" i="18"/>
  <c r="AC64" i="18"/>
  <c r="AF63" i="18"/>
  <c r="AE63" i="18"/>
  <c r="AD63" i="18"/>
  <c r="AC63" i="18"/>
  <c r="AB63" i="18"/>
  <c r="M62" i="18"/>
  <c r="AB62" i="18" s="1"/>
  <c r="AF62" i="18"/>
  <c r="AE62" i="18"/>
  <c r="AD62" i="18"/>
  <c r="AC62" i="18"/>
  <c r="AF61" i="18"/>
  <c r="AE61" i="18"/>
  <c r="AD61" i="18"/>
  <c r="AC61" i="18"/>
  <c r="AB61" i="18"/>
  <c r="AA60" i="18"/>
  <c r="AB183" i="18" l="1"/>
  <c r="K59" i="18"/>
  <c r="AB59" i="18" s="1"/>
  <c r="K58" i="18"/>
  <c r="AB58" i="18" s="1"/>
  <c r="K57" i="18"/>
  <c r="AB57" i="18" s="1"/>
  <c r="AF97" i="18"/>
  <c r="AE97" i="18"/>
  <c r="AD97" i="18"/>
  <c r="AC97" i="18"/>
  <c r="AB97" i="18"/>
  <c r="AF96" i="18"/>
  <c r="AD96" i="18"/>
  <c r="AC96" i="18"/>
  <c r="AF95" i="18"/>
  <c r="AD95" i="18"/>
  <c r="AC95" i="18"/>
  <c r="AF60" i="18"/>
  <c r="AE60" i="18"/>
  <c r="AD60" i="18"/>
  <c r="AC60" i="18"/>
  <c r="AB60" i="18"/>
  <c r="AF59" i="18"/>
  <c r="AE59" i="18"/>
  <c r="AD59" i="18"/>
  <c r="AC59" i="18"/>
  <c r="AF58" i="18"/>
  <c r="AE58" i="18"/>
  <c r="AD58" i="18"/>
  <c r="AC58" i="18"/>
  <c r="AF57" i="18"/>
  <c r="AE57" i="18"/>
  <c r="AD57" i="18"/>
  <c r="AC57" i="18"/>
  <c r="K123" i="18"/>
  <c r="AB123" i="18" s="1"/>
  <c r="K122" i="18"/>
  <c r="AB122" i="18" s="1"/>
  <c r="AF125" i="18"/>
  <c r="AD125" i="18"/>
  <c r="AC125" i="18"/>
  <c r="AB125" i="18"/>
  <c r="AF124" i="18"/>
  <c r="AD124" i="18"/>
  <c r="AC124" i="18"/>
  <c r="AB124" i="18"/>
  <c r="AF123" i="18"/>
  <c r="AE123" i="18"/>
  <c r="AD123" i="18"/>
  <c r="AC123" i="18"/>
  <c r="AF122" i="18"/>
  <c r="AE122" i="18"/>
  <c r="AD122" i="18"/>
  <c r="AC122" i="18"/>
  <c r="K178" i="18"/>
  <c r="AB178" i="18" s="1"/>
  <c r="K177" i="18"/>
  <c r="AB177" i="18" s="1"/>
  <c r="K176" i="18"/>
  <c r="AB176" i="18" s="1"/>
  <c r="AF196" i="18"/>
  <c r="AE196" i="18"/>
  <c r="AD196" i="18"/>
  <c r="AC196" i="18"/>
  <c r="AF178" i="18"/>
  <c r="AE178" i="18"/>
  <c r="AD178" i="18"/>
  <c r="AC178" i="18"/>
  <c r="AF177" i="18"/>
  <c r="AE177" i="18"/>
  <c r="AD177" i="18"/>
  <c r="AC177" i="18"/>
  <c r="AF176" i="18"/>
  <c r="AE176" i="18"/>
  <c r="AD176" i="18"/>
  <c r="AC176" i="18"/>
  <c r="K243" i="18"/>
  <c r="AB243" i="18" s="1"/>
  <c r="K242" i="18"/>
  <c r="AB242" i="18" s="1"/>
  <c r="K241" i="18"/>
  <c r="AB241" i="18" s="1"/>
  <c r="K240" i="18"/>
  <c r="K237" i="18"/>
  <c r="AB237" i="18" s="1"/>
  <c r="K234" i="18"/>
  <c r="K239" i="18"/>
  <c r="K236" i="18"/>
  <c r="AB236" i="18" s="1"/>
  <c r="K233" i="18"/>
  <c r="K238" i="18"/>
  <c r="K235" i="18"/>
  <c r="AB235" i="18" s="1"/>
  <c r="K232" i="18"/>
  <c r="L240" i="18"/>
  <c r="L239" i="18"/>
  <c r="L238" i="18"/>
  <c r="L234" i="18"/>
  <c r="L233" i="18"/>
  <c r="L232" i="18"/>
  <c r="AF250" i="18"/>
  <c r="AD250" i="18"/>
  <c r="AC250" i="18"/>
  <c r="AB250" i="18"/>
  <c r="AF243" i="18"/>
  <c r="AE243" i="18"/>
  <c r="AD243" i="18"/>
  <c r="AC243" i="18"/>
  <c r="AF242" i="18"/>
  <c r="AE242" i="18"/>
  <c r="AD242" i="18"/>
  <c r="AC242" i="18"/>
  <c r="AF241" i="18"/>
  <c r="AE241" i="18"/>
  <c r="AD241" i="18"/>
  <c r="AC241" i="18"/>
  <c r="AF240" i="18"/>
  <c r="AE240" i="18"/>
  <c r="AD240" i="18"/>
  <c r="AC240" i="18"/>
  <c r="AF239" i="18"/>
  <c r="AE239" i="18"/>
  <c r="AD239" i="18"/>
  <c r="AC239" i="18"/>
  <c r="AF238" i="18"/>
  <c r="AE238" i="18"/>
  <c r="AD238" i="18"/>
  <c r="AC238" i="18"/>
  <c r="AF237" i="18"/>
  <c r="AE237" i="18"/>
  <c r="AD237" i="18"/>
  <c r="AC237" i="18"/>
  <c r="AF236" i="18"/>
  <c r="AE236" i="18"/>
  <c r="AD236" i="18"/>
  <c r="AC236" i="18"/>
  <c r="AF235" i="18"/>
  <c r="AE235" i="18"/>
  <c r="AD235" i="18"/>
  <c r="AC235" i="18"/>
  <c r="AF234" i="18"/>
  <c r="AE234" i="18"/>
  <c r="AD234" i="18"/>
  <c r="AC234" i="18"/>
  <c r="AF233" i="18"/>
  <c r="AE233" i="18"/>
  <c r="AD233" i="18"/>
  <c r="AC233" i="18"/>
  <c r="AF232" i="18"/>
  <c r="AE232" i="18"/>
  <c r="AD232" i="18"/>
  <c r="AC232" i="18"/>
  <c r="K175" i="18"/>
  <c r="K169" i="18"/>
  <c r="K174" i="18"/>
  <c r="K168" i="18"/>
  <c r="K171" i="18"/>
  <c r="AB171" i="18" s="1"/>
  <c r="K173" i="18"/>
  <c r="K170" i="18"/>
  <c r="AB170" i="18" s="1"/>
  <c r="K167" i="18"/>
  <c r="K120" i="18"/>
  <c r="K118" i="18"/>
  <c r="AB118" i="18" s="1"/>
  <c r="K116" i="18"/>
  <c r="L175" i="18"/>
  <c r="L174" i="18"/>
  <c r="L173" i="18"/>
  <c r="K172" i="18"/>
  <c r="AB172" i="18" s="1"/>
  <c r="L169" i="18"/>
  <c r="L168" i="18"/>
  <c r="L167" i="18"/>
  <c r="AF175" i="18"/>
  <c r="AE175" i="18"/>
  <c r="AD175" i="18"/>
  <c r="AC175" i="18"/>
  <c r="AF174" i="18"/>
  <c r="AE174" i="18"/>
  <c r="AD174" i="18"/>
  <c r="AC174" i="18"/>
  <c r="AF173" i="18"/>
  <c r="AE173" i="18"/>
  <c r="AD173" i="18"/>
  <c r="AC173" i="18"/>
  <c r="AF172" i="18"/>
  <c r="AE172" i="18"/>
  <c r="AD172" i="18"/>
  <c r="AC172" i="18"/>
  <c r="AF171" i="18"/>
  <c r="AE171" i="18"/>
  <c r="AD171" i="18"/>
  <c r="AC171" i="18"/>
  <c r="AF170" i="18"/>
  <c r="AE170" i="18"/>
  <c r="AD170" i="18"/>
  <c r="AC170" i="18"/>
  <c r="AF169" i="18"/>
  <c r="AE169" i="18"/>
  <c r="AD169" i="18"/>
  <c r="AC169" i="18"/>
  <c r="AF168" i="18"/>
  <c r="AE168" i="18"/>
  <c r="AD168" i="18"/>
  <c r="AC168" i="18"/>
  <c r="AF167" i="18"/>
  <c r="AE167" i="18"/>
  <c r="AD167" i="18"/>
  <c r="AC167" i="18"/>
  <c r="K121" i="18"/>
  <c r="K119" i="18"/>
  <c r="AB119" i="18" s="1"/>
  <c r="K117" i="18"/>
  <c r="L121" i="18"/>
  <c r="L120" i="18"/>
  <c r="L117" i="18"/>
  <c r="L116" i="18"/>
  <c r="AF150" i="18"/>
  <c r="AD150" i="18"/>
  <c r="AC150" i="18"/>
  <c r="AF121" i="18"/>
  <c r="AE121" i="18"/>
  <c r="AD121" i="18"/>
  <c r="AC121" i="18"/>
  <c r="AF120" i="18"/>
  <c r="AE120" i="18"/>
  <c r="AD120" i="18"/>
  <c r="AC120" i="18"/>
  <c r="AF119" i="18"/>
  <c r="AE119" i="18"/>
  <c r="AD119" i="18"/>
  <c r="AC119" i="18"/>
  <c r="AF118" i="18"/>
  <c r="AE118" i="18"/>
  <c r="AD118" i="18"/>
  <c r="AC118" i="18"/>
  <c r="AF117" i="18"/>
  <c r="AE117" i="18"/>
  <c r="AD117" i="18"/>
  <c r="AC117" i="18"/>
  <c r="AF116" i="18"/>
  <c r="AE116" i="18"/>
  <c r="AD116" i="18"/>
  <c r="AC116" i="18"/>
  <c r="K56" i="18"/>
  <c r="K55" i="18"/>
  <c r="K54" i="18"/>
  <c r="K53" i="18"/>
  <c r="K52" i="18"/>
  <c r="K51" i="18"/>
  <c r="K50" i="18"/>
  <c r="K49" i="18"/>
  <c r="L56" i="18"/>
  <c r="L55" i="18"/>
  <c r="L54" i="18"/>
  <c r="AF56" i="18"/>
  <c r="AE56" i="18"/>
  <c r="AD56" i="18"/>
  <c r="AC56" i="18"/>
  <c r="AF55" i="18"/>
  <c r="AE55" i="18"/>
  <c r="AD55" i="18"/>
  <c r="AC55" i="18"/>
  <c r="AF54" i="18"/>
  <c r="AE54" i="18"/>
  <c r="AD54" i="18"/>
  <c r="AC54" i="18"/>
  <c r="K48" i="18"/>
  <c r="L50" i="18"/>
  <c r="L49" i="18"/>
  <c r="L48" i="18"/>
  <c r="AB238" i="18" l="1"/>
  <c r="AB54" i="18"/>
  <c r="AB234" i="18"/>
  <c r="AB233" i="18"/>
  <c r="AB168" i="18"/>
  <c r="AB232" i="18"/>
  <c r="AB240" i="18"/>
  <c r="AB174" i="18"/>
  <c r="AB116" i="18"/>
  <c r="AB239" i="18"/>
  <c r="AB121" i="18"/>
  <c r="AB173" i="18"/>
  <c r="AB117" i="18"/>
  <c r="AB167" i="18"/>
  <c r="AB175" i="18"/>
  <c r="AB169" i="18"/>
  <c r="AB120" i="18"/>
  <c r="AB55" i="18"/>
  <c r="AB56" i="18"/>
  <c r="AF272" i="18"/>
  <c r="AE272" i="18"/>
  <c r="AD272" i="18"/>
  <c r="AC272" i="18"/>
  <c r="AB272" i="18"/>
  <c r="AF231" i="18"/>
  <c r="AE231" i="18"/>
  <c r="AD231" i="18"/>
  <c r="AC231" i="18"/>
  <c r="AF230" i="18"/>
  <c r="AD230" i="18"/>
  <c r="AC230" i="18"/>
  <c r="AF229" i="18"/>
  <c r="AE229" i="18"/>
  <c r="AD229" i="18"/>
  <c r="AC229" i="18"/>
  <c r="AB229" i="18"/>
  <c r="AF228" i="18"/>
  <c r="AE228" i="18"/>
  <c r="AD228" i="18"/>
  <c r="AC228" i="18"/>
  <c r="AB228" i="18"/>
  <c r="K227" i="18"/>
  <c r="L231" i="18"/>
  <c r="K231" i="18"/>
  <c r="P230" i="18"/>
  <c r="AE230" i="18" s="1"/>
  <c r="L230" i="18"/>
  <c r="K230" i="18"/>
  <c r="L223" i="18"/>
  <c r="P222" i="18"/>
  <c r="AE222" i="18" s="1"/>
  <c r="L222" i="18"/>
  <c r="K222" i="18"/>
  <c r="L157" i="18"/>
  <c r="L227" i="18"/>
  <c r="P226" i="18"/>
  <c r="AE226" i="18" s="1"/>
  <c r="P225" i="18"/>
  <c r="AE225" i="18" s="1"/>
  <c r="K224" i="18"/>
  <c r="P224" i="18"/>
  <c r="AE224" i="18" s="1"/>
  <c r="L224" i="18"/>
  <c r="K223" i="18"/>
  <c r="K219" i="18"/>
  <c r="L219" i="18"/>
  <c r="P217" i="18"/>
  <c r="AE217" i="18" s="1"/>
  <c r="K216" i="18"/>
  <c r="P216" i="18"/>
  <c r="AE216" i="18" s="1"/>
  <c r="L216" i="18"/>
  <c r="L212" i="18"/>
  <c r="O212" i="18"/>
  <c r="AE212" i="18" s="1"/>
  <c r="K212" i="18"/>
  <c r="L211" i="18"/>
  <c r="AB211" i="18" s="1"/>
  <c r="K208" i="18"/>
  <c r="AF207" i="18"/>
  <c r="AE207" i="18"/>
  <c r="AD207" i="18"/>
  <c r="AC207" i="18"/>
  <c r="AB207" i="18"/>
  <c r="K198" i="18"/>
  <c r="AF200" i="18"/>
  <c r="AE200" i="18"/>
  <c r="AD200" i="18"/>
  <c r="AC200" i="18"/>
  <c r="AF199" i="18"/>
  <c r="AE199" i="18"/>
  <c r="AD199" i="18"/>
  <c r="AC199" i="18"/>
  <c r="AF198" i="18"/>
  <c r="AE198" i="18"/>
  <c r="AD198" i="18"/>
  <c r="AC198" i="18"/>
  <c r="L199" i="18"/>
  <c r="AB199" i="18" s="1"/>
  <c r="L198" i="18"/>
  <c r="O208" i="18"/>
  <c r="P208" i="18"/>
  <c r="AF227" i="18"/>
  <c r="AE227" i="18"/>
  <c r="AD227" i="18"/>
  <c r="AC227" i="18"/>
  <c r="AF226" i="18"/>
  <c r="AD226" i="18"/>
  <c r="AC226" i="18"/>
  <c r="AF225" i="18"/>
  <c r="AD225" i="18"/>
  <c r="AC225" i="18"/>
  <c r="AF224" i="18"/>
  <c r="AD224" i="18"/>
  <c r="AC224" i="18"/>
  <c r="AF223" i="18"/>
  <c r="AE223" i="18"/>
  <c r="AD223" i="18"/>
  <c r="AC223" i="18"/>
  <c r="AF222" i="18"/>
  <c r="AD222" i="18"/>
  <c r="AC222" i="18"/>
  <c r="AF221" i="18"/>
  <c r="AE221" i="18"/>
  <c r="AD221" i="18"/>
  <c r="AC221" i="18"/>
  <c r="AB221" i="18"/>
  <c r="AF220" i="18"/>
  <c r="AE220" i="18"/>
  <c r="AD220" i="18"/>
  <c r="AC220" i="18"/>
  <c r="AB220" i="18"/>
  <c r="AF219" i="18"/>
  <c r="AE219" i="18"/>
  <c r="AD219" i="18"/>
  <c r="AC219" i="18"/>
  <c r="AF218" i="18"/>
  <c r="AE218" i="18"/>
  <c r="AD218" i="18"/>
  <c r="AC218" i="18"/>
  <c r="AB218" i="18"/>
  <c r="AF217" i="18"/>
  <c r="AD217" i="18"/>
  <c r="AC217" i="18"/>
  <c r="AF216" i="18"/>
  <c r="AD216" i="18"/>
  <c r="AC216" i="18"/>
  <c r="AF215" i="18"/>
  <c r="AE215" i="18"/>
  <c r="AD215" i="18"/>
  <c r="AC215" i="18"/>
  <c r="AB215" i="18"/>
  <c r="AF214" i="18"/>
  <c r="AE214" i="18"/>
  <c r="AD214" i="18"/>
  <c r="AC214" i="18"/>
  <c r="AB214" i="18"/>
  <c r="AF213" i="18"/>
  <c r="AE213" i="18"/>
  <c r="AD213" i="18"/>
  <c r="AC213" i="18"/>
  <c r="AB213" i="18"/>
  <c r="AF212" i="18"/>
  <c r="AD212" i="18"/>
  <c r="AC212" i="18"/>
  <c r="AF211" i="18"/>
  <c r="AE211" i="18"/>
  <c r="AD211" i="18"/>
  <c r="AC211" i="18"/>
  <c r="AF210" i="18"/>
  <c r="AE210" i="18"/>
  <c r="AD210" i="18"/>
  <c r="AC210" i="18"/>
  <c r="AB210" i="18"/>
  <c r="AF209" i="18"/>
  <c r="AE209" i="18"/>
  <c r="AD209" i="18"/>
  <c r="AC209" i="18"/>
  <c r="AB209" i="18"/>
  <c r="AF208" i="18"/>
  <c r="AD208" i="18"/>
  <c r="AC208" i="18"/>
  <c r="AF201" i="18"/>
  <c r="AE201" i="18"/>
  <c r="AD201" i="18"/>
  <c r="AC201" i="18"/>
  <c r="K201" i="18"/>
  <c r="K200" i="18"/>
  <c r="K196" i="18"/>
  <c r="L201" i="18"/>
  <c r="L200" i="18"/>
  <c r="L197" i="18"/>
  <c r="AB197" i="18" s="1"/>
  <c r="L196" i="18"/>
  <c r="AF164" i="18"/>
  <c r="AE164" i="18"/>
  <c r="AD164" i="18"/>
  <c r="AC164" i="18"/>
  <c r="AB164" i="18"/>
  <c r="AF161" i="18"/>
  <c r="AE161" i="18"/>
  <c r="AD161" i="18"/>
  <c r="AC161" i="18"/>
  <c r="AB161" i="18"/>
  <c r="K166" i="18"/>
  <c r="K163" i="18"/>
  <c r="K160" i="18"/>
  <c r="AF154" i="18"/>
  <c r="AE154" i="18"/>
  <c r="AD154" i="18"/>
  <c r="AC154" i="18"/>
  <c r="AB154" i="18"/>
  <c r="L153" i="18"/>
  <c r="AB153" i="18" s="1"/>
  <c r="P152" i="18"/>
  <c r="AE152" i="18" s="1"/>
  <c r="L152" i="18"/>
  <c r="P150" i="18"/>
  <c r="AE150" i="18" s="1"/>
  <c r="L150" i="18"/>
  <c r="AF153" i="18"/>
  <c r="AE153" i="18"/>
  <c r="AD153" i="18"/>
  <c r="AC153" i="18"/>
  <c r="AF152" i="18"/>
  <c r="AD152" i="18"/>
  <c r="AC152" i="18"/>
  <c r="AF151" i="18"/>
  <c r="AE151" i="18"/>
  <c r="AD151" i="18"/>
  <c r="AC151" i="18"/>
  <c r="AB151" i="18"/>
  <c r="L166" i="18"/>
  <c r="K165" i="18"/>
  <c r="L165" i="18"/>
  <c r="L163" i="18"/>
  <c r="K162" i="18"/>
  <c r="P162" i="18"/>
  <c r="AE162" i="18" s="1"/>
  <c r="L162" i="18"/>
  <c r="P160" i="18"/>
  <c r="AE160" i="18" s="1"/>
  <c r="L160" i="18"/>
  <c r="K159" i="18"/>
  <c r="L159" i="18"/>
  <c r="L158" i="18"/>
  <c r="AB158" i="18" s="1"/>
  <c r="K157" i="18"/>
  <c r="P156" i="18"/>
  <c r="AE156" i="18" s="1"/>
  <c r="L156" i="18"/>
  <c r="L148" i="18"/>
  <c r="AB148" i="18" s="1"/>
  <c r="AB155" i="18"/>
  <c r="K110" i="18"/>
  <c r="K115" i="18"/>
  <c r="K105" i="18"/>
  <c r="AF115" i="18"/>
  <c r="AE115" i="18"/>
  <c r="AD115" i="18"/>
  <c r="AC115" i="18"/>
  <c r="AF114" i="18"/>
  <c r="AE114" i="18"/>
  <c r="AD114" i="18"/>
  <c r="AC114" i="18"/>
  <c r="AF113" i="18"/>
  <c r="AE113" i="18"/>
  <c r="AD113" i="18"/>
  <c r="AC113" i="18"/>
  <c r="AB113" i="18"/>
  <c r="K114" i="18"/>
  <c r="L115" i="18"/>
  <c r="L114" i="18"/>
  <c r="L110" i="18"/>
  <c r="K109" i="18"/>
  <c r="P109" i="18"/>
  <c r="AE109" i="18" s="1"/>
  <c r="L109" i="18"/>
  <c r="P108" i="18"/>
  <c r="AE108" i="18" s="1"/>
  <c r="P107" i="18"/>
  <c r="AE107" i="18" s="1"/>
  <c r="P106" i="18"/>
  <c r="AE106" i="18" s="1"/>
  <c r="P105" i="18"/>
  <c r="AE105" i="18" s="1"/>
  <c r="AB103" i="18"/>
  <c r="AE103" i="18"/>
  <c r="K100" i="18"/>
  <c r="AB98" i="18"/>
  <c r="AE98" i="18"/>
  <c r="K95" i="18"/>
  <c r="L105" i="18"/>
  <c r="L104" i="18"/>
  <c r="K104" i="18"/>
  <c r="AE101" i="18"/>
  <c r="L100" i="18"/>
  <c r="P96" i="18"/>
  <c r="AF99" i="18"/>
  <c r="AE99" i="18"/>
  <c r="AD99" i="18"/>
  <c r="AC99" i="18"/>
  <c r="P95" i="18"/>
  <c r="AE95" i="18" s="1"/>
  <c r="U99" i="18"/>
  <c r="K99" i="18"/>
  <c r="L99" i="18"/>
  <c r="L95" i="18"/>
  <c r="K94" i="18"/>
  <c r="AB94" i="18" s="1"/>
  <c r="AF197" i="18"/>
  <c r="AE197" i="18"/>
  <c r="AD197" i="18"/>
  <c r="AC197" i="18"/>
  <c r="AF166" i="18"/>
  <c r="AE166" i="18"/>
  <c r="AD166" i="18"/>
  <c r="AC166" i="18"/>
  <c r="AF165" i="18"/>
  <c r="AE165" i="18"/>
  <c r="AD165" i="18"/>
  <c r="AC165" i="18"/>
  <c r="AF163" i="18"/>
  <c r="AE163" i="18"/>
  <c r="AD163" i="18"/>
  <c r="AC163" i="18"/>
  <c r="AF162" i="18"/>
  <c r="AD162" i="18"/>
  <c r="AC162" i="18"/>
  <c r="AF160" i="18"/>
  <c r="AD160" i="18"/>
  <c r="AC160" i="18"/>
  <c r="AF159" i="18"/>
  <c r="AE159" i="18"/>
  <c r="AD159" i="18"/>
  <c r="AC159" i="18"/>
  <c r="AF158" i="18"/>
  <c r="AE158" i="18"/>
  <c r="AD158" i="18"/>
  <c r="AC158" i="18"/>
  <c r="AF157" i="18"/>
  <c r="AE157" i="18"/>
  <c r="AD157" i="18"/>
  <c r="AC157" i="18"/>
  <c r="AF156" i="18"/>
  <c r="AD156" i="18"/>
  <c r="AC156" i="18"/>
  <c r="AF155" i="18"/>
  <c r="AE155" i="18"/>
  <c r="AD155" i="18"/>
  <c r="AC155" i="18"/>
  <c r="AF112" i="18"/>
  <c r="AE112" i="18"/>
  <c r="AD112" i="18"/>
  <c r="AC112" i="18"/>
  <c r="AB112" i="18"/>
  <c r="AF111" i="18"/>
  <c r="AE111" i="18"/>
  <c r="AD111" i="18"/>
  <c r="AC111" i="18"/>
  <c r="AB111" i="18"/>
  <c r="AF110" i="18"/>
  <c r="AE110" i="18"/>
  <c r="AD110" i="18"/>
  <c r="AC110" i="18"/>
  <c r="AF109" i="18"/>
  <c r="AD109" i="18"/>
  <c r="AC109" i="18"/>
  <c r="AF108" i="18"/>
  <c r="AD108" i="18"/>
  <c r="AC108" i="18"/>
  <c r="AF107" i="18"/>
  <c r="AD107" i="18"/>
  <c r="AC107" i="18"/>
  <c r="AF106" i="18"/>
  <c r="AD106" i="18"/>
  <c r="AC106" i="18"/>
  <c r="AF105" i="18"/>
  <c r="AD105" i="18"/>
  <c r="AC105" i="18"/>
  <c r="AF104" i="18"/>
  <c r="AE104" i="18"/>
  <c r="AD104" i="18"/>
  <c r="AC104" i="18"/>
  <c r="AF102" i="18"/>
  <c r="AE102" i="18"/>
  <c r="AD102" i="18"/>
  <c r="AC102" i="18"/>
  <c r="AB102" i="18"/>
  <c r="AF101" i="18"/>
  <c r="AD101" i="18"/>
  <c r="AC101" i="18"/>
  <c r="AF100" i="18"/>
  <c r="AE100" i="18"/>
  <c r="AD100" i="18"/>
  <c r="AC100" i="18"/>
  <c r="L47" i="18"/>
  <c r="L46" i="18"/>
  <c r="L43" i="18"/>
  <c r="L40" i="18"/>
  <c r="L37" i="18"/>
  <c r="AF39" i="18"/>
  <c r="AD39" i="18"/>
  <c r="AC39" i="18"/>
  <c r="P39" i="18"/>
  <c r="AE39" i="18" s="1"/>
  <c r="AF38" i="18"/>
  <c r="AD38" i="18"/>
  <c r="AC38" i="18"/>
  <c r="P38" i="18"/>
  <c r="AE38" i="18" s="1"/>
  <c r="AF37" i="18"/>
  <c r="AD37" i="18"/>
  <c r="AC37" i="18"/>
  <c r="P37" i="18"/>
  <c r="AE37" i="18" s="1"/>
  <c r="P24" i="18"/>
  <c r="AE24" i="18" s="1"/>
  <c r="AF24" i="18"/>
  <c r="AD24" i="18"/>
  <c r="AC24" i="18"/>
  <c r="L35" i="18"/>
  <c r="P36" i="18"/>
  <c r="P35" i="18"/>
  <c r="P28" i="18"/>
  <c r="P27" i="18"/>
  <c r="P26" i="18"/>
  <c r="P25" i="18"/>
  <c r="AE25" i="18" s="1"/>
  <c r="P23" i="18"/>
  <c r="AB23" i="18" s="1"/>
  <c r="P22" i="18"/>
  <c r="L32" i="18"/>
  <c r="L29" i="18"/>
  <c r="L22" i="18"/>
  <c r="L25" i="18"/>
  <c r="AF25" i="18"/>
  <c r="AD25" i="18"/>
  <c r="AC25" i="18"/>
  <c r="M16" i="18"/>
  <c r="AB16" i="18" s="1"/>
  <c r="AF16" i="18"/>
  <c r="AE16" i="18"/>
  <c r="AD16" i="18"/>
  <c r="AC16" i="18"/>
  <c r="AF23" i="18"/>
  <c r="AD23" i="18"/>
  <c r="AC23" i="18"/>
  <c r="O22" i="18"/>
  <c r="L26" i="18"/>
  <c r="AB95" i="18" l="1"/>
  <c r="AE96" i="18"/>
  <c r="AB96" i="18"/>
  <c r="AB196" i="18"/>
  <c r="AB231" i="18"/>
  <c r="AB226" i="18"/>
  <c r="AB108" i="18"/>
  <c r="AB150" i="18"/>
  <c r="AB212" i="18"/>
  <c r="AB230" i="18"/>
  <c r="AB224" i="18"/>
  <c r="AB216" i="18"/>
  <c r="AB223" i="18"/>
  <c r="AB219" i="18"/>
  <c r="AB222" i="18"/>
  <c r="AB217" i="18"/>
  <c r="AB227" i="18"/>
  <c r="AB200" i="18"/>
  <c r="AB225" i="18"/>
  <c r="AB201" i="18"/>
  <c r="AB100" i="18"/>
  <c r="AB198" i="18"/>
  <c r="AB152" i="18"/>
  <c r="AB163" i="18"/>
  <c r="AE208" i="18"/>
  <c r="AB208" i="18"/>
  <c r="AB165" i="18"/>
  <c r="AB107" i="18"/>
  <c r="AE23" i="18"/>
  <c r="AB166" i="18"/>
  <c r="AB105" i="18"/>
  <c r="AB160" i="18"/>
  <c r="AB159" i="18"/>
  <c r="AB156" i="18"/>
  <c r="AB114" i="18"/>
  <c r="AB157" i="18"/>
  <c r="AB162" i="18"/>
  <c r="AB110" i="18"/>
  <c r="AB106" i="18"/>
  <c r="AB104" i="18"/>
  <c r="AB115" i="18"/>
  <c r="AB109" i="18"/>
  <c r="AB99" i="18"/>
  <c r="AB101" i="18"/>
  <c r="AB38" i="18"/>
  <c r="AB37" i="18"/>
  <c r="AB24" i="18"/>
  <c r="AB39" i="18"/>
  <c r="AB25" i="18"/>
  <c r="AF47" i="18"/>
  <c r="AE47" i="18"/>
  <c r="AD47" i="18"/>
  <c r="AC47" i="18"/>
  <c r="AB47" i="18"/>
  <c r="AF46" i="18"/>
  <c r="AE46" i="18"/>
  <c r="AD46" i="18"/>
  <c r="AC46" i="18"/>
  <c r="AB46" i="18"/>
  <c r="AF45" i="18"/>
  <c r="AE45" i="18"/>
  <c r="AD45" i="18"/>
  <c r="AC45" i="18"/>
  <c r="AB45" i="18"/>
  <c r="AF44" i="18"/>
  <c r="AE44" i="18"/>
  <c r="AD44" i="18"/>
  <c r="AC44" i="18"/>
  <c r="AB44" i="18"/>
  <c r="AF43" i="18"/>
  <c r="AE43" i="18"/>
  <c r="AD43" i="18"/>
  <c r="AC43" i="18"/>
  <c r="AB43" i="18"/>
  <c r="AF42" i="18"/>
  <c r="AE42" i="18"/>
  <c r="AD42" i="18"/>
  <c r="AC42" i="18"/>
  <c r="AB42" i="18"/>
  <c r="AF41" i="18"/>
  <c r="AE41" i="18"/>
  <c r="AD41" i="18"/>
  <c r="AC41" i="18"/>
  <c r="AB41" i="18"/>
  <c r="AF40" i="18"/>
  <c r="AE40" i="18"/>
  <c r="AD40" i="18"/>
  <c r="AC40" i="18"/>
  <c r="AB40" i="18"/>
  <c r="AF36" i="18"/>
  <c r="AE36" i="18"/>
  <c r="AD36" i="18"/>
  <c r="AC36" i="18"/>
  <c r="AB36" i="18"/>
  <c r="AF35" i="18"/>
  <c r="AE35" i="18"/>
  <c r="AD35" i="18"/>
  <c r="AC35" i="18"/>
  <c r="AB35" i="18"/>
  <c r="AF34" i="18"/>
  <c r="AE34" i="18"/>
  <c r="AD34" i="18"/>
  <c r="AC34" i="18"/>
  <c r="AB34" i="18"/>
  <c r="AF33" i="18"/>
  <c r="AE33" i="18"/>
  <c r="AD33" i="18"/>
  <c r="AC33" i="18"/>
  <c r="AB33" i="18"/>
  <c r="AF32" i="18"/>
  <c r="AE32" i="18"/>
  <c r="AD32" i="18"/>
  <c r="AC32" i="18"/>
  <c r="AB32" i="18"/>
  <c r="AF31" i="18"/>
  <c r="AE31" i="18"/>
  <c r="AD31" i="18"/>
  <c r="AC31" i="18"/>
  <c r="AB31" i="18"/>
  <c r="AF30" i="18"/>
  <c r="AE30" i="18"/>
  <c r="AD30" i="18"/>
  <c r="AC30" i="18"/>
  <c r="AB30" i="18"/>
  <c r="AF29" i="18"/>
  <c r="AE29" i="18"/>
  <c r="AD29" i="18"/>
  <c r="AC29" i="18"/>
  <c r="AB29" i="18"/>
  <c r="AF28" i="18"/>
  <c r="AE28" i="18"/>
  <c r="AD28" i="18"/>
  <c r="AC28" i="18"/>
  <c r="AB28" i="18"/>
  <c r="AF27" i="18"/>
  <c r="AE27" i="18"/>
  <c r="AD27" i="18"/>
  <c r="AC27" i="18"/>
  <c r="AB27" i="18"/>
  <c r="AF26" i="18"/>
  <c r="AE26" i="18"/>
  <c r="AD26" i="18"/>
  <c r="AC26" i="18"/>
  <c r="AB26" i="18"/>
  <c r="AF22" i="18"/>
  <c r="AE22" i="18"/>
  <c r="AD22" i="18"/>
  <c r="AC22" i="18"/>
  <c r="AB22" i="18"/>
  <c r="AF15" i="18"/>
  <c r="AE15" i="18"/>
  <c r="AD15" i="18"/>
  <c r="AC15" i="18"/>
  <c r="AB15" i="18"/>
  <c r="AF14" i="18"/>
  <c r="AE14" i="18"/>
  <c r="AD14" i="18"/>
  <c r="AC14" i="18"/>
  <c r="AF13" i="18"/>
  <c r="AE13" i="18"/>
  <c r="AD13" i="18"/>
  <c r="AC13" i="18"/>
  <c r="AF12" i="18"/>
  <c r="AE12" i="18"/>
  <c r="AD12" i="18"/>
  <c r="AC12" i="18"/>
  <c r="L14" i="18"/>
  <c r="K14" i="18"/>
  <c r="L13" i="18"/>
  <c r="K13" i="18"/>
  <c r="L12" i="18"/>
  <c r="AB12" i="18" s="1"/>
  <c r="L11" i="18"/>
  <c r="AB11" i="18" s="1"/>
  <c r="AF53" i="18"/>
  <c r="AE53" i="18"/>
  <c r="AD53" i="18"/>
  <c r="AC53" i="18"/>
  <c r="AB53" i="18"/>
  <c r="AF52" i="18"/>
  <c r="AE52" i="18"/>
  <c r="AD52" i="18"/>
  <c r="AC52" i="18"/>
  <c r="AB52" i="18"/>
  <c r="AF51" i="18"/>
  <c r="AE51" i="18"/>
  <c r="AD51" i="18"/>
  <c r="AC51" i="18"/>
  <c r="AB51" i="18"/>
  <c r="AF50" i="18"/>
  <c r="AE50" i="18"/>
  <c r="AD50" i="18"/>
  <c r="AC50" i="18"/>
  <c r="AB50" i="18"/>
  <c r="AF49" i="18"/>
  <c r="AE49" i="18"/>
  <c r="AD49" i="18"/>
  <c r="AC49" i="18"/>
  <c r="AB49" i="18"/>
  <c r="AF48" i="18"/>
  <c r="AE48" i="18"/>
  <c r="AD48" i="18"/>
  <c r="AC48" i="18"/>
  <c r="AB48" i="18"/>
  <c r="AF11" i="18"/>
  <c r="AE11" i="18"/>
  <c r="AD11" i="18"/>
  <c r="AC11" i="18"/>
  <c r="AF10" i="18"/>
  <c r="AE10" i="18"/>
  <c r="AD10" i="18"/>
  <c r="AC10" i="18"/>
  <c r="AB10" i="18"/>
  <c r="AB14" i="18" l="1"/>
  <c r="AB13" i="18"/>
  <c r="W285" i="18" l="1"/>
  <c r="AF285" i="18"/>
  <c r="AD285" i="18" l="1"/>
  <c r="AC285" i="18"/>
  <c r="AE285" i="18" l="1"/>
  <c r="K285" i="18"/>
  <c r="AH285" i="18" l="1"/>
  <c r="AB285" i="18"/>
</calcChain>
</file>

<file path=xl/sharedStrings.xml><?xml version="1.0" encoding="utf-8"?>
<sst xmlns="http://schemas.openxmlformats.org/spreadsheetml/2006/main" count="1444" uniqueCount="280">
  <si>
    <t>Poznámka</t>
  </si>
  <si>
    <r>
      <t>m</t>
    </r>
    <r>
      <rPr>
        <vertAlign val="superscript"/>
        <sz val="9"/>
        <color theme="1"/>
        <rFont val="Calibri"/>
        <family val="2"/>
        <charset val="238"/>
        <scheme val="minor"/>
      </rPr>
      <t>2</t>
    </r>
  </si>
  <si>
    <t>CELKEM</t>
  </si>
  <si>
    <t>Umístění, popis konstrukce</t>
  </si>
  <si>
    <t>Kód</t>
  </si>
  <si>
    <t>m</t>
  </si>
  <si>
    <t>Výška</t>
  </si>
  <si>
    <t>Výměry celkem</t>
  </si>
  <si>
    <t>Celková plocha</t>
  </si>
  <si>
    <t>Typ</t>
  </si>
  <si>
    <t>Popis</t>
  </si>
  <si>
    <t>Základní</t>
  </si>
  <si>
    <t>Odečet otvorů</t>
  </si>
  <si>
    <t>Přípočet plochy</t>
  </si>
  <si>
    <t>Umístění</t>
  </si>
  <si>
    <t>Oznaření ve výkrese</t>
  </si>
  <si>
    <t>Světová strana</t>
  </si>
  <si>
    <t>Upřesnění</t>
  </si>
  <si>
    <t>Zateplení</t>
  </si>
  <si>
    <t>Omítky</t>
  </si>
  <si>
    <t>Malby, nátěry</t>
  </si>
  <si>
    <t>Délka, obvod</t>
  </si>
  <si>
    <t>Šířka</t>
  </si>
  <si>
    <t>Počet</t>
  </si>
  <si>
    <t>kus</t>
  </si>
  <si>
    <t>Rozměry plochy</t>
  </si>
  <si>
    <t>Lišty, ostatní</t>
  </si>
  <si>
    <t>parapet</t>
  </si>
  <si>
    <t>nadpraží</t>
  </si>
  <si>
    <t>ostění</t>
  </si>
  <si>
    <t>hloubka</t>
  </si>
  <si>
    <t>Špalety, lišty kolem otvoru</t>
  </si>
  <si>
    <t>Zakrytí ploch</t>
  </si>
  <si>
    <t>Výměra</t>
  </si>
  <si>
    <t>m2</t>
  </si>
  <si>
    <t>SKLADBY A ÚPRAVY VNĚJŠÍCH POVRCHŮ STĚN</t>
  </si>
  <si>
    <t>Nepravidelná pl.</t>
  </si>
  <si>
    <t>MJ</t>
  </si>
  <si>
    <t>A8 - VNĚJŠÍ POVRCHY STĚN (FASÁDA)</t>
  </si>
  <si>
    <t>Poznámka:</t>
  </si>
  <si>
    <t>výměry vypočteny z modelového prostoru výkresu CAD, v plochách jsou odečteny otvory oken a dveří, viz. Obrázky (schemata)</t>
  </si>
  <si>
    <t>Z1</t>
  </si>
  <si>
    <t>zakrytí otvorů</t>
  </si>
  <si>
    <t>Plocha špalet ETICS</t>
  </si>
  <si>
    <t>Plocha špalet omítka</t>
  </si>
  <si>
    <t>Délka špalet ETICS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</si>
  <si>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</si>
  <si>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</si>
  <si>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</si>
  <si>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</si>
  <si>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</si>
  <si>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</si>
  <si>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</si>
  <si>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</si>
  <si>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</si>
  <si>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</si>
  <si>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</si>
  <si>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</si>
  <si>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</si>
  <si>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tažená omítka (profilovaná)</t>
  </si>
  <si>
    <t>tažená omítka na soklu</t>
  </si>
  <si>
    <t>dřevěný obklad v atriu</t>
  </si>
  <si>
    <t>omítka na obvodové stěně/sloupu</t>
  </si>
  <si>
    <t>omítka soklu/atiky/sloupu</t>
  </si>
  <si>
    <t>dřevěný obklad v soklu atria</t>
  </si>
  <si>
    <t>omítka na stropu loubí/lodžie 3NP</t>
  </si>
  <si>
    <t>omítka na stropu loubí/lodžie 2NP</t>
  </si>
  <si>
    <t>omítka na stropu loubí pod panelem</t>
  </si>
  <si>
    <t>izolace skladu odpadu</t>
  </si>
  <si>
    <t>POHLED SEVER</t>
  </si>
  <si>
    <t>S</t>
  </si>
  <si>
    <t>1NP</t>
  </si>
  <si>
    <t>f1</t>
  </si>
  <si>
    <t>F4_1</t>
  </si>
  <si>
    <t>F4_2</t>
  </si>
  <si>
    <t xml:space="preserve">   stěna</t>
  </si>
  <si>
    <t xml:space="preserve">   sloup</t>
  </si>
  <si>
    <t>F5_1</t>
  </si>
  <si>
    <t>F5_2</t>
  </si>
  <si>
    <t>f5_1</t>
  </si>
  <si>
    <t>f5_2</t>
  </si>
  <si>
    <t>f4_1</t>
  </si>
  <si>
    <t>f4_2</t>
  </si>
  <si>
    <t>loubí - stěna</t>
  </si>
  <si>
    <t>loubí - sloup</t>
  </si>
  <si>
    <t>loubí - sokl sloup</t>
  </si>
  <si>
    <t>loubí - sokl stěna</t>
  </si>
  <si>
    <t>2NP</t>
  </si>
  <si>
    <t>f2</t>
  </si>
  <si>
    <t>Horní hrana</t>
  </si>
  <si>
    <t>Spodní hrana</t>
  </si>
  <si>
    <t>HH</t>
  </si>
  <si>
    <t>SH</t>
  </si>
  <si>
    <t>UT</t>
  </si>
  <si>
    <t>+3,100</t>
  </si>
  <si>
    <t>+3,700</t>
  </si>
  <si>
    <t>+4,010</t>
  </si>
  <si>
    <t>nad terénem do římsy</t>
  </si>
  <si>
    <t>+3,500</t>
  </si>
  <si>
    <t>nad terénem do ČP</t>
  </si>
  <si>
    <t>nad terénem</t>
  </si>
  <si>
    <t>+6,200</t>
  </si>
  <si>
    <t>hlavní plocha 2NP</t>
  </si>
  <si>
    <t>lodžie 2NP</t>
  </si>
  <si>
    <t>+3,600</t>
  </si>
  <si>
    <t>hlavní plocha 2NP - lodžie</t>
  </si>
  <si>
    <t>3NP</t>
  </si>
  <si>
    <t>nad římsou 2NP</t>
  </si>
  <si>
    <t>nad římsou 3NP</t>
  </si>
  <si>
    <t>lodžie 3NP</t>
  </si>
  <si>
    <t>hlavní plocha 3NP</t>
  </si>
  <si>
    <t>hlavní plocha 3NP - lodžie</t>
  </si>
  <si>
    <t>+7,110</t>
  </si>
  <si>
    <t>+6,600</t>
  </si>
  <si>
    <t>+6,700</t>
  </si>
  <si>
    <t>+9,300</t>
  </si>
  <si>
    <t>atika nad římsou</t>
  </si>
  <si>
    <t>+10,500</t>
  </si>
  <si>
    <t>+9,700</t>
  </si>
  <si>
    <t>POHLED ZÁPADNÍ</t>
  </si>
  <si>
    <t>Z</t>
  </si>
  <si>
    <t>+3,850</t>
  </si>
  <si>
    <t>+3,570</t>
  </si>
  <si>
    <t>POHLED JIŽNÍ</t>
  </si>
  <si>
    <t>J</t>
  </si>
  <si>
    <t>POHLED VÝCHODNÍ</t>
  </si>
  <si>
    <t>V</t>
  </si>
  <si>
    <t>nad terénem - svah</t>
  </si>
  <si>
    <t>nad schodištěm</t>
  </si>
  <si>
    <t>nad terénem - rovina</t>
  </si>
  <si>
    <t>+0,150</t>
  </si>
  <si>
    <t>-0,150</t>
  </si>
  <si>
    <t>nad terénem do římsy-svah</t>
  </si>
  <si>
    <t>+3,520</t>
  </si>
  <si>
    <t>TI1</t>
  </si>
  <si>
    <t>HI1</t>
  </si>
  <si>
    <t>tepelná izolace římsy polystyren XPS tl.50mm</t>
  </si>
  <si>
    <t>TI1_1</t>
  </si>
  <si>
    <t>spádová mazanina tl.0-20mm</t>
  </si>
  <si>
    <t>ti1</t>
  </si>
  <si>
    <t>ti1_1</t>
  </si>
  <si>
    <t>spádová mazanina římsy</t>
  </si>
  <si>
    <t>atika</t>
  </si>
  <si>
    <t>délka x rozv.šířka</t>
  </si>
  <si>
    <t>délka x šířka</t>
  </si>
  <si>
    <t>tepelná izolace římsy</t>
  </si>
  <si>
    <t>hydroizolace římsy</t>
  </si>
  <si>
    <t>hi1</t>
  </si>
  <si>
    <t>f9</t>
  </si>
  <si>
    <t>TI spodku římsy</t>
  </si>
  <si>
    <t>P1</t>
  </si>
  <si>
    <t>pemrlování v š.70mm na nároží sloupů</t>
  </si>
  <si>
    <t>p1</t>
  </si>
  <si>
    <t>-0,050</t>
  </si>
  <si>
    <t>pemrlování - sloupy 1NP</t>
  </si>
  <si>
    <t>P2</t>
  </si>
  <si>
    <t>panceřovaná omítka do 1,5m nad terén</t>
  </si>
  <si>
    <t>p2</t>
  </si>
  <si>
    <t>+1,500</t>
  </si>
  <si>
    <t>+5,200</t>
  </si>
  <si>
    <t>+0,000</t>
  </si>
  <si>
    <t>podloubí</t>
  </si>
  <si>
    <t>sloupy podloubí</t>
  </si>
  <si>
    <t>+4,900</t>
  </si>
  <si>
    <t>+4,500</t>
  </si>
  <si>
    <t>+4,300</t>
  </si>
  <si>
    <t>+4,100</t>
  </si>
  <si>
    <t>+3,900</t>
  </si>
  <si>
    <t>+5,050</t>
  </si>
  <si>
    <t>+5,100</t>
  </si>
  <si>
    <t>+4,800</t>
  </si>
  <si>
    <t>+4,000</t>
  </si>
  <si>
    <t>schodiště</t>
  </si>
  <si>
    <t>1NP - svah</t>
  </si>
  <si>
    <t>STROPY A PODHLEDY</t>
  </si>
  <si>
    <t>viz.tabulka A4 - Podhledy, stropy</t>
  </si>
  <si>
    <t>ATRIA</t>
  </si>
  <si>
    <t>2.83</t>
  </si>
  <si>
    <t>2.84</t>
  </si>
  <si>
    <t>f3</t>
  </si>
  <si>
    <t>f7</t>
  </si>
  <si>
    <t>sokl</t>
  </si>
  <si>
    <t>F7_1</t>
  </si>
  <si>
    <t>zateplení atria pod úrovní terénu</t>
  </si>
  <si>
    <t>f7_1</t>
  </si>
  <si>
    <t>dřevěný obklad</t>
  </si>
  <si>
    <t>sokl - zemina</t>
  </si>
  <si>
    <t>zateplení pod UT - zemina</t>
  </si>
  <si>
    <t>sokl nad světlíkem</t>
  </si>
  <si>
    <t>zateplení za truhlíky</t>
  </si>
  <si>
    <t>omítka spodku římsy</t>
  </si>
  <si>
    <t>f6</t>
  </si>
  <si>
    <t>-0,565</t>
  </si>
  <si>
    <t>-0,465</t>
  </si>
  <si>
    <t>+2,100</t>
  </si>
  <si>
    <t>+2,100/+2,675</t>
  </si>
  <si>
    <t>+2,735</t>
  </si>
  <si>
    <t>izolace pod terénem</t>
  </si>
  <si>
    <t>+2,235</t>
  </si>
  <si>
    <t>+2,675/+3,200</t>
  </si>
  <si>
    <t>+3,200/+3,540</t>
  </si>
  <si>
    <t>f6_1</t>
  </si>
  <si>
    <t>F6_1</t>
  </si>
  <si>
    <t>+3,235</t>
  </si>
  <si>
    <t>+3,550</t>
  </si>
  <si>
    <t>lodžie</t>
  </si>
  <si>
    <t>+3,490</t>
  </si>
  <si>
    <t>+3,440</t>
  </si>
  <si>
    <t>+3,050/+3,700</t>
  </si>
  <si>
    <t>+2,660/+3,050</t>
  </si>
  <si>
    <t>+2,100/+2,660</t>
  </si>
  <si>
    <t>+1,750/±0,000</t>
  </si>
  <si>
    <t>svah</t>
  </si>
  <si>
    <t>-0,200</t>
  </si>
  <si>
    <t>+0,650/±0,000</t>
  </si>
  <si>
    <t>+3,300</t>
  </si>
  <si>
    <t>+3,035</t>
  </si>
  <si>
    <t>+2,935</t>
  </si>
  <si>
    <t>izolace zdi 1NP</t>
  </si>
  <si>
    <t>izolace vni pasu</t>
  </si>
  <si>
    <t>F6_2</t>
  </si>
  <si>
    <t>f6_2</t>
  </si>
  <si>
    <t>izolace na styku s terénem - 2xasf.pás+textilie</t>
  </si>
  <si>
    <t>izolace zdi schodiště</t>
  </si>
  <si>
    <t>šachta</t>
  </si>
  <si>
    <t>výtahová šachta</t>
  </si>
  <si>
    <t>-1,665</t>
  </si>
  <si>
    <t>-1,515</t>
  </si>
  <si>
    <t>f6_3</t>
  </si>
  <si>
    <t>F6_3</t>
  </si>
  <si>
    <t>izolační přizdívka tl.150mm</t>
  </si>
  <si>
    <t>izolační přizdívka</t>
  </si>
  <si>
    <t>pasy</t>
  </si>
  <si>
    <t>+3,135</t>
  </si>
  <si>
    <t>izolace na styku s terénem - TI, HI, nopová foie 20mm. Textilie</t>
  </si>
  <si>
    <t>izolace na styku s terénem - dtto. bez tepelné izolace</t>
  </si>
  <si>
    <t>Čís. pol</t>
  </si>
  <si>
    <t>Plocha
(m2)</t>
  </si>
  <si>
    <t>Délka
(m)</t>
  </si>
  <si>
    <t>SKLADBY FASÁDY - MATERIÁLY</t>
  </si>
  <si>
    <t>fasádní nátěr - paroprospustný, antigrafitový, bezbarvý, ochranný</t>
  </si>
  <si>
    <t>vnější tažená probarvená omítka - profilovaná</t>
  </si>
  <si>
    <t>mezinátěr (penetrace)</t>
  </si>
  <si>
    <t>MV podélné vlákno 180mm</t>
  </si>
  <si>
    <t>XPS 180mm</t>
  </si>
  <si>
    <t>hydroizolační stěrka</t>
  </si>
  <si>
    <t>dřevěný obklad, nosný rošt</t>
  </si>
  <si>
    <t>difúzně otevřená folie</t>
  </si>
  <si>
    <t>broušená omítka vč.základní omítky</t>
  </si>
  <si>
    <t>MV podélné vlákno 80mm</t>
  </si>
  <si>
    <t>XPS 80mm</t>
  </si>
  <si>
    <t>geotextilie 300g/m2</t>
  </si>
  <si>
    <t>nopová folie 20mm</t>
  </si>
  <si>
    <t>hydroizolace z 2xSBS asf.pásy, penetrace</t>
  </si>
  <si>
    <t>tepelná izolace pod rošt - desky z minerální vlny 200mm</t>
  </si>
  <si>
    <t>tepelná izolace pod rošt - XPS 180mm</t>
  </si>
  <si>
    <t>STĚNY</t>
  </si>
  <si>
    <t>PODHLEDY</t>
  </si>
  <si>
    <t>zateplení stěny (lepení+mechanicky) - deska XPS 100mm</t>
  </si>
  <si>
    <t>ETICS:</t>
  </si>
  <si>
    <t>MV podélné vlákno 230mm</t>
  </si>
  <si>
    <t>MV podélné vlákno 60mm</t>
  </si>
  <si>
    <t>MV podélné vlákno 20mm</t>
  </si>
  <si>
    <t>broušená omítka vč.základní omítky - stěna</t>
  </si>
  <si>
    <t>sloup</t>
  </si>
  <si>
    <t>mezinátěr (penetrace) - stěna</t>
  </si>
  <si>
    <t>11.1</t>
  </si>
  <si>
    <t>11.2</t>
  </si>
  <si>
    <t>27.1</t>
  </si>
  <si>
    <t>tepelněizolační zátky - MV</t>
  </si>
  <si>
    <t>tepelněizolační zátky - EPS</t>
  </si>
  <si>
    <t>hydroizolace římsy - 1xasf.pás, penetrace</t>
  </si>
  <si>
    <t>L1</t>
  </si>
  <si>
    <t>fasádní lešení</t>
  </si>
  <si>
    <t>l1</t>
  </si>
  <si>
    <t>-1,600/-0,150</t>
  </si>
  <si>
    <t>±0,000</t>
  </si>
  <si>
    <t>±0,000/-1,600</t>
  </si>
  <si>
    <t>-0,150/+1,750</t>
  </si>
  <si>
    <t>-0,020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</si>
</sst>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vertAlign val="superscript"/>
      <sz val="9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rgb="FFC00000"/>
      <name val="Calibri"/>
      <family val="2"/>
      <charset val="238"/>
      <scheme val="minor"/>
    </font>
    <font>
      <sz val="9"/>
      <color rgb="FFC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rgb="FFC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49" fontId="0" fillId="0" borderId="0" xfId="0" applyNumberFormat="1"/>
    <xf numFmtId="4" fontId="0" fillId="0" borderId="1" xfId="0" applyNumberFormat="1" applyBorder="1" applyAlignment="1">
      <alignment vertical="center"/>
    </xf>
    <xf numFmtId="0" fontId="0" fillId="2" borderId="4" xfId="0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9" fontId="4" fillId="3" borderId="1" xfId="0" applyNumberFormat="1" applyFont="1" applyFill="1" applyBorder="1"/>
    <xf numFmtId="49" fontId="5" fillId="3" borderId="1" xfId="0" applyNumberFormat="1" applyFont="1" applyFill="1" applyBorder="1"/>
    <xf numFmtId="4" fontId="5" fillId="3" borderId="1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vertical="center"/>
    </xf>
    <xf numFmtId="0" fontId="9" fillId="2" borderId="7" xfId="0" applyFont="1" applyFill="1" applyBorder="1" applyAlignment="1">
      <alignment horizontal="center" vertical="center"/>
    </xf>
    <xf numFmtId="49" fontId="7" fillId="3" borderId="1" xfId="0" applyNumberFormat="1" applyFont="1" applyFill="1" applyBorder="1"/>
    <xf numFmtId="0" fontId="9" fillId="2" borderId="8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49" fontId="0" fillId="0" borderId="1" xfId="0" applyNumberFormat="1" applyFont="1" applyBorder="1"/>
    <xf numFmtId="49" fontId="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2" fontId="0" fillId="0" borderId="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49" fontId="5" fillId="0" borderId="7" xfId="0" applyNumberFormat="1" applyFont="1" applyBorder="1"/>
    <xf numFmtId="0" fontId="11" fillId="0" borderId="1" xfId="0" applyFont="1" applyFill="1" applyBorder="1" applyAlignment="1">
      <alignment vertical="center"/>
    </xf>
    <xf numFmtId="2" fontId="10" fillId="0" borderId="1" xfId="0" applyNumberFormat="1" applyFont="1" applyFill="1" applyBorder="1" applyAlignment="1">
      <alignment vertical="center"/>
    </xf>
    <xf numFmtId="49" fontId="12" fillId="0" borderId="1" xfId="0" applyNumberFormat="1" applyFont="1" applyBorder="1" applyAlignment="1">
      <alignment horizontal="center" vertical="center"/>
    </xf>
    <xf numFmtId="4" fontId="0" fillId="4" borderId="1" xfId="0" applyNumberFormat="1" applyFill="1" applyBorder="1" applyAlignment="1">
      <alignment vertical="center"/>
    </xf>
    <xf numFmtId="4" fontId="0" fillId="0" borderId="0" xfId="0" applyNumberFormat="1"/>
    <xf numFmtId="49" fontId="12" fillId="0" borderId="1" xfId="0" applyNumberFormat="1" applyFont="1" applyFill="1" applyBorder="1" applyAlignment="1">
      <alignment horizontal="center" vertical="center"/>
    </xf>
    <xf numFmtId="0" fontId="12" fillId="0" borderId="0" xfId="0" applyFont="1"/>
    <xf numFmtId="0" fontId="2" fillId="2" borderId="5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0" xfId="0" applyFont="1"/>
    <xf numFmtId="4" fontId="2" fillId="0" borderId="1" xfId="0" applyNumberFormat="1" applyFont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wrapText="1"/>
    </xf>
    <xf numFmtId="49" fontId="2" fillId="0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/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vertical="center"/>
    </xf>
    <xf numFmtId="4" fontId="0" fillId="0" borderId="1" xfId="0" applyNumberFormat="1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vertical="center"/>
    </xf>
    <xf numFmtId="4" fontId="7" fillId="3" borderId="1" xfId="0" applyNumberFormat="1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4" fontId="12" fillId="0" borderId="18" xfId="0" applyNumberFormat="1" applyFont="1" applyBorder="1" applyAlignment="1">
      <alignment horizontal="center"/>
    </xf>
    <xf numFmtId="49" fontId="6" fillId="0" borderId="18" xfId="0" applyNumberFormat="1" applyFont="1" applyBorder="1" applyAlignment="1">
      <alignment horizontal="center" vertical="center" wrapText="1"/>
    </xf>
    <xf numFmtId="0" fontId="15" fillId="0" borderId="0" xfId="0" applyFont="1"/>
    <xf numFmtId="49" fontId="5" fillId="0" borderId="1" xfId="0" applyNumberFormat="1" applyFont="1" applyBorder="1"/>
    <xf numFmtId="0" fontId="0" fillId="5" borderId="19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/>
    </xf>
    <xf numFmtId="0" fontId="0" fillId="5" borderId="30" xfId="0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49" fontId="6" fillId="0" borderId="17" xfId="0" applyNumberFormat="1" applyFont="1" applyBorder="1" applyAlignment="1">
      <alignment horizontal="left" vertical="center" wrapText="1"/>
    </xf>
    <xf numFmtId="49" fontId="6" fillId="0" borderId="18" xfId="0" applyNumberFormat="1" applyFont="1" applyBorder="1" applyAlignment="1">
      <alignment horizontal="left" vertical="center"/>
    </xf>
    <xf numFmtId="49" fontId="6" fillId="0" borderId="19" xfId="0" applyNumberFormat="1" applyFont="1" applyBorder="1" applyAlignment="1">
      <alignment horizontal="left" vertical="center"/>
    </xf>
    <xf numFmtId="49" fontId="6" fillId="0" borderId="17" xfId="0" applyNumberFormat="1" applyFont="1" applyFill="1" applyBorder="1" applyAlignment="1">
      <alignment horizontal="left" vertical="center" wrapText="1"/>
    </xf>
    <xf numFmtId="1" fontId="6" fillId="0" borderId="1" xfId="0" applyNumberFormat="1" applyFont="1" applyBorder="1" applyAlignment="1">
      <alignment horizontal="center" vertical="center"/>
    </xf>
    <xf numFmtId="0" fontId="10" fillId="0" borderId="17" xfId="0" applyFont="1" applyBorder="1"/>
    <xf numFmtId="4" fontId="12" fillId="0" borderId="1" xfId="0" applyNumberFormat="1" applyFont="1" applyBorder="1"/>
    <xf numFmtId="0" fontId="12" fillId="0" borderId="1" xfId="0" applyFont="1" applyBorder="1"/>
    <xf numFmtId="4" fontId="2" fillId="0" borderId="1" xfId="0" applyNumberFormat="1" applyFont="1" applyBorder="1"/>
    <xf numFmtId="49" fontId="6" fillId="0" borderId="3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6" fillId="0" borderId="22" xfId="0" applyNumberFormat="1" applyFont="1" applyBorder="1" applyAlignment="1">
      <alignment horizontal="left" vertical="center" wrapText="1"/>
    </xf>
    <xf numFmtId="49" fontId="6" fillId="0" borderId="17" xfId="0" applyNumberFormat="1" applyFont="1" applyBorder="1" applyAlignment="1">
      <alignment horizontal="left" vertical="center"/>
    </xf>
    <xf numFmtId="49" fontId="6" fillId="0" borderId="17" xfId="0" applyNumberFormat="1" applyFont="1" applyFill="1" applyBorder="1" applyAlignment="1">
      <alignment horizontal="left" vertical="center"/>
    </xf>
    <xf numFmtId="49" fontId="6" fillId="6" borderId="17" xfId="0" applyNumberFormat="1" applyFont="1" applyFill="1" applyBorder="1" applyAlignment="1">
      <alignment horizontal="left" vertical="center"/>
    </xf>
    <xf numFmtId="0" fontId="17" fillId="0" borderId="16" xfId="0" applyFont="1" applyBorder="1"/>
    <xf numFmtId="1" fontId="6" fillId="0" borderId="1" xfId="0" quotePrefix="1" applyNumberFormat="1" applyFont="1" applyBorder="1" applyAlignment="1">
      <alignment horizontal="center" vertical="center"/>
    </xf>
    <xf numFmtId="0" fontId="10" fillId="0" borderId="16" xfId="0" applyFont="1" applyFill="1" applyBorder="1"/>
    <xf numFmtId="0" fontId="10" fillId="0" borderId="17" xfId="0" applyFont="1" applyFill="1" applyBorder="1"/>
    <xf numFmtId="0" fontId="17" fillId="0" borderId="16" xfId="0" applyFont="1" applyFill="1" applyBorder="1"/>
    <xf numFmtId="0" fontId="0" fillId="2" borderId="9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textRotation="90" wrapText="1"/>
    </xf>
    <xf numFmtId="0" fontId="6" fillId="2" borderId="7" xfId="0" applyFont="1" applyFill="1" applyBorder="1" applyAlignment="1">
      <alignment horizontal="center" vertical="center" textRotation="90" wrapText="1"/>
    </xf>
    <xf numFmtId="0" fontId="6" fillId="2" borderId="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textRotation="90"/>
    </xf>
    <xf numFmtId="0" fontId="2" fillId="2" borderId="5" xfId="0" applyFont="1" applyFill="1" applyBorder="1" applyAlignment="1">
      <alignment horizontal="center" vertical="center" textRotation="90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textRotation="90"/>
    </xf>
    <xf numFmtId="0" fontId="2" fillId="2" borderId="25" xfId="0" applyFont="1" applyFill="1" applyBorder="1" applyAlignment="1">
      <alignment horizontal="center" vertical="center" textRotation="90"/>
    </xf>
    <xf numFmtId="0" fontId="2" fillId="2" borderId="26" xfId="0" applyFont="1" applyFill="1" applyBorder="1" applyAlignment="1">
      <alignment horizontal="center" vertical="center" textRotation="90"/>
    </xf>
    <xf numFmtId="0" fontId="2" fillId="2" borderId="13" xfId="0" applyFont="1" applyFill="1" applyBorder="1" applyAlignment="1">
      <alignment horizontal="center" vertical="center" textRotation="90"/>
    </xf>
    <xf numFmtId="0" fontId="2" fillId="2" borderId="13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 wrapText="1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31" xfId="0" applyFill="1" applyBorder="1" applyAlignment="1">
      <alignment horizontal="center" vertical="center" wrapText="1"/>
    </xf>
    <xf numFmtId="0" fontId="0" fillId="5" borderId="30" xfId="0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0" fontId="0" fillId="5" borderId="32" xfId="0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4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9F57B-A8FA-473E-9876-B7BE548CC112}">
  <sheetPr codeName="List8">
    <tabColor rgb="FF0070C0"/>
    <pageSetUpPr fitToPage="1"/>
  </sheetPr>
  <dimension ref="A1:AH481"/>
  <sheetViews>
    <sheetView zoomScaleNormal="100" workbookViewId="0">
      <pane xSplit="10" ySplit="9" topLeftCell="K81" activePane="bottomRight" state="frozen"/>
      <selection pane="topRight" activeCell="K1" sqref="K1"/>
      <selection pane="bottomLeft" activeCell="A10" sqref="A10"/>
      <selection pane="bottomRight" activeCell="K283" sqref="K283"/>
    </sheetView>
  </sheetViews>
  <sheetFormatPr defaultRowHeight="15" x14ac:dyDescent="0.25"/>
  <cols>
    <col min="1" max="1" width="3.140625" customWidth="1"/>
    <col min="2" max="7" width="4.5703125" customWidth="1"/>
    <col min="8" max="8" width="21.5703125" customWidth="1"/>
    <col min="9" max="12" width="5.7109375" customWidth="1"/>
    <col min="13" max="13" width="6.7109375" customWidth="1"/>
    <col min="14" max="14" width="10.7109375" customWidth="1"/>
    <col min="15" max="18" width="5.7109375" customWidth="1"/>
    <col min="19" max="19" width="10.7109375" customWidth="1"/>
    <col min="20" max="27" width="5.7109375" customWidth="1"/>
    <col min="28" max="32" width="8.85546875" customWidth="1"/>
    <col min="33" max="33" width="18.140625" customWidth="1"/>
    <col min="34" max="34" width="0.85546875" customWidth="1"/>
  </cols>
  <sheetData>
    <row r="1" spans="1:34" ht="18.75" x14ac:dyDescent="0.3">
      <c r="A1" s="1" t="s">
        <v>38</v>
      </c>
      <c r="B1" s="1"/>
      <c r="C1" s="1"/>
      <c r="D1" s="1"/>
      <c r="E1" s="1"/>
      <c r="F1" s="1"/>
      <c r="G1" s="1"/>
      <c r="H1" s="1"/>
      <c r="I1" s="1"/>
      <c r="J1" s="1"/>
    </row>
    <row r="2" spans="1:34" ht="15.75" thickBot="1" x14ac:dyDescent="0.3"/>
    <row r="3" spans="1:34" ht="15" customHeight="1" x14ac:dyDescent="0.25">
      <c r="A3" s="92" t="s">
        <v>3</v>
      </c>
      <c r="B3" s="93"/>
      <c r="C3" s="93"/>
      <c r="D3" s="93"/>
      <c r="E3" s="93"/>
      <c r="F3" s="93"/>
      <c r="G3" s="93"/>
      <c r="H3" s="93"/>
      <c r="I3" s="53"/>
      <c r="J3" s="53"/>
      <c r="K3" s="79" t="s">
        <v>25</v>
      </c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1"/>
      <c r="X3" s="83" t="s">
        <v>31</v>
      </c>
      <c r="Y3" s="84"/>
      <c r="Z3" s="84"/>
      <c r="AA3" s="85"/>
      <c r="AB3" s="79" t="s">
        <v>7</v>
      </c>
      <c r="AC3" s="80"/>
      <c r="AD3" s="80"/>
      <c r="AE3" s="80"/>
      <c r="AF3" s="81"/>
      <c r="AG3" s="91" t="s">
        <v>0</v>
      </c>
      <c r="AH3" s="4"/>
    </row>
    <row r="4" spans="1:34" ht="15" customHeight="1" x14ac:dyDescent="0.25">
      <c r="A4" s="103" t="s">
        <v>14</v>
      </c>
      <c r="B4" s="104"/>
      <c r="C4" s="105"/>
      <c r="D4" s="113" t="s">
        <v>4</v>
      </c>
      <c r="E4" s="114"/>
      <c r="F4" s="114"/>
      <c r="G4" s="115"/>
      <c r="H4" s="94" t="s">
        <v>0</v>
      </c>
      <c r="I4" s="109" t="s">
        <v>90</v>
      </c>
      <c r="J4" s="109" t="s">
        <v>89</v>
      </c>
      <c r="K4" s="100" t="s">
        <v>11</v>
      </c>
      <c r="L4" s="101"/>
      <c r="M4" s="102"/>
      <c r="N4" s="100" t="s">
        <v>12</v>
      </c>
      <c r="O4" s="101"/>
      <c r="P4" s="101"/>
      <c r="Q4" s="101"/>
      <c r="R4" s="102"/>
      <c r="S4" s="100" t="s">
        <v>13</v>
      </c>
      <c r="T4" s="101"/>
      <c r="U4" s="101"/>
      <c r="V4" s="101"/>
      <c r="W4" s="102"/>
      <c r="X4" s="86"/>
      <c r="Y4" s="87"/>
      <c r="Z4" s="87"/>
      <c r="AA4" s="88"/>
      <c r="AB4" s="82" t="s">
        <v>8</v>
      </c>
      <c r="AC4" s="82" t="s">
        <v>45</v>
      </c>
      <c r="AD4" s="82" t="s">
        <v>43</v>
      </c>
      <c r="AE4" s="82" t="s">
        <v>32</v>
      </c>
      <c r="AF4" s="82" t="s">
        <v>44</v>
      </c>
      <c r="AG4" s="82"/>
      <c r="AH4" s="9"/>
    </row>
    <row r="5" spans="1:34" ht="14.45" customHeight="1" x14ac:dyDescent="0.25">
      <c r="A5" s="106" t="s">
        <v>16</v>
      </c>
      <c r="B5" s="109" t="s">
        <v>17</v>
      </c>
      <c r="C5" s="110" t="s">
        <v>15</v>
      </c>
      <c r="D5" s="98" t="s">
        <v>18</v>
      </c>
      <c r="E5" s="98" t="s">
        <v>19</v>
      </c>
      <c r="F5" s="98" t="s">
        <v>20</v>
      </c>
      <c r="G5" s="98" t="s">
        <v>26</v>
      </c>
      <c r="H5" s="95"/>
      <c r="I5" s="98"/>
      <c r="J5" s="98"/>
      <c r="K5" s="97" t="s">
        <v>21</v>
      </c>
      <c r="L5" s="97" t="s">
        <v>6</v>
      </c>
      <c r="M5" s="116" t="s">
        <v>36</v>
      </c>
      <c r="N5" s="97" t="s">
        <v>10</v>
      </c>
      <c r="O5" s="97" t="s">
        <v>22</v>
      </c>
      <c r="P5" s="97" t="s">
        <v>6</v>
      </c>
      <c r="Q5" s="116" t="s">
        <v>36</v>
      </c>
      <c r="R5" s="97" t="s">
        <v>23</v>
      </c>
      <c r="S5" s="97" t="s">
        <v>10</v>
      </c>
      <c r="T5" s="97" t="s">
        <v>22</v>
      </c>
      <c r="U5" s="97" t="s">
        <v>6</v>
      </c>
      <c r="V5" s="116" t="s">
        <v>36</v>
      </c>
      <c r="W5" s="97" t="s">
        <v>23</v>
      </c>
      <c r="X5" s="89" t="s">
        <v>30</v>
      </c>
      <c r="Y5" s="89" t="s">
        <v>27</v>
      </c>
      <c r="Z5" s="89" t="s">
        <v>28</v>
      </c>
      <c r="AA5" s="89" t="s">
        <v>29</v>
      </c>
      <c r="AB5" s="82"/>
      <c r="AC5" s="82"/>
      <c r="AD5" s="82"/>
      <c r="AE5" s="82"/>
      <c r="AF5" s="82"/>
      <c r="AG5" s="82"/>
      <c r="AH5" s="9"/>
    </row>
    <row r="6" spans="1:34" x14ac:dyDescent="0.25">
      <c r="A6" s="107"/>
      <c r="B6" s="98"/>
      <c r="C6" s="111"/>
      <c r="D6" s="98"/>
      <c r="E6" s="98"/>
      <c r="F6" s="98"/>
      <c r="G6" s="98"/>
      <c r="H6" s="95"/>
      <c r="I6" s="98"/>
      <c r="J6" s="98"/>
      <c r="K6" s="82"/>
      <c r="L6" s="82"/>
      <c r="M6" s="117"/>
      <c r="N6" s="82"/>
      <c r="O6" s="82"/>
      <c r="P6" s="82"/>
      <c r="Q6" s="117"/>
      <c r="R6" s="82"/>
      <c r="S6" s="82"/>
      <c r="T6" s="82"/>
      <c r="U6" s="82"/>
      <c r="V6" s="117"/>
      <c r="W6" s="82"/>
      <c r="X6" s="90"/>
      <c r="Y6" s="90"/>
      <c r="Z6" s="90"/>
      <c r="AA6" s="90"/>
      <c r="AB6" s="82"/>
      <c r="AC6" s="82"/>
      <c r="AD6" s="82"/>
      <c r="AE6" s="82"/>
      <c r="AF6" s="82"/>
      <c r="AG6" s="82"/>
      <c r="AH6" s="9"/>
    </row>
    <row r="7" spans="1:34" ht="14.45" customHeight="1" x14ac:dyDescent="0.25">
      <c r="A7" s="107"/>
      <c r="B7" s="98"/>
      <c r="C7" s="111"/>
      <c r="D7" s="98"/>
      <c r="E7" s="98"/>
      <c r="F7" s="98"/>
      <c r="G7" s="98"/>
      <c r="H7" s="95"/>
      <c r="I7" s="98"/>
      <c r="J7" s="98"/>
      <c r="K7" s="82"/>
      <c r="L7" s="82"/>
      <c r="M7" s="117"/>
      <c r="N7" s="82"/>
      <c r="O7" s="82"/>
      <c r="P7" s="82"/>
      <c r="Q7" s="117"/>
      <c r="R7" s="82"/>
      <c r="S7" s="82"/>
      <c r="T7" s="82"/>
      <c r="U7" s="82"/>
      <c r="V7" s="117"/>
      <c r="W7" s="82"/>
      <c r="X7" s="90"/>
      <c r="Y7" s="90"/>
      <c r="Z7" s="90"/>
      <c r="AA7" s="90"/>
      <c r="AB7" s="82"/>
      <c r="AC7" s="82"/>
      <c r="AD7" s="82"/>
      <c r="AE7" s="82"/>
      <c r="AF7" s="82"/>
      <c r="AG7" s="82"/>
      <c r="AH7" s="9"/>
    </row>
    <row r="8" spans="1:34" x14ac:dyDescent="0.25">
      <c r="A8" s="107"/>
      <c r="B8" s="98"/>
      <c r="C8" s="111"/>
      <c r="D8" s="98"/>
      <c r="E8" s="98"/>
      <c r="F8" s="98"/>
      <c r="G8" s="98"/>
      <c r="H8" s="95"/>
      <c r="I8" s="98"/>
      <c r="J8" s="98"/>
      <c r="K8" s="82"/>
      <c r="L8" s="82"/>
      <c r="M8" s="117"/>
      <c r="N8" s="82"/>
      <c r="O8" s="82"/>
      <c r="P8" s="82"/>
      <c r="Q8" s="117"/>
      <c r="R8" s="82"/>
      <c r="S8" s="82"/>
      <c r="T8" s="82"/>
      <c r="U8" s="82"/>
      <c r="V8" s="117"/>
      <c r="W8" s="82"/>
      <c r="X8" s="90"/>
      <c r="Y8" s="90"/>
      <c r="Z8" s="90"/>
      <c r="AA8" s="90"/>
      <c r="AB8" s="82"/>
      <c r="AC8" s="82"/>
      <c r="AD8" s="82"/>
      <c r="AE8" s="82"/>
      <c r="AF8" s="82"/>
      <c r="AG8" s="11"/>
      <c r="AH8" s="13"/>
    </row>
    <row r="9" spans="1:34" ht="15.75" thickBot="1" x14ac:dyDescent="0.3">
      <c r="A9" s="108"/>
      <c r="B9" s="99"/>
      <c r="C9" s="112"/>
      <c r="D9" s="99"/>
      <c r="E9" s="99"/>
      <c r="F9" s="99"/>
      <c r="G9" s="99"/>
      <c r="H9" s="96"/>
      <c r="I9" s="45" t="s">
        <v>92</v>
      </c>
      <c r="J9" s="45" t="s">
        <v>91</v>
      </c>
      <c r="K9" s="14" t="s">
        <v>5</v>
      </c>
      <c r="L9" s="14" t="s">
        <v>5</v>
      </c>
      <c r="M9" s="38" t="s">
        <v>1</v>
      </c>
      <c r="N9" s="36"/>
      <c r="O9" s="36" t="s">
        <v>5</v>
      </c>
      <c r="P9" s="36" t="s">
        <v>5</v>
      </c>
      <c r="Q9" s="38" t="s">
        <v>1</v>
      </c>
      <c r="R9" s="28" t="s">
        <v>24</v>
      </c>
      <c r="S9" s="36"/>
      <c r="T9" s="36" t="s">
        <v>5</v>
      </c>
      <c r="U9" s="36" t="s">
        <v>5</v>
      </c>
      <c r="V9" s="38" t="s">
        <v>1</v>
      </c>
      <c r="W9" s="36" t="s">
        <v>24</v>
      </c>
      <c r="X9" s="37" t="s">
        <v>5</v>
      </c>
      <c r="Y9" s="37" t="s">
        <v>5</v>
      </c>
      <c r="Z9" s="37" t="s">
        <v>5</v>
      </c>
      <c r="AA9" s="37" t="s">
        <v>5</v>
      </c>
      <c r="AB9" s="14" t="s">
        <v>1</v>
      </c>
      <c r="AC9" s="37" t="s">
        <v>5</v>
      </c>
      <c r="AD9" s="41" t="s">
        <v>1</v>
      </c>
      <c r="AE9" s="37" t="s">
        <v>1</v>
      </c>
      <c r="AF9" s="44" t="s">
        <v>1</v>
      </c>
      <c r="AG9" s="19"/>
      <c r="AH9" s="5"/>
    </row>
    <row r="10" spans="1:34" x14ac:dyDescent="0.25">
      <c r="A10" s="20" t="s">
        <v>69</v>
      </c>
      <c r="B10" s="16"/>
      <c r="C10" s="34"/>
      <c r="D10" s="26"/>
      <c r="E10" s="26"/>
      <c r="F10" s="26"/>
      <c r="G10" s="26"/>
      <c r="H10" s="21"/>
      <c r="I10" s="54"/>
      <c r="J10" s="54"/>
      <c r="K10" s="22"/>
      <c r="L10" s="10"/>
      <c r="M10" s="10"/>
      <c r="N10" s="39"/>
      <c r="O10" s="10"/>
      <c r="P10" s="40"/>
      <c r="Q10" s="40"/>
      <c r="R10" s="40"/>
      <c r="S10" s="39"/>
      <c r="T10" s="40"/>
      <c r="U10" s="40"/>
      <c r="V10" s="40"/>
      <c r="W10" s="40"/>
      <c r="X10" s="40"/>
      <c r="Y10" s="40"/>
      <c r="Z10" s="40"/>
      <c r="AA10" s="40"/>
      <c r="AB10" s="24" t="str">
        <f t="shared" ref="AB10:AB11" si="0">IF(K10*L10+M10-O10*P10*R10-Q10*R10+T10*U10*W10+V10*W10&lt;&gt;0,K10*L10+M10-O10*P10*R10-Q10*R10+T10*U10*W10+V10*W10,"")</f>
        <v/>
      </c>
      <c r="AC10" s="24" t="str">
        <f t="shared" ref="AC10:AC11" si="1">IF(W10*SUM(Y10:AA10)&lt;&gt;0,W10*SUM(Y10:AA10),"")</f>
        <v/>
      </c>
      <c r="AD10" s="24" t="str">
        <f t="shared" ref="AD10:AD11" si="2">IF(W10*X10*SUM(Y10:AA10)&lt;&gt;0,W10*X10*SUM(Y10:AA10),"")</f>
        <v/>
      </c>
      <c r="AE10" s="24" t="str">
        <f t="shared" ref="AE10:AE11" si="3">IF(O10*P10*R10+Q10*R10&lt;&gt;0,O10*P10*R10+Q10*R10,"")</f>
        <v/>
      </c>
      <c r="AF10" s="24" t="str">
        <f t="shared" ref="AF10:AF11" si="4">IF(W10*X10*(Z10+AA10)&lt;&gt;0,W10*X10*(Z10+AA10),"")</f>
        <v/>
      </c>
      <c r="AG10" s="31"/>
      <c r="AH10" s="3"/>
    </row>
    <row r="11" spans="1:34" x14ac:dyDescent="0.25">
      <c r="A11" s="15" t="s">
        <v>70</v>
      </c>
      <c r="B11" s="16" t="s">
        <v>71</v>
      </c>
      <c r="C11" s="34"/>
      <c r="D11" s="26" t="s">
        <v>81</v>
      </c>
      <c r="E11" s="26"/>
      <c r="F11" s="26"/>
      <c r="G11" s="26"/>
      <c r="H11" s="21" t="s">
        <v>83</v>
      </c>
      <c r="I11" s="54"/>
      <c r="J11" s="54"/>
      <c r="K11" s="22">
        <v>5.7</v>
      </c>
      <c r="L11" s="10">
        <f>3.35-0.3</f>
        <v>3.0500000000000003</v>
      </c>
      <c r="M11" s="10"/>
      <c r="N11" s="39"/>
      <c r="O11" s="10"/>
      <c r="P11" s="40"/>
      <c r="Q11" s="40"/>
      <c r="R11" s="40"/>
      <c r="S11" s="39"/>
      <c r="T11" s="40"/>
      <c r="U11" s="40"/>
      <c r="V11" s="40"/>
      <c r="W11" s="40"/>
      <c r="X11" s="40"/>
      <c r="Y11" s="40"/>
      <c r="Z11" s="40"/>
      <c r="AA11" s="40"/>
      <c r="AB11" s="24">
        <f t="shared" si="0"/>
        <v>17.385000000000002</v>
      </c>
      <c r="AC11" s="24" t="str">
        <f t="shared" si="1"/>
        <v/>
      </c>
      <c r="AD11" s="24" t="str">
        <f t="shared" si="2"/>
        <v/>
      </c>
      <c r="AE11" s="24" t="str">
        <f t="shared" si="3"/>
        <v/>
      </c>
      <c r="AF11" s="24" t="str">
        <f t="shared" si="4"/>
        <v/>
      </c>
      <c r="AG11" s="31"/>
      <c r="AH11" s="3"/>
    </row>
    <row r="12" spans="1:34" x14ac:dyDescent="0.25">
      <c r="A12" s="15" t="s">
        <v>70</v>
      </c>
      <c r="B12" s="16" t="s">
        <v>71</v>
      </c>
      <c r="C12" s="34"/>
      <c r="D12" s="26" t="s">
        <v>79</v>
      </c>
      <c r="E12" s="26"/>
      <c r="F12" s="26"/>
      <c r="G12" s="26"/>
      <c r="H12" s="21" t="s">
        <v>86</v>
      </c>
      <c r="I12" s="54"/>
      <c r="J12" s="54"/>
      <c r="K12" s="22">
        <v>5.7</v>
      </c>
      <c r="L12" s="10">
        <f>0.3+0.13</f>
        <v>0.43</v>
      </c>
      <c r="M12" s="10"/>
      <c r="N12" s="39"/>
      <c r="O12" s="10"/>
      <c r="P12" s="40"/>
      <c r="Q12" s="40"/>
      <c r="R12" s="40"/>
      <c r="S12" s="39"/>
      <c r="T12" s="40"/>
      <c r="U12" s="40"/>
      <c r="V12" s="40"/>
      <c r="W12" s="40"/>
      <c r="X12" s="40"/>
      <c r="Y12" s="40"/>
      <c r="Z12" s="40"/>
      <c r="AA12" s="40"/>
      <c r="AB12" s="24">
        <f t="shared" ref="AB12:AB47" si="5">IF(K12*L12+M12-O12*P12*R12-Q12*R12+T12*U12*W12+V12*W12&lt;&gt;0,K12*L12+M12-O12*P12*R12-Q12*R12+T12*U12*W12+V12*W12,"")</f>
        <v>2.4510000000000001</v>
      </c>
      <c r="AC12" s="24" t="str">
        <f t="shared" ref="AC12:AC47" si="6">IF(W12*SUM(Y12:AA12)&lt;&gt;0,W12*SUM(Y12:AA12),"")</f>
        <v/>
      </c>
      <c r="AD12" s="24" t="str">
        <f t="shared" ref="AD12:AD47" si="7">IF(W12*X12*SUM(Y12:AA12)&lt;&gt;0,W12*X12*SUM(Y12:AA12),"")</f>
        <v/>
      </c>
      <c r="AE12" s="24" t="str">
        <f t="shared" ref="AE12:AE47" si="8">IF(O12*P12*R12+Q12*R12&lt;&gt;0,O12*P12*R12+Q12*R12,"")</f>
        <v/>
      </c>
      <c r="AF12" s="24" t="str">
        <f t="shared" ref="AF12:AF47" si="9">IF(W12*X12*(Z12+AA12)&lt;&gt;0,W12*X12*(Z12+AA12),"")</f>
        <v/>
      </c>
      <c r="AG12" s="31"/>
      <c r="AH12" s="3"/>
    </row>
    <row r="13" spans="1:34" x14ac:dyDescent="0.25">
      <c r="A13" s="15" t="s">
        <v>70</v>
      </c>
      <c r="B13" s="16" t="s">
        <v>71</v>
      </c>
      <c r="C13" s="34"/>
      <c r="D13" s="26" t="s">
        <v>82</v>
      </c>
      <c r="E13" s="26"/>
      <c r="F13" s="26"/>
      <c r="G13" s="26"/>
      <c r="H13" s="21" t="s">
        <v>84</v>
      </c>
      <c r="I13" s="54"/>
      <c r="J13" s="54"/>
      <c r="K13" s="22">
        <f>0.5*4*5</f>
        <v>10</v>
      </c>
      <c r="L13" s="10">
        <f>3.35-0.3</f>
        <v>3.0500000000000003</v>
      </c>
      <c r="M13" s="10"/>
      <c r="N13" s="39"/>
      <c r="O13" s="10"/>
      <c r="P13" s="40"/>
      <c r="Q13" s="40"/>
      <c r="R13" s="40"/>
      <c r="S13" s="39"/>
      <c r="T13" s="40"/>
      <c r="U13" s="40"/>
      <c r="V13" s="40"/>
      <c r="W13" s="40"/>
      <c r="X13" s="40"/>
      <c r="Y13" s="40"/>
      <c r="Z13" s="40"/>
      <c r="AA13" s="40"/>
      <c r="AB13" s="24">
        <f t="shared" si="5"/>
        <v>30.500000000000004</v>
      </c>
      <c r="AC13" s="24" t="str">
        <f t="shared" si="6"/>
        <v/>
      </c>
      <c r="AD13" s="24" t="str">
        <f t="shared" si="7"/>
        <v/>
      </c>
      <c r="AE13" s="24" t="str">
        <f t="shared" si="8"/>
        <v/>
      </c>
      <c r="AF13" s="24" t="str">
        <f t="shared" si="9"/>
        <v/>
      </c>
      <c r="AG13" s="31"/>
      <c r="AH13" s="3"/>
    </row>
    <row r="14" spans="1:34" x14ac:dyDescent="0.25">
      <c r="A14" s="15" t="s">
        <v>70</v>
      </c>
      <c r="B14" s="16" t="s">
        <v>71</v>
      </c>
      <c r="C14" s="34"/>
      <c r="D14" s="26" t="s">
        <v>80</v>
      </c>
      <c r="E14" s="26"/>
      <c r="F14" s="26"/>
      <c r="G14" s="26"/>
      <c r="H14" s="21" t="s">
        <v>85</v>
      </c>
      <c r="I14" s="54"/>
      <c r="J14" s="54"/>
      <c r="K14" s="22">
        <f>0.5*4*5</f>
        <v>10</v>
      </c>
      <c r="L14" s="10">
        <f>0.3+0.17</f>
        <v>0.47</v>
      </c>
      <c r="M14" s="10"/>
      <c r="N14" s="39"/>
      <c r="O14" s="10"/>
      <c r="P14" s="40"/>
      <c r="Q14" s="40"/>
      <c r="R14" s="40"/>
      <c r="S14" s="39"/>
      <c r="T14" s="40">
        <f>0.3*4</f>
        <v>1.2</v>
      </c>
      <c r="U14" s="40">
        <f>0.565-0.2</f>
        <v>0.36499999999999994</v>
      </c>
      <c r="V14" s="40"/>
      <c r="W14" s="40"/>
      <c r="X14" s="40"/>
      <c r="Y14" s="40"/>
      <c r="Z14" s="40"/>
      <c r="AA14" s="40"/>
      <c r="AB14" s="24">
        <f t="shared" si="5"/>
        <v>4.6999999999999993</v>
      </c>
      <c r="AC14" s="24" t="str">
        <f t="shared" si="6"/>
        <v/>
      </c>
      <c r="AD14" s="24" t="str">
        <f t="shared" si="7"/>
        <v/>
      </c>
      <c r="AE14" s="24" t="str">
        <f t="shared" si="8"/>
        <v/>
      </c>
      <c r="AF14" s="24" t="str">
        <f t="shared" si="9"/>
        <v/>
      </c>
      <c r="AG14" s="31"/>
      <c r="AH14" s="3"/>
    </row>
    <row r="15" spans="1:34" x14ac:dyDescent="0.25">
      <c r="A15" s="15" t="s">
        <v>70</v>
      </c>
      <c r="B15" s="16" t="s">
        <v>71</v>
      </c>
      <c r="C15" s="34"/>
      <c r="D15" s="26" t="s">
        <v>79</v>
      </c>
      <c r="E15" s="26"/>
      <c r="F15" s="26"/>
      <c r="G15" s="26"/>
      <c r="H15" s="21" t="s">
        <v>97</v>
      </c>
      <c r="I15" s="54" t="s">
        <v>93</v>
      </c>
      <c r="J15" s="54" t="s">
        <v>94</v>
      </c>
      <c r="K15" s="22"/>
      <c r="L15" s="10"/>
      <c r="M15" s="10">
        <v>13.02</v>
      </c>
      <c r="N15" s="39"/>
      <c r="O15" s="10"/>
      <c r="P15" s="40"/>
      <c r="Q15" s="40"/>
      <c r="R15" s="40"/>
      <c r="S15" s="39"/>
      <c r="T15" s="40"/>
      <c r="U15" s="40"/>
      <c r="V15" s="40"/>
      <c r="W15" s="40"/>
      <c r="X15" s="40"/>
      <c r="Y15" s="40"/>
      <c r="Z15" s="40"/>
      <c r="AA15" s="40"/>
      <c r="AB15" s="24">
        <f t="shared" si="5"/>
        <v>13.02</v>
      </c>
      <c r="AC15" s="24" t="str">
        <f t="shared" si="6"/>
        <v/>
      </c>
      <c r="AD15" s="24" t="str">
        <f t="shared" si="7"/>
        <v/>
      </c>
      <c r="AE15" s="24" t="str">
        <f t="shared" si="8"/>
        <v/>
      </c>
      <c r="AF15" s="24" t="str">
        <f t="shared" si="9"/>
        <v/>
      </c>
      <c r="AG15" s="31"/>
      <c r="AH15" s="3"/>
    </row>
    <row r="16" spans="1:34" x14ac:dyDescent="0.25">
      <c r="A16" s="15" t="s">
        <v>70</v>
      </c>
      <c r="B16" s="16" t="s">
        <v>71</v>
      </c>
      <c r="C16" s="34"/>
      <c r="D16" s="26" t="s">
        <v>79</v>
      </c>
      <c r="E16" s="26"/>
      <c r="F16" s="26"/>
      <c r="G16" s="26"/>
      <c r="H16" s="21" t="s">
        <v>99</v>
      </c>
      <c r="I16" s="54" t="s">
        <v>93</v>
      </c>
      <c r="J16" s="54" t="s">
        <v>95</v>
      </c>
      <c r="K16" s="22"/>
      <c r="L16" s="10"/>
      <c r="M16" s="10">
        <f>15.48-M15</f>
        <v>2.4600000000000009</v>
      </c>
      <c r="N16" s="39"/>
      <c r="O16" s="10"/>
      <c r="P16" s="40"/>
      <c r="Q16" s="40"/>
      <c r="R16" s="40"/>
      <c r="S16" s="39"/>
      <c r="T16" s="40"/>
      <c r="U16" s="40"/>
      <c r="V16" s="40"/>
      <c r="W16" s="40"/>
      <c r="X16" s="40"/>
      <c r="Y16" s="40"/>
      <c r="Z16" s="40"/>
      <c r="AA16" s="40"/>
      <c r="AB16" s="24">
        <f t="shared" ref="AB16" si="10">IF(K16*L16+M16-O16*P16*R16-Q16*R16+T16*U16*W16+V16*W16&lt;&gt;0,K16*L16+M16-O16*P16*R16-Q16*R16+T16*U16*W16+V16*W16,"")</f>
        <v>2.4600000000000009</v>
      </c>
      <c r="AC16" s="24" t="str">
        <f t="shared" ref="AC16" si="11">IF(W16*SUM(Y16:AA16)&lt;&gt;0,W16*SUM(Y16:AA16),"")</f>
        <v/>
      </c>
      <c r="AD16" s="24" t="str">
        <f t="shared" ref="AD16" si="12">IF(W16*X16*SUM(Y16:AA16)&lt;&gt;0,W16*X16*SUM(Y16:AA16),"")</f>
        <v/>
      </c>
      <c r="AE16" s="24" t="str">
        <f t="shared" ref="AE16" si="13">IF(O16*P16*R16+Q16*R16&lt;&gt;0,O16*P16*R16+Q16*R16,"")</f>
        <v/>
      </c>
      <c r="AF16" s="24" t="str">
        <f t="shared" ref="AF16" si="14">IF(W16*X16*(Z16+AA16)&lt;&gt;0,W16*X16*(Z16+AA16),"")</f>
        <v/>
      </c>
      <c r="AG16" s="31"/>
      <c r="AH16" s="3"/>
    </row>
    <row r="17" spans="1:34" x14ac:dyDescent="0.25">
      <c r="A17" s="15" t="s">
        <v>70</v>
      </c>
      <c r="B17" s="16" t="s">
        <v>71</v>
      </c>
      <c r="C17" s="34"/>
      <c r="D17" s="26" t="s">
        <v>191</v>
      </c>
      <c r="E17" s="26"/>
      <c r="F17" s="26"/>
      <c r="G17" s="26"/>
      <c r="H17" s="21" t="s">
        <v>197</v>
      </c>
      <c r="I17" s="54" t="s">
        <v>192</v>
      </c>
      <c r="J17" s="54" t="s">
        <v>194</v>
      </c>
      <c r="K17" s="22">
        <v>3.2</v>
      </c>
      <c r="L17" s="10">
        <f>2.1+0.565</f>
        <v>2.665</v>
      </c>
      <c r="M17" s="10"/>
      <c r="N17" s="39"/>
      <c r="O17" s="10"/>
      <c r="P17" s="40"/>
      <c r="Q17" s="40"/>
      <c r="R17" s="40"/>
      <c r="S17" s="39"/>
      <c r="T17" s="40"/>
      <c r="U17" s="40"/>
      <c r="V17" s="40"/>
      <c r="W17" s="40"/>
      <c r="X17" s="40"/>
      <c r="Y17" s="40"/>
      <c r="Z17" s="40"/>
      <c r="AA17" s="40"/>
      <c r="AB17" s="24">
        <f t="shared" ref="AB17:AB20" si="15">IF(K17*L17+M17-O17*P17*R17-Q17*R17+T17*U17*W17+V17*W17&lt;&gt;0,K17*L17+M17-O17*P17*R17-Q17*R17+T17*U17*W17+V17*W17,"")</f>
        <v>8.5280000000000005</v>
      </c>
      <c r="AC17" s="24" t="str">
        <f t="shared" ref="AC17:AC20" si="16">IF(W17*SUM(Y17:AA17)&lt;&gt;0,W17*SUM(Y17:AA17),"")</f>
        <v/>
      </c>
      <c r="AD17" s="24" t="str">
        <f t="shared" ref="AD17:AD20" si="17">IF(W17*X17*SUM(Y17:AA17)&lt;&gt;0,W17*X17*SUM(Y17:AA17),"")</f>
        <v/>
      </c>
      <c r="AE17" s="24" t="str">
        <f t="shared" ref="AE17:AE20" si="18">IF(O17*P17*R17+Q17*R17&lt;&gt;0,O17*P17*R17+Q17*R17,"")</f>
        <v/>
      </c>
      <c r="AF17" s="24" t="str">
        <f t="shared" ref="AF17:AF20" si="19">IF(W17*X17*(Z17+AA17)&lt;&gt;0,W17*X17*(Z17+AA17),"")</f>
        <v/>
      </c>
      <c r="AG17" s="31"/>
      <c r="AH17" s="3"/>
    </row>
    <row r="18" spans="1:34" x14ac:dyDescent="0.25">
      <c r="A18" s="15" t="s">
        <v>70</v>
      </c>
      <c r="B18" s="16" t="s">
        <v>71</v>
      </c>
      <c r="C18" s="34"/>
      <c r="D18" s="26" t="s">
        <v>191</v>
      </c>
      <c r="E18" s="26"/>
      <c r="F18" s="26"/>
      <c r="G18" s="26"/>
      <c r="H18" s="21" t="s">
        <v>197</v>
      </c>
      <c r="I18" s="54" t="s">
        <v>193</v>
      </c>
      <c r="J18" s="54" t="s">
        <v>195</v>
      </c>
      <c r="K18" s="22">
        <f>11.2+0.12</f>
        <v>11.319999999999999</v>
      </c>
      <c r="L18" s="10">
        <f>(2.1+2.675)/2+0.465</f>
        <v>2.8525</v>
      </c>
      <c r="M18" s="10"/>
      <c r="N18" s="39"/>
      <c r="O18" s="10"/>
      <c r="P18" s="40"/>
      <c r="Q18" s="40"/>
      <c r="R18" s="40"/>
      <c r="S18" s="39"/>
      <c r="T18" s="40"/>
      <c r="U18" s="40"/>
      <c r="V18" s="40"/>
      <c r="W18" s="40"/>
      <c r="X18" s="40"/>
      <c r="Y18" s="40"/>
      <c r="Z18" s="40"/>
      <c r="AA18" s="40"/>
      <c r="AB18" s="24">
        <f t="shared" si="15"/>
        <v>32.290299999999995</v>
      </c>
      <c r="AC18" s="24" t="str">
        <f t="shared" si="16"/>
        <v/>
      </c>
      <c r="AD18" s="24" t="str">
        <f t="shared" si="17"/>
        <v/>
      </c>
      <c r="AE18" s="24" t="str">
        <f t="shared" si="18"/>
        <v/>
      </c>
      <c r="AF18" s="24" t="str">
        <f t="shared" si="19"/>
        <v/>
      </c>
      <c r="AG18" s="31"/>
      <c r="AH18" s="3"/>
    </row>
    <row r="19" spans="1:34" x14ac:dyDescent="0.25">
      <c r="A19" s="15" t="s">
        <v>70</v>
      </c>
      <c r="B19" s="16" t="s">
        <v>71</v>
      </c>
      <c r="C19" s="34"/>
      <c r="D19" s="26" t="s">
        <v>191</v>
      </c>
      <c r="E19" s="26"/>
      <c r="F19" s="26"/>
      <c r="G19" s="26"/>
      <c r="H19" s="21" t="s">
        <v>197</v>
      </c>
      <c r="I19" s="54" t="s">
        <v>198</v>
      </c>
      <c r="J19" s="54" t="s">
        <v>199</v>
      </c>
      <c r="K19" s="22">
        <v>8.9749999999999996</v>
      </c>
      <c r="L19" s="10">
        <f>(2.675+3.2)/2-2.235</f>
        <v>0.70250000000000012</v>
      </c>
      <c r="M19" s="10"/>
      <c r="N19" s="39"/>
      <c r="O19" s="10"/>
      <c r="P19" s="40"/>
      <c r="Q19" s="40"/>
      <c r="R19" s="40"/>
      <c r="S19" s="39"/>
      <c r="T19" s="40"/>
      <c r="U19" s="40"/>
      <c r="V19" s="40"/>
      <c r="W19" s="40"/>
      <c r="X19" s="40"/>
      <c r="Y19" s="40"/>
      <c r="Z19" s="40"/>
      <c r="AA19" s="40"/>
      <c r="AB19" s="24">
        <f t="shared" ref="AB19" si="20">IF(K19*L19+M19-O19*P19*R19-Q19*R19+T19*U19*W19+V19*W19&lt;&gt;0,K19*L19+M19-O19*P19*R19-Q19*R19+T19*U19*W19+V19*W19,"")</f>
        <v>6.3049375000000012</v>
      </c>
      <c r="AC19" s="24" t="str">
        <f t="shared" ref="AC19" si="21">IF(W19*SUM(Y19:AA19)&lt;&gt;0,W19*SUM(Y19:AA19),"")</f>
        <v/>
      </c>
      <c r="AD19" s="24" t="str">
        <f t="shared" ref="AD19" si="22">IF(W19*X19*SUM(Y19:AA19)&lt;&gt;0,W19*X19*SUM(Y19:AA19),"")</f>
        <v/>
      </c>
      <c r="AE19" s="24" t="str">
        <f t="shared" ref="AE19" si="23">IF(O19*P19*R19+Q19*R19&lt;&gt;0,O19*P19*R19+Q19*R19,"")</f>
        <v/>
      </c>
      <c r="AF19" s="24" t="str">
        <f t="shared" ref="AF19" si="24">IF(W19*X19*(Z19+AA19)&lt;&gt;0,W19*X19*(Z19+AA19),"")</f>
        <v/>
      </c>
      <c r="AG19" s="31"/>
      <c r="AH19" s="3"/>
    </row>
    <row r="20" spans="1:34" x14ac:dyDescent="0.25">
      <c r="A20" s="15" t="s">
        <v>70</v>
      </c>
      <c r="B20" s="16" t="s">
        <v>71</v>
      </c>
      <c r="C20" s="34"/>
      <c r="D20" s="26" t="s">
        <v>191</v>
      </c>
      <c r="E20" s="26"/>
      <c r="F20" s="26"/>
      <c r="G20" s="26"/>
      <c r="H20" s="21" t="s">
        <v>197</v>
      </c>
      <c r="I20" s="54" t="s">
        <v>196</v>
      </c>
      <c r="J20" s="54" t="s">
        <v>200</v>
      </c>
      <c r="K20" s="22">
        <f>(27.4-14.15)-K19</f>
        <v>4.2749999999999986</v>
      </c>
      <c r="L20" s="10">
        <f>(3.2+3.54)/2-2.735</f>
        <v>0.63500000000000023</v>
      </c>
      <c r="M20" s="10"/>
      <c r="N20" s="39"/>
      <c r="O20" s="10"/>
      <c r="P20" s="40"/>
      <c r="Q20" s="40"/>
      <c r="R20" s="40"/>
      <c r="S20" s="39"/>
      <c r="T20" s="40"/>
      <c r="U20" s="40"/>
      <c r="V20" s="40"/>
      <c r="W20" s="40"/>
      <c r="X20" s="40"/>
      <c r="Y20" s="40"/>
      <c r="Z20" s="40"/>
      <c r="AA20" s="40"/>
      <c r="AB20" s="24">
        <f t="shared" si="15"/>
        <v>2.7146250000000003</v>
      </c>
      <c r="AC20" s="24" t="str">
        <f t="shared" si="16"/>
        <v/>
      </c>
      <c r="AD20" s="24" t="str">
        <f t="shared" si="17"/>
        <v/>
      </c>
      <c r="AE20" s="24" t="str">
        <f t="shared" si="18"/>
        <v/>
      </c>
      <c r="AF20" s="24" t="str">
        <f t="shared" si="19"/>
        <v/>
      </c>
      <c r="AG20" s="31"/>
      <c r="AH20" s="3"/>
    </row>
    <row r="21" spans="1:34" x14ac:dyDescent="0.25">
      <c r="A21" s="15" t="s">
        <v>70</v>
      </c>
      <c r="B21" s="16" t="s">
        <v>71</v>
      </c>
      <c r="C21" s="34"/>
      <c r="D21" s="26" t="s">
        <v>201</v>
      </c>
      <c r="E21" s="26"/>
      <c r="F21" s="26"/>
      <c r="G21" s="26"/>
      <c r="H21" s="21" t="s">
        <v>197</v>
      </c>
      <c r="I21" s="54" t="s">
        <v>192</v>
      </c>
      <c r="J21" s="54" t="s">
        <v>213</v>
      </c>
      <c r="K21" s="22">
        <f>19.8-0.3*4</f>
        <v>18.600000000000001</v>
      </c>
      <c r="L21" s="10">
        <f>0.565-0.2</f>
        <v>0.36499999999999994</v>
      </c>
      <c r="M21" s="10"/>
      <c r="N21" s="39"/>
      <c r="O21" s="10"/>
      <c r="P21" s="40"/>
      <c r="Q21" s="40"/>
      <c r="R21" s="40"/>
      <c r="S21" s="39"/>
      <c r="T21" s="40"/>
      <c r="U21" s="40"/>
      <c r="V21" s="40"/>
      <c r="W21" s="40"/>
      <c r="X21" s="40"/>
      <c r="Y21" s="40"/>
      <c r="Z21" s="40"/>
      <c r="AA21" s="40"/>
      <c r="AB21" s="24">
        <f t="shared" ref="AB21" si="25">IF(K21*L21+M21-O21*P21*R21-Q21*R21+T21*U21*W21+V21*W21&lt;&gt;0,K21*L21+M21-O21*P21*R21-Q21*R21+T21*U21*W21+V21*W21,"")</f>
        <v>6.7889999999999997</v>
      </c>
      <c r="AC21" s="24" t="str">
        <f t="shared" ref="AC21" si="26">IF(W21*SUM(Y21:AA21)&lt;&gt;0,W21*SUM(Y21:AA21),"")</f>
        <v/>
      </c>
      <c r="AD21" s="24" t="str">
        <f t="shared" ref="AD21" si="27">IF(W21*X21*SUM(Y21:AA21)&lt;&gt;0,W21*X21*SUM(Y21:AA21),"")</f>
        <v/>
      </c>
      <c r="AE21" s="24" t="str">
        <f t="shared" ref="AE21" si="28">IF(O21*P21*R21+Q21*R21&lt;&gt;0,O21*P21*R21+Q21*R21,"")</f>
        <v/>
      </c>
      <c r="AF21" s="24" t="str">
        <f t="shared" ref="AF21" si="29">IF(W21*X21*(Z21+AA21)&lt;&gt;0,W21*X21*(Z21+AA21),"")</f>
        <v/>
      </c>
      <c r="AG21" s="31"/>
      <c r="AH21" s="3"/>
    </row>
    <row r="22" spans="1:34" x14ac:dyDescent="0.25">
      <c r="A22" s="15" t="s">
        <v>70</v>
      </c>
      <c r="B22" s="16" t="s">
        <v>87</v>
      </c>
      <c r="C22" s="34"/>
      <c r="D22" s="26" t="s">
        <v>88</v>
      </c>
      <c r="E22" s="26"/>
      <c r="F22" s="26"/>
      <c r="G22" s="26"/>
      <c r="H22" s="21" t="s">
        <v>107</v>
      </c>
      <c r="I22" s="54" t="s">
        <v>98</v>
      </c>
      <c r="J22" s="54" t="s">
        <v>96</v>
      </c>
      <c r="K22" s="22">
        <v>21.65</v>
      </c>
      <c r="L22" s="10">
        <f>(3.45+0.26+0.3)-(3.45+0.05)</f>
        <v>0.50999999999999979</v>
      </c>
      <c r="M22" s="10"/>
      <c r="N22" s="39"/>
      <c r="O22" s="10">
        <f>2.5</f>
        <v>2.5</v>
      </c>
      <c r="P22" s="40">
        <f>0.3-0.045</f>
        <v>0.255</v>
      </c>
      <c r="Q22" s="40"/>
      <c r="R22" s="40">
        <v>2</v>
      </c>
      <c r="S22" s="39"/>
      <c r="T22" s="40"/>
      <c r="U22" s="40"/>
      <c r="V22" s="40"/>
      <c r="W22" s="40"/>
      <c r="X22" s="40"/>
      <c r="Y22" s="40"/>
      <c r="Z22" s="40"/>
      <c r="AA22" s="40"/>
      <c r="AB22" s="24">
        <f t="shared" si="5"/>
        <v>9.7664999999999935</v>
      </c>
      <c r="AC22" s="24" t="str">
        <f t="shared" si="6"/>
        <v/>
      </c>
      <c r="AD22" s="24" t="str">
        <f t="shared" si="7"/>
        <v/>
      </c>
      <c r="AE22" s="24">
        <f t="shared" si="8"/>
        <v>1.2749999999999999</v>
      </c>
      <c r="AF22" s="24" t="str">
        <f t="shared" si="9"/>
        <v/>
      </c>
      <c r="AG22" s="31"/>
      <c r="AH22" s="3"/>
    </row>
    <row r="23" spans="1:34" x14ac:dyDescent="0.25">
      <c r="A23" s="15" t="s">
        <v>70</v>
      </c>
      <c r="B23" s="16" t="s">
        <v>87</v>
      </c>
      <c r="C23" s="34"/>
      <c r="D23" s="26" t="s">
        <v>88</v>
      </c>
      <c r="E23" s="26"/>
      <c r="F23" s="26"/>
      <c r="G23" s="26"/>
      <c r="H23" s="21"/>
      <c r="I23" s="54"/>
      <c r="J23" s="54"/>
      <c r="K23" s="22"/>
      <c r="L23" s="10"/>
      <c r="M23" s="10"/>
      <c r="N23" s="39"/>
      <c r="O23" s="10">
        <v>2.04</v>
      </c>
      <c r="P23" s="40">
        <f t="shared" ref="P23:P28" si="30">0.3-0.045</f>
        <v>0.255</v>
      </c>
      <c r="Q23" s="40"/>
      <c r="R23" s="40">
        <v>2</v>
      </c>
      <c r="S23" s="39"/>
      <c r="T23" s="40"/>
      <c r="U23" s="40"/>
      <c r="V23" s="40"/>
      <c r="W23" s="40"/>
      <c r="X23" s="40"/>
      <c r="Y23" s="40"/>
      <c r="Z23" s="40"/>
      <c r="AA23" s="40"/>
      <c r="AB23" s="24">
        <f t="shared" ref="AB23" si="31">IF(K23*L23+M23-O23*P23*R23-Q23*R23+T23*U23*W23+V23*W23&lt;&gt;0,K23*L23+M23-O23*P23*R23-Q23*R23+T23*U23*W23+V23*W23,"")</f>
        <v>-1.0404</v>
      </c>
      <c r="AC23" s="24" t="str">
        <f t="shared" ref="AC23" si="32">IF(W23*SUM(Y23:AA23)&lt;&gt;0,W23*SUM(Y23:AA23),"")</f>
        <v/>
      </c>
      <c r="AD23" s="24" t="str">
        <f t="shared" ref="AD23" si="33">IF(W23*X23*SUM(Y23:AA23)&lt;&gt;0,W23*X23*SUM(Y23:AA23),"")</f>
        <v/>
      </c>
      <c r="AE23" s="24">
        <f t="shared" ref="AE23" si="34">IF(O23*P23*R23+Q23*R23&lt;&gt;0,O23*P23*R23+Q23*R23,"")</f>
        <v>1.0404</v>
      </c>
      <c r="AF23" s="24" t="str">
        <f t="shared" ref="AF23" si="35">IF(W23*X23*(Z23+AA23)&lt;&gt;0,W23*X23*(Z23+AA23),"")</f>
        <v/>
      </c>
      <c r="AG23" s="31"/>
      <c r="AH23" s="3"/>
    </row>
    <row r="24" spans="1:34" x14ac:dyDescent="0.25">
      <c r="A24" s="15" t="s">
        <v>70</v>
      </c>
      <c r="B24" s="16" t="s">
        <v>87</v>
      </c>
      <c r="C24" s="34"/>
      <c r="D24" s="26" t="s">
        <v>88</v>
      </c>
      <c r="E24" s="26"/>
      <c r="F24" s="26"/>
      <c r="G24" s="26"/>
      <c r="H24" s="21"/>
      <c r="I24" s="54"/>
      <c r="J24" s="54"/>
      <c r="K24" s="22"/>
      <c r="L24" s="10"/>
      <c r="M24" s="10"/>
      <c r="N24" s="39"/>
      <c r="O24" s="10">
        <v>0.54</v>
      </c>
      <c r="P24" s="40">
        <f t="shared" si="30"/>
        <v>0.255</v>
      </c>
      <c r="Q24" s="40"/>
      <c r="R24" s="40">
        <v>1</v>
      </c>
      <c r="S24" s="39"/>
      <c r="T24" s="40"/>
      <c r="U24" s="40"/>
      <c r="V24" s="40"/>
      <c r="W24" s="40"/>
      <c r="X24" s="40"/>
      <c r="Y24" s="40"/>
      <c r="Z24" s="40"/>
      <c r="AA24" s="40"/>
      <c r="AB24" s="24">
        <f t="shared" ref="AB24" si="36">IF(K24*L24+M24-O24*P24*R24-Q24*R24+T24*U24*W24+V24*W24&lt;&gt;0,K24*L24+M24-O24*P24*R24-Q24*R24+T24*U24*W24+V24*W24,"")</f>
        <v>-0.13770000000000002</v>
      </c>
      <c r="AC24" s="24" t="str">
        <f t="shared" ref="AC24" si="37">IF(W24*SUM(Y24:AA24)&lt;&gt;0,W24*SUM(Y24:AA24),"")</f>
        <v/>
      </c>
      <c r="AD24" s="24" t="str">
        <f t="shared" ref="AD24" si="38">IF(W24*X24*SUM(Y24:AA24)&lt;&gt;0,W24*X24*SUM(Y24:AA24),"")</f>
        <v/>
      </c>
      <c r="AE24" s="24">
        <f t="shared" ref="AE24" si="39">IF(O24*P24*R24+Q24*R24&lt;&gt;0,O24*P24*R24+Q24*R24,"")</f>
        <v>0.13770000000000002</v>
      </c>
      <c r="AF24" s="24" t="str">
        <f t="shared" ref="AF24" si="40">IF(W24*X24*(Z24+AA24)&lt;&gt;0,W24*X24*(Z24+AA24),"")</f>
        <v/>
      </c>
      <c r="AG24" s="31"/>
      <c r="AH24" s="3"/>
    </row>
    <row r="25" spans="1:34" x14ac:dyDescent="0.25">
      <c r="A25" s="15" t="s">
        <v>70</v>
      </c>
      <c r="B25" s="16" t="s">
        <v>87</v>
      </c>
      <c r="C25" s="34"/>
      <c r="D25" s="26" t="s">
        <v>88</v>
      </c>
      <c r="E25" s="26"/>
      <c r="F25" s="26"/>
      <c r="G25" s="26"/>
      <c r="H25" s="21" t="s">
        <v>100</v>
      </c>
      <c r="I25" s="54" t="s">
        <v>95</v>
      </c>
      <c r="J25" s="54" t="s">
        <v>96</v>
      </c>
      <c r="K25" s="22">
        <v>6.15</v>
      </c>
      <c r="L25" s="10">
        <f>4.01-3.7</f>
        <v>0.30999999999999961</v>
      </c>
      <c r="M25" s="10"/>
      <c r="N25" s="39"/>
      <c r="O25" s="10">
        <v>0.54</v>
      </c>
      <c r="P25" s="40">
        <f t="shared" si="30"/>
        <v>0.255</v>
      </c>
      <c r="Q25" s="40"/>
      <c r="R25" s="40">
        <v>1</v>
      </c>
      <c r="S25" s="39"/>
      <c r="T25" s="40"/>
      <c r="U25" s="40"/>
      <c r="V25" s="40"/>
      <c r="W25" s="40"/>
      <c r="X25" s="40"/>
      <c r="Y25" s="40"/>
      <c r="Z25" s="40"/>
      <c r="AA25" s="40"/>
      <c r="AB25" s="24">
        <f t="shared" ref="AB25" si="41">IF(K25*L25+M25-O25*P25*R25-Q25*R25+T25*U25*W25+V25*W25&lt;&gt;0,K25*L25+M25-O25*P25*R25-Q25*R25+T25*U25*W25+V25*W25,"")</f>
        <v>1.7687999999999977</v>
      </c>
      <c r="AC25" s="24" t="str">
        <f t="shared" ref="AC25" si="42">IF(W25*SUM(Y25:AA25)&lt;&gt;0,W25*SUM(Y25:AA25),"")</f>
        <v/>
      </c>
      <c r="AD25" s="24" t="str">
        <f t="shared" ref="AD25" si="43">IF(W25*X25*SUM(Y25:AA25)&lt;&gt;0,W25*X25*SUM(Y25:AA25),"")</f>
        <v/>
      </c>
      <c r="AE25" s="24">
        <f t="shared" ref="AE25" si="44">IF(O25*P25*R25+Q25*R25&lt;&gt;0,O25*P25*R25+Q25*R25,"")</f>
        <v>0.13770000000000002</v>
      </c>
      <c r="AF25" s="24" t="str">
        <f t="shared" ref="AF25" si="45">IF(W25*X25*(Z25+AA25)&lt;&gt;0,W25*X25*(Z25+AA25),"")</f>
        <v/>
      </c>
      <c r="AG25" s="31"/>
      <c r="AH25" s="3"/>
    </row>
    <row r="26" spans="1:34" x14ac:dyDescent="0.25">
      <c r="A26" s="15" t="s">
        <v>70</v>
      </c>
      <c r="B26" s="16" t="s">
        <v>87</v>
      </c>
      <c r="C26" s="34"/>
      <c r="D26" s="26" t="s">
        <v>88</v>
      </c>
      <c r="E26" s="26"/>
      <c r="F26" s="26"/>
      <c r="G26" s="26"/>
      <c r="H26" s="21" t="s">
        <v>107</v>
      </c>
      <c r="I26" s="54" t="s">
        <v>98</v>
      </c>
      <c r="J26" s="54" t="s">
        <v>96</v>
      </c>
      <c r="K26" s="22">
        <v>19.8</v>
      </c>
      <c r="L26" s="10">
        <f>(3.45+0.26+0.3)-(3.45+0.05)</f>
        <v>0.50999999999999979</v>
      </c>
      <c r="M26" s="10"/>
      <c r="N26" s="39"/>
      <c r="O26" s="10">
        <v>2.54</v>
      </c>
      <c r="P26" s="40">
        <f t="shared" si="30"/>
        <v>0.255</v>
      </c>
      <c r="Q26" s="40"/>
      <c r="R26" s="40">
        <v>2</v>
      </c>
      <c r="S26" s="39"/>
      <c r="T26" s="40"/>
      <c r="U26" s="40"/>
      <c r="V26" s="40"/>
      <c r="W26" s="40"/>
      <c r="X26" s="40"/>
      <c r="Y26" s="40"/>
      <c r="Z26" s="40"/>
      <c r="AA26" s="40"/>
      <c r="AB26" s="24">
        <f t="shared" si="5"/>
        <v>8.8025999999999947</v>
      </c>
      <c r="AC26" s="24" t="str">
        <f t="shared" si="6"/>
        <v/>
      </c>
      <c r="AD26" s="24" t="str">
        <f t="shared" si="7"/>
        <v/>
      </c>
      <c r="AE26" s="24">
        <f t="shared" si="8"/>
        <v>1.2954000000000001</v>
      </c>
      <c r="AF26" s="24" t="str">
        <f t="shared" si="9"/>
        <v/>
      </c>
      <c r="AG26" s="31"/>
      <c r="AH26" s="3"/>
    </row>
    <row r="27" spans="1:34" x14ac:dyDescent="0.25">
      <c r="A27" s="15" t="s">
        <v>70</v>
      </c>
      <c r="B27" s="16" t="s">
        <v>87</v>
      </c>
      <c r="C27" s="34"/>
      <c r="D27" s="26" t="s">
        <v>88</v>
      </c>
      <c r="E27" s="26"/>
      <c r="F27" s="26"/>
      <c r="G27" s="26"/>
      <c r="H27" s="21"/>
      <c r="I27" s="54"/>
      <c r="J27" s="54"/>
      <c r="K27" s="22"/>
      <c r="L27" s="10"/>
      <c r="M27" s="10"/>
      <c r="N27" s="39"/>
      <c r="O27" s="10">
        <v>2.6</v>
      </c>
      <c r="P27" s="40">
        <f t="shared" si="30"/>
        <v>0.255</v>
      </c>
      <c r="Q27" s="40"/>
      <c r="R27" s="40">
        <v>1</v>
      </c>
      <c r="S27" s="39"/>
      <c r="T27" s="40"/>
      <c r="U27" s="40"/>
      <c r="V27" s="40"/>
      <c r="W27" s="40"/>
      <c r="X27" s="40"/>
      <c r="Y27" s="40"/>
      <c r="Z27" s="40"/>
      <c r="AA27" s="40"/>
      <c r="AB27" s="24">
        <f t="shared" si="5"/>
        <v>-0.66300000000000003</v>
      </c>
      <c r="AC27" s="24" t="str">
        <f t="shared" si="6"/>
        <v/>
      </c>
      <c r="AD27" s="24" t="str">
        <f t="shared" si="7"/>
        <v/>
      </c>
      <c r="AE27" s="24">
        <f t="shared" si="8"/>
        <v>0.66300000000000003</v>
      </c>
      <c r="AF27" s="24" t="str">
        <f t="shared" si="9"/>
        <v/>
      </c>
      <c r="AG27" s="31"/>
      <c r="AH27" s="3"/>
    </row>
    <row r="28" spans="1:34" x14ac:dyDescent="0.25">
      <c r="A28" s="15" t="s">
        <v>70</v>
      </c>
      <c r="B28" s="16" t="s">
        <v>87</v>
      </c>
      <c r="C28" s="34"/>
      <c r="D28" s="26" t="s">
        <v>88</v>
      </c>
      <c r="E28" s="26"/>
      <c r="F28" s="26"/>
      <c r="G28" s="26"/>
      <c r="H28" s="21"/>
      <c r="I28" s="54"/>
      <c r="J28" s="54"/>
      <c r="K28" s="22"/>
      <c r="L28" s="10"/>
      <c r="M28" s="10"/>
      <c r="N28" s="39"/>
      <c r="O28" s="10">
        <v>0.54</v>
      </c>
      <c r="P28" s="40">
        <f t="shared" si="30"/>
        <v>0.255</v>
      </c>
      <c r="Q28" s="40"/>
      <c r="R28" s="40">
        <v>1</v>
      </c>
      <c r="S28" s="39"/>
      <c r="T28" s="40"/>
      <c r="U28" s="40"/>
      <c r="V28" s="40"/>
      <c r="W28" s="40"/>
      <c r="X28" s="40"/>
      <c r="Y28" s="40"/>
      <c r="Z28" s="40"/>
      <c r="AA28" s="40"/>
      <c r="AB28" s="24">
        <f t="shared" si="5"/>
        <v>-0.13770000000000002</v>
      </c>
      <c r="AC28" s="24" t="str">
        <f t="shared" si="6"/>
        <v/>
      </c>
      <c r="AD28" s="24" t="str">
        <f t="shared" si="7"/>
        <v/>
      </c>
      <c r="AE28" s="24">
        <f t="shared" si="8"/>
        <v>0.13770000000000002</v>
      </c>
      <c r="AF28" s="24" t="str">
        <f t="shared" si="9"/>
        <v/>
      </c>
      <c r="AG28" s="31"/>
      <c r="AH28" s="3"/>
    </row>
    <row r="29" spans="1:34" x14ac:dyDescent="0.25">
      <c r="A29" s="15" t="s">
        <v>70</v>
      </c>
      <c r="B29" s="16" t="s">
        <v>87</v>
      </c>
      <c r="C29" s="34"/>
      <c r="D29" s="26" t="s">
        <v>72</v>
      </c>
      <c r="E29" s="26"/>
      <c r="F29" s="26"/>
      <c r="G29" s="26"/>
      <c r="H29" s="21" t="s">
        <v>102</v>
      </c>
      <c r="I29" s="54" t="s">
        <v>96</v>
      </c>
      <c r="J29" s="54" t="s">
        <v>101</v>
      </c>
      <c r="K29" s="22">
        <v>27.8</v>
      </c>
      <c r="L29" s="10">
        <f>6.2-4.01</f>
        <v>2.1900000000000004</v>
      </c>
      <c r="M29" s="10"/>
      <c r="N29" s="39"/>
      <c r="O29" s="10">
        <v>2.5</v>
      </c>
      <c r="P29" s="40">
        <v>2.19</v>
      </c>
      <c r="Q29" s="40"/>
      <c r="R29" s="40">
        <v>2</v>
      </c>
      <c r="S29" s="39"/>
      <c r="T29" s="40"/>
      <c r="U29" s="40"/>
      <c r="V29" s="40"/>
      <c r="W29" s="40"/>
      <c r="X29" s="40"/>
      <c r="Y29" s="40"/>
      <c r="Z29" s="40"/>
      <c r="AA29" s="40"/>
      <c r="AB29" s="24">
        <f t="shared" si="5"/>
        <v>49.932000000000016</v>
      </c>
      <c r="AC29" s="24" t="str">
        <f t="shared" si="6"/>
        <v/>
      </c>
      <c r="AD29" s="24" t="str">
        <f t="shared" si="7"/>
        <v/>
      </c>
      <c r="AE29" s="24">
        <f t="shared" si="8"/>
        <v>10.95</v>
      </c>
      <c r="AF29" s="24" t="str">
        <f t="shared" si="9"/>
        <v/>
      </c>
      <c r="AG29" s="31"/>
      <c r="AH29" s="3"/>
    </row>
    <row r="30" spans="1:34" x14ac:dyDescent="0.25">
      <c r="A30" s="15" t="s">
        <v>70</v>
      </c>
      <c r="B30" s="16" t="s">
        <v>87</v>
      </c>
      <c r="C30" s="34"/>
      <c r="D30" s="26" t="s">
        <v>72</v>
      </c>
      <c r="E30" s="26"/>
      <c r="F30" s="26"/>
      <c r="G30" s="26"/>
      <c r="H30" s="21"/>
      <c r="I30" s="54"/>
      <c r="J30" s="54"/>
      <c r="K30" s="22"/>
      <c r="L30" s="10"/>
      <c r="M30" s="10"/>
      <c r="N30" s="39"/>
      <c r="O30" s="10">
        <v>2.04</v>
      </c>
      <c r="P30" s="40">
        <v>2.19</v>
      </c>
      <c r="Q30" s="40"/>
      <c r="R30" s="40">
        <v>2</v>
      </c>
      <c r="S30" s="39"/>
      <c r="T30" s="40"/>
      <c r="U30" s="40"/>
      <c r="V30" s="40"/>
      <c r="W30" s="40"/>
      <c r="X30" s="40"/>
      <c r="Y30" s="40"/>
      <c r="Z30" s="40"/>
      <c r="AA30" s="40"/>
      <c r="AB30" s="24">
        <f t="shared" si="5"/>
        <v>-8.9352</v>
      </c>
      <c r="AC30" s="24" t="str">
        <f t="shared" si="6"/>
        <v/>
      </c>
      <c r="AD30" s="24" t="str">
        <f t="shared" si="7"/>
        <v/>
      </c>
      <c r="AE30" s="24">
        <f t="shared" si="8"/>
        <v>8.9352</v>
      </c>
      <c r="AF30" s="24" t="str">
        <f t="shared" si="9"/>
        <v/>
      </c>
      <c r="AG30" s="31"/>
      <c r="AH30" s="3"/>
    </row>
    <row r="31" spans="1:34" x14ac:dyDescent="0.25">
      <c r="A31" s="15" t="s">
        <v>70</v>
      </c>
      <c r="B31" s="16" t="s">
        <v>87</v>
      </c>
      <c r="C31" s="34"/>
      <c r="D31" s="26" t="s">
        <v>72</v>
      </c>
      <c r="E31" s="26"/>
      <c r="F31" s="26"/>
      <c r="G31" s="26"/>
      <c r="H31" s="21"/>
      <c r="I31" s="54"/>
      <c r="J31" s="54"/>
      <c r="K31" s="22"/>
      <c r="L31" s="10"/>
      <c r="M31" s="10"/>
      <c r="N31" s="39"/>
      <c r="O31" s="10">
        <v>0.54</v>
      </c>
      <c r="P31" s="40">
        <v>2.19</v>
      </c>
      <c r="Q31" s="40"/>
      <c r="R31" s="40">
        <v>2</v>
      </c>
      <c r="S31" s="39"/>
      <c r="T31" s="40"/>
      <c r="U31" s="40"/>
      <c r="V31" s="40"/>
      <c r="W31" s="40"/>
      <c r="X31" s="40"/>
      <c r="Y31" s="40"/>
      <c r="Z31" s="40"/>
      <c r="AA31" s="40"/>
      <c r="AB31" s="24">
        <f t="shared" si="5"/>
        <v>-2.3652000000000002</v>
      </c>
      <c r="AC31" s="24" t="str">
        <f t="shared" si="6"/>
        <v/>
      </c>
      <c r="AD31" s="24" t="str">
        <f t="shared" si="7"/>
        <v/>
      </c>
      <c r="AE31" s="24">
        <f t="shared" si="8"/>
        <v>2.3652000000000002</v>
      </c>
      <c r="AF31" s="24" t="str">
        <f t="shared" si="9"/>
        <v/>
      </c>
      <c r="AG31" s="31"/>
      <c r="AH31" s="3"/>
    </row>
    <row r="32" spans="1:34" x14ac:dyDescent="0.25">
      <c r="A32" s="15" t="s">
        <v>70</v>
      </c>
      <c r="B32" s="16" t="s">
        <v>87</v>
      </c>
      <c r="C32" s="34"/>
      <c r="D32" s="26" t="s">
        <v>72</v>
      </c>
      <c r="E32" s="26"/>
      <c r="F32" s="26"/>
      <c r="G32" s="26"/>
      <c r="H32" s="21" t="s">
        <v>102</v>
      </c>
      <c r="I32" s="54" t="s">
        <v>96</v>
      </c>
      <c r="J32" s="54" t="s">
        <v>101</v>
      </c>
      <c r="K32" s="22">
        <v>19.8</v>
      </c>
      <c r="L32" s="10">
        <f>6.2-4.01</f>
        <v>2.1900000000000004</v>
      </c>
      <c r="M32" s="10"/>
      <c r="N32" s="39"/>
      <c r="O32" s="10">
        <v>2.54</v>
      </c>
      <c r="P32" s="40">
        <v>2.19</v>
      </c>
      <c r="Q32" s="40"/>
      <c r="R32" s="40">
        <v>2</v>
      </c>
      <c r="S32" s="39"/>
      <c r="T32" s="40"/>
      <c r="U32" s="40"/>
      <c r="V32" s="40"/>
      <c r="W32" s="40"/>
      <c r="X32" s="40"/>
      <c r="Y32" s="40"/>
      <c r="Z32" s="40"/>
      <c r="AA32" s="40"/>
      <c r="AB32" s="24">
        <f t="shared" si="5"/>
        <v>32.236800000000009</v>
      </c>
      <c r="AC32" s="24" t="str">
        <f t="shared" si="6"/>
        <v/>
      </c>
      <c r="AD32" s="24" t="str">
        <f t="shared" si="7"/>
        <v/>
      </c>
      <c r="AE32" s="24">
        <f t="shared" si="8"/>
        <v>11.1252</v>
      </c>
      <c r="AF32" s="24" t="str">
        <f t="shared" si="9"/>
        <v/>
      </c>
      <c r="AG32" s="31"/>
      <c r="AH32" s="3"/>
    </row>
    <row r="33" spans="1:34" x14ac:dyDescent="0.25">
      <c r="A33" s="15" t="s">
        <v>70</v>
      </c>
      <c r="B33" s="16" t="s">
        <v>87</v>
      </c>
      <c r="C33" s="34"/>
      <c r="D33" s="26" t="s">
        <v>72</v>
      </c>
      <c r="E33" s="26"/>
      <c r="F33" s="26"/>
      <c r="G33" s="26"/>
      <c r="H33" s="21"/>
      <c r="I33" s="54"/>
      <c r="J33" s="54"/>
      <c r="K33" s="22"/>
      <c r="L33" s="10"/>
      <c r="M33" s="10"/>
      <c r="N33" s="39"/>
      <c r="O33" s="10">
        <v>2.6</v>
      </c>
      <c r="P33" s="40">
        <v>2.19</v>
      </c>
      <c r="Q33" s="40"/>
      <c r="R33" s="40">
        <v>1</v>
      </c>
      <c r="S33" s="39"/>
      <c r="T33" s="40"/>
      <c r="U33" s="40"/>
      <c r="V33" s="40"/>
      <c r="W33" s="40"/>
      <c r="X33" s="40"/>
      <c r="Y33" s="40"/>
      <c r="Z33" s="40"/>
      <c r="AA33" s="40"/>
      <c r="AB33" s="24">
        <f t="shared" si="5"/>
        <v>-5.694</v>
      </c>
      <c r="AC33" s="24" t="str">
        <f t="shared" si="6"/>
        <v/>
      </c>
      <c r="AD33" s="24" t="str">
        <f t="shared" si="7"/>
        <v/>
      </c>
      <c r="AE33" s="24">
        <f t="shared" si="8"/>
        <v>5.694</v>
      </c>
      <c r="AF33" s="24" t="str">
        <f t="shared" si="9"/>
        <v/>
      </c>
      <c r="AG33" s="31"/>
      <c r="AH33" s="3"/>
    </row>
    <row r="34" spans="1:34" x14ac:dyDescent="0.25">
      <c r="A34" s="15" t="s">
        <v>70</v>
      </c>
      <c r="B34" s="16" t="s">
        <v>87</v>
      </c>
      <c r="C34" s="34"/>
      <c r="D34" s="26" t="s">
        <v>72</v>
      </c>
      <c r="E34" s="26"/>
      <c r="F34" s="26"/>
      <c r="G34" s="26"/>
      <c r="H34" s="21"/>
      <c r="I34" s="54"/>
      <c r="J34" s="54"/>
      <c r="K34" s="22"/>
      <c r="L34" s="10"/>
      <c r="M34" s="10"/>
      <c r="N34" s="39"/>
      <c r="O34" s="10">
        <v>0.54</v>
      </c>
      <c r="P34" s="40">
        <v>2.19</v>
      </c>
      <c r="Q34" s="40"/>
      <c r="R34" s="40">
        <v>1</v>
      </c>
      <c r="S34" s="39"/>
      <c r="T34" s="40"/>
      <c r="U34" s="40"/>
      <c r="V34" s="40"/>
      <c r="W34" s="40"/>
      <c r="X34" s="40"/>
      <c r="Y34" s="40"/>
      <c r="Z34" s="40"/>
      <c r="AA34" s="40"/>
      <c r="AB34" s="24">
        <f t="shared" si="5"/>
        <v>-1.1826000000000001</v>
      </c>
      <c r="AC34" s="24" t="str">
        <f t="shared" si="6"/>
        <v/>
      </c>
      <c r="AD34" s="24" t="str">
        <f t="shared" si="7"/>
        <v/>
      </c>
      <c r="AE34" s="24">
        <f t="shared" si="8"/>
        <v>1.1826000000000001</v>
      </c>
      <c r="AF34" s="24" t="str">
        <f t="shared" si="9"/>
        <v/>
      </c>
      <c r="AG34" s="31"/>
      <c r="AH34" s="3"/>
    </row>
    <row r="35" spans="1:34" x14ac:dyDescent="0.25">
      <c r="A35" s="15" t="s">
        <v>70</v>
      </c>
      <c r="B35" s="16" t="s">
        <v>106</v>
      </c>
      <c r="C35" s="34"/>
      <c r="D35" s="26" t="s">
        <v>88</v>
      </c>
      <c r="E35" s="26"/>
      <c r="F35" s="26"/>
      <c r="G35" s="26"/>
      <c r="H35" s="21" t="s">
        <v>108</v>
      </c>
      <c r="I35" s="54" t="s">
        <v>113</v>
      </c>
      <c r="J35" s="54" t="s">
        <v>112</v>
      </c>
      <c r="K35" s="22">
        <v>27.8</v>
      </c>
      <c r="L35" s="10">
        <f>(6.55+0.26+0.3)-(6.55+0.05)</f>
        <v>0.50999999999999979</v>
      </c>
      <c r="M35" s="10"/>
      <c r="N35" s="39"/>
      <c r="O35" s="10">
        <v>2.54</v>
      </c>
      <c r="P35" s="40">
        <f t="shared" ref="P35:P39" si="46">0.3-0.045</f>
        <v>0.255</v>
      </c>
      <c r="Q35" s="40"/>
      <c r="R35" s="40">
        <v>2</v>
      </c>
      <c r="S35" s="39"/>
      <c r="T35" s="40"/>
      <c r="U35" s="40"/>
      <c r="V35" s="40"/>
      <c r="W35" s="40"/>
      <c r="X35" s="40"/>
      <c r="Y35" s="40"/>
      <c r="Z35" s="40"/>
      <c r="AA35" s="40"/>
      <c r="AB35" s="24">
        <f t="shared" si="5"/>
        <v>12.882599999999993</v>
      </c>
      <c r="AC35" s="24" t="str">
        <f t="shared" si="6"/>
        <v/>
      </c>
      <c r="AD35" s="24" t="str">
        <f t="shared" si="7"/>
        <v/>
      </c>
      <c r="AE35" s="24">
        <f t="shared" si="8"/>
        <v>1.2954000000000001</v>
      </c>
      <c r="AF35" s="24" t="str">
        <f t="shared" si="9"/>
        <v/>
      </c>
      <c r="AG35" s="31"/>
      <c r="AH35" s="3"/>
    </row>
    <row r="36" spans="1:34" x14ac:dyDescent="0.25">
      <c r="A36" s="15" t="s">
        <v>70</v>
      </c>
      <c r="B36" s="16" t="s">
        <v>106</v>
      </c>
      <c r="C36" s="34"/>
      <c r="D36" s="26" t="s">
        <v>88</v>
      </c>
      <c r="E36" s="26"/>
      <c r="F36" s="26"/>
      <c r="G36" s="26"/>
      <c r="H36" s="21"/>
      <c r="I36" s="54"/>
      <c r="J36" s="54"/>
      <c r="K36" s="22"/>
      <c r="L36" s="10"/>
      <c r="M36" s="10"/>
      <c r="N36" s="39"/>
      <c r="O36" s="10">
        <v>2.5</v>
      </c>
      <c r="P36" s="40">
        <f t="shared" si="46"/>
        <v>0.255</v>
      </c>
      <c r="Q36" s="40"/>
      <c r="R36" s="40">
        <v>2</v>
      </c>
      <c r="S36" s="39"/>
      <c r="T36" s="40"/>
      <c r="U36" s="40"/>
      <c r="V36" s="40"/>
      <c r="W36" s="40"/>
      <c r="X36" s="40"/>
      <c r="Y36" s="40"/>
      <c r="Z36" s="40"/>
      <c r="AA36" s="40"/>
      <c r="AB36" s="24">
        <f t="shared" si="5"/>
        <v>-1.2749999999999999</v>
      </c>
      <c r="AC36" s="24" t="str">
        <f t="shared" si="6"/>
        <v/>
      </c>
      <c r="AD36" s="24" t="str">
        <f t="shared" si="7"/>
        <v/>
      </c>
      <c r="AE36" s="24">
        <f t="shared" si="8"/>
        <v>1.2749999999999999</v>
      </c>
      <c r="AF36" s="24" t="str">
        <f t="shared" si="9"/>
        <v/>
      </c>
      <c r="AG36" s="31"/>
      <c r="AH36" s="3"/>
    </row>
    <row r="37" spans="1:34" x14ac:dyDescent="0.25">
      <c r="A37" s="15" t="s">
        <v>70</v>
      </c>
      <c r="B37" s="16" t="s">
        <v>106</v>
      </c>
      <c r="C37" s="34"/>
      <c r="D37" s="26" t="s">
        <v>88</v>
      </c>
      <c r="E37" s="26"/>
      <c r="F37" s="26"/>
      <c r="G37" s="26"/>
      <c r="H37" s="21" t="s">
        <v>108</v>
      </c>
      <c r="I37" s="54" t="s">
        <v>113</v>
      </c>
      <c r="J37" s="54" t="s">
        <v>112</v>
      </c>
      <c r="K37" s="22">
        <v>19.8</v>
      </c>
      <c r="L37" s="10">
        <f>(6.55+0.26+0.3)-(6.55+0.05)</f>
        <v>0.50999999999999979</v>
      </c>
      <c r="M37" s="10"/>
      <c r="N37" s="39"/>
      <c r="O37" s="10">
        <v>2.54</v>
      </c>
      <c r="P37" s="40">
        <f t="shared" si="46"/>
        <v>0.255</v>
      </c>
      <c r="Q37" s="40"/>
      <c r="R37" s="40">
        <v>2</v>
      </c>
      <c r="S37" s="39"/>
      <c r="T37" s="40"/>
      <c r="U37" s="40"/>
      <c r="V37" s="40"/>
      <c r="W37" s="40"/>
      <c r="X37" s="40"/>
      <c r="Y37" s="40"/>
      <c r="Z37" s="40"/>
      <c r="AA37" s="40"/>
      <c r="AB37" s="24">
        <f t="shared" ref="AB37:AB39" si="47">IF(K37*L37+M37-O37*P37*R37-Q37*R37+T37*U37*W37+V37*W37&lt;&gt;0,K37*L37+M37-O37*P37*R37-Q37*R37+T37*U37*W37+V37*W37,"")</f>
        <v>8.8025999999999947</v>
      </c>
      <c r="AC37" s="24" t="str">
        <f t="shared" ref="AC37:AC39" si="48">IF(W37*SUM(Y37:AA37)&lt;&gt;0,W37*SUM(Y37:AA37),"")</f>
        <v/>
      </c>
      <c r="AD37" s="24" t="str">
        <f t="shared" ref="AD37:AD39" si="49">IF(W37*X37*SUM(Y37:AA37)&lt;&gt;0,W37*X37*SUM(Y37:AA37),"")</f>
        <v/>
      </c>
      <c r="AE37" s="24">
        <f t="shared" ref="AE37:AE39" si="50">IF(O37*P37*R37+Q37*R37&lt;&gt;0,O37*P37*R37+Q37*R37,"")</f>
        <v>1.2954000000000001</v>
      </c>
      <c r="AF37" s="24" t="str">
        <f t="shared" ref="AF37:AF39" si="51">IF(W37*X37*(Z37+AA37)&lt;&gt;0,W37*X37*(Z37+AA37),"")</f>
        <v/>
      </c>
      <c r="AG37" s="31"/>
      <c r="AH37" s="3"/>
    </row>
    <row r="38" spans="1:34" x14ac:dyDescent="0.25">
      <c r="A38" s="15" t="s">
        <v>70</v>
      </c>
      <c r="B38" s="16" t="s">
        <v>106</v>
      </c>
      <c r="C38" s="34"/>
      <c r="D38" s="26" t="s">
        <v>88</v>
      </c>
      <c r="E38" s="26"/>
      <c r="F38" s="26"/>
      <c r="G38" s="26"/>
      <c r="H38" s="21"/>
      <c r="I38" s="54"/>
      <c r="J38" s="54"/>
      <c r="K38" s="22"/>
      <c r="L38" s="10"/>
      <c r="M38" s="10"/>
      <c r="N38" s="39"/>
      <c r="O38" s="10">
        <v>2.6</v>
      </c>
      <c r="P38" s="40">
        <f t="shared" si="46"/>
        <v>0.255</v>
      </c>
      <c r="Q38" s="40"/>
      <c r="R38" s="40">
        <v>1</v>
      </c>
      <c r="S38" s="39"/>
      <c r="T38" s="40"/>
      <c r="U38" s="40"/>
      <c r="V38" s="40"/>
      <c r="W38" s="40"/>
      <c r="X38" s="40"/>
      <c r="Y38" s="40"/>
      <c r="Z38" s="40"/>
      <c r="AA38" s="40"/>
      <c r="AB38" s="24">
        <f t="shared" si="47"/>
        <v>-0.66300000000000003</v>
      </c>
      <c r="AC38" s="24" t="str">
        <f t="shared" si="48"/>
        <v/>
      </c>
      <c r="AD38" s="24" t="str">
        <f t="shared" si="49"/>
        <v/>
      </c>
      <c r="AE38" s="24">
        <f t="shared" si="50"/>
        <v>0.66300000000000003</v>
      </c>
      <c r="AF38" s="24" t="str">
        <f t="shared" si="51"/>
        <v/>
      </c>
      <c r="AG38" s="31"/>
      <c r="AH38" s="3"/>
    </row>
    <row r="39" spans="1:34" x14ac:dyDescent="0.25">
      <c r="A39" s="15" t="s">
        <v>70</v>
      </c>
      <c r="B39" s="16" t="s">
        <v>106</v>
      </c>
      <c r="C39" s="34"/>
      <c r="D39" s="26" t="s">
        <v>88</v>
      </c>
      <c r="E39" s="26"/>
      <c r="F39" s="26"/>
      <c r="G39" s="26"/>
      <c r="H39" s="21"/>
      <c r="I39" s="54"/>
      <c r="J39" s="54"/>
      <c r="K39" s="22"/>
      <c r="L39" s="10"/>
      <c r="M39" s="10"/>
      <c r="N39" s="39"/>
      <c r="O39" s="10">
        <v>0.54</v>
      </c>
      <c r="P39" s="40">
        <f t="shared" si="46"/>
        <v>0.255</v>
      </c>
      <c r="Q39" s="40"/>
      <c r="R39" s="40">
        <v>1</v>
      </c>
      <c r="S39" s="39"/>
      <c r="T39" s="40"/>
      <c r="U39" s="40"/>
      <c r="V39" s="40"/>
      <c r="W39" s="40"/>
      <c r="X39" s="40"/>
      <c r="Y39" s="40"/>
      <c r="Z39" s="40"/>
      <c r="AA39" s="40"/>
      <c r="AB39" s="24">
        <f t="shared" si="47"/>
        <v>-0.13770000000000002</v>
      </c>
      <c r="AC39" s="24" t="str">
        <f t="shared" si="48"/>
        <v/>
      </c>
      <c r="AD39" s="24" t="str">
        <f t="shared" si="49"/>
        <v/>
      </c>
      <c r="AE39" s="24">
        <f t="shared" si="50"/>
        <v>0.13770000000000002</v>
      </c>
      <c r="AF39" s="24" t="str">
        <f t="shared" si="51"/>
        <v/>
      </c>
      <c r="AG39" s="31"/>
      <c r="AH39" s="3"/>
    </row>
    <row r="40" spans="1:34" x14ac:dyDescent="0.25">
      <c r="A40" s="15" t="s">
        <v>70</v>
      </c>
      <c r="B40" s="16" t="s">
        <v>106</v>
      </c>
      <c r="C40" s="34"/>
      <c r="D40" s="26" t="s">
        <v>72</v>
      </c>
      <c r="E40" s="26"/>
      <c r="F40" s="26"/>
      <c r="G40" s="26"/>
      <c r="H40" s="21" t="s">
        <v>110</v>
      </c>
      <c r="I40" s="54" t="s">
        <v>112</v>
      </c>
      <c r="J40" s="54" t="s">
        <v>115</v>
      </c>
      <c r="K40" s="22">
        <v>27.8</v>
      </c>
      <c r="L40" s="10">
        <f>9.3-7.11</f>
        <v>2.1900000000000004</v>
      </c>
      <c r="M40" s="10"/>
      <c r="N40" s="39"/>
      <c r="O40" s="10">
        <v>2.5</v>
      </c>
      <c r="P40" s="40">
        <v>2.19</v>
      </c>
      <c r="Q40" s="40"/>
      <c r="R40" s="40">
        <v>2</v>
      </c>
      <c r="S40" s="39"/>
      <c r="T40" s="40"/>
      <c r="U40" s="40"/>
      <c r="V40" s="40"/>
      <c r="W40" s="40"/>
      <c r="X40" s="40"/>
      <c r="Y40" s="40"/>
      <c r="Z40" s="40"/>
      <c r="AA40" s="40"/>
      <c r="AB40" s="24">
        <f t="shared" si="5"/>
        <v>49.932000000000016</v>
      </c>
      <c r="AC40" s="24" t="str">
        <f t="shared" si="6"/>
        <v/>
      </c>
      <c r="AD40" s="24" t="str">
        <f t="shared" si="7"/>
        <v/>
      </c>
      <c r="AE40" s="24">
        <f t="shared" si="8"/>
        <v>10.95</v>
      </c>
      <c r="AF40" s="24" t="str">
        <f t="shared" si="9"/>
        <v/>
      </c>
      <c r="AG40" s="31"/>
      <c r="AH40" s="3"/>
    </row>
    <row r="41" spans="1:34" x14ac:dyDescent="0.25">
      <c r="A41" s="15" t="s">
        <v>70</v>
      </c>
      <c r="B41" s="16" t="s">
        <v>106</v>
      </c>
      <c r="C41" s="34"/>
      <c r="D41" s="26" t="s">
        <v>72</v>
      </c>
      <c r="E41" s="26"/>
      <c r="F41" s="26"/>
      <c r="G41" s="26"/>
      <c r="H41" s="21"/>
      <c r="I41" s="54"/>
      <c r="J41" s="54"/>
      <c r="K41" s="22"/>
      <c r="L41" s="10"/>
      <c r="M41" s="10"/>
      <c r="N41" s="39"/>
      <c r="O41" s="10">
        <v>2.04</v>
      </c>
      <c r="P41" s="40">
        <v>2.19</v>
      </c>
      <c r="Q41" s="40"/>
      <c r="R41" s="40">
        <v>2</v>
      </c>
      <c r="S41" s="39"/>
      <c r="T41" s="40"/>
      <c r="U41" s="40"/>
      <c r="V41" s="40"/>
      <c r="W41" s="40"/>
      <c r="X41" s="40"/>
      <c r="Y41" s="40"/>
      <c r="Z41" s="40"/>
      <c r="AA41" s="40"/>
      <c r="AB41" s="24">
        <f t="shared" si="5"/>
        <v>-8.9352</v>
      </c>
      <c r="AC41" s="24" t="str">
        <f t="shared" si="6"/>
        <v/>
      </c>
      <c r="AD41" s="24" t="str">
        <f t="shared" si="7"/>
        <v/>
      </c>
      <c r="AE41" s="24">
        <f t="shared" si="8"/>
        <v>8.9352</v>
      </c>
      <c r="AF41" s="24" t="str">
        <f t="shared" si="9"/>
        <v/>
      </c>
      <c r="AG41" s="31"/>
      <c r="AH41" s="3"/>
    </row>
    <row r="42" spans="1:34" x14ac:dyDescent="0.25">
      <c r="A42" s="15" t="s">
        <v>70</v>
      </c>
      <c r="B42" s="16" t="s">
        <v>106</v>
      </c>
      <c r="C42" s="34"/>
      <c r="D42" s="26" t="s">
        <v>72</v>
      </c>
      <c r="E42" s="26"/>
      <c r="F42" s="26"/>
      <c r="G42" s="26"/>
      <c r="H42" s="21"/>
      <c r="I42" s="54"/>
      <c r="J42" s="54"/>
      <c r="K42" s="22"/>
      <c r="L42" s="10"/>
      <c r="M42" s="10"/>
      <c r="N42" s="39"/>
      <c r="O42" s="10">
        <v>0.54</v>
      </c>
      <c r="P42" s="40">
        <v>2.19</v>
      </c>
      <c r="Q42" s="40"/>
      <c r="R42" s="40">
        <v>2</v>
      </c>
      <c r="S42" s="39"/>
      <c r="T42" s="40"/>
      <c r="U42" s="40"/>
      <c r="V42" s="40"/>
      <c r="W42" s="40"/>
      <c r="X42" s="40"/>
      <c r="Y42" s="40"/>
      <c r="Z42" s="40"/>
      <c r="AA42" s="40"/>
      <c r="AB42" s="24">
        <f t="shared" si="5"/>
        <v>-2.3652000000000002</v>
      </c>
      <c r="AC42" s="24" t="str">
        <f t="shared" si="6"/>
        <v/>
      </c>
      <c r="AD42" s="24" t="str">
        <f t="shared" si="7"/>
        <v/>
      </c>
      <c r="AE42" s="24">
        <f t="shared" si="8"/>
        <v>2.3652000000000002</v>
      </c>
      <c r="AF42" s="24" t="str">
        <f t="shared" si="9"/>
        <v/>
      </c>
      <c r="AG42" s="31"/>
      <c r="AH42" s="3"/>
    </row>
    <row r="43" spans="1:34" x14ac:dyDescent="0.25">
      <c r="A43" s="15" t="s">
        <v>70</v>
      </c>
      <c r="B43" s="16" t="s">
        <v>106</v>
      </c>
      <c r="C43" s="34"/>
      <c r="D43" s="26" t="s">
        <v>72</v>
      </c>
      <c r="E43" s="26"/>
      <c r="F43" s="26"/>
      <c r="G43" s="26"/>
      <c r="H43" s="21" t="s">
        <v>110</v>
      </c>
      <c r="I43" s="54" t="s">
        <v>112</v>
      </c>
      <c r="J43" s="54" t="s">
        <v>115</v>
      </c>
      <c r="K43" s="22">
        <v>19.8</v>
      </c>
      <c r="L43" s="10">
        <f>9.3-7.11</f>
        <v>2.1900000000000004</v>
      </c>
      <c r="M43" s="10"/>
      <c r="N43" s="39"/>
      <c r="O43" s="10">
        <v>2.54</v>
      </c>
      <c r="P43" s="40">
        <v>2.19</v>
      </c>
      <c r="Q43" s="40"/>
      <c r="R43" s="40">
        <v>2</v>
      </c>
      <c r="S43" s="39"/>
      <c r="T43" s="40"/>
      <c r="U43" s="40"/>
      <c r="V43" s="40"/>
      <c r="W43" s="40"/>
      <c r="X43" s="40"/>
      <c r="Y43" s="40"/>
      <c r="Z43" s="40"/>
      <c r="AA43" s="40"/>
      <c r="AB43" s="24">
        <f t="shared" si="5"/>
        <v>32.236800000000009</v>
      </c>
      <c r="AC43" s="24" t="str">
        <f t="shared" si="6"/>
        <v/>
      </c>
      <c r="AD43" s="24" t="str">
        <f t="shared" si="7"/>
        <v/>
      </c>
      <c r="AE43" s="24">
        <f t="shared" si="8"/>
        <v>11.1252</v>
      </c>
      <c r="AF43" s="24" t="str">
        <f t="shared" si="9"/>
        <v/>
      </c>
      <c r="AG43" s="31"/>
      <c r="AH43" s="3"/>
    </row>
    <row r="44" spans="1:34" x14ac:dyDescent="0.25">
      <c r="A44" s="15" t="s">
        <v>70</v>
      </c>
      <c r="B44" s="16" t="s">
        <v>106</v>
      </c>
      <c r="C44" s="34"/>
      <c r="D44" s="26" t="s">
        <v>72</v>
      </c>
      <c r="E44" s="26"/>
      <c r="F44" s="26"/>
      <c r="G44" s="26"/>
      <c r="H44" s="21"/>
      <c r="I44" s="54"/>
      <c r="J44" s="54"/>
      <c r="K44" s="22"/>
      <c r="L44" s="10"/>
      <c r="M44" s="10"/>
      <c r="N44" s="39"/>
      <c r="O44" s="10">
        <v>2.6</v>
      </c>
      <c r="P44" s="40">
        <v>2.19</v>
      </c>
      <c r="Q44" s="40"/>
      <c r="R44" s="40">
        <v>1</v>
      </c>
      <c r="S44" s="39"/>
      <c r="T44" s="40"/>
      <c r="U44" s="40"/>
      <c r="V44" s="40"/>
      <c r="W44" s="40"/>
      <c r="X44" s="40"/>
      <c r="Y44" s="40"/>
      <c r="Z44" s="40"/>
      <c r="AA44" s="40"/>
      <c r="AB44" s="24">
        <f t="shared" si="5"/>
        <v>-5.694</v>
      </c>
      <c r="AC44" s="24" t="str">
        <f t="shared" si="6"/>
        <v/>
      </c>
      <c r="AD44" s="24" t="str">
        <f t="shared" si="7"/>
        <v/>
      </c>
      <c r="AE44" s="24">
        <f t="shared" si="8"/>
        <v>5.694</v>
      </c>
      <c r="AF44" s="24" t="str">
        <f t="shared" si="9"/>
        <v/>
      </c>
      <c r="AG44" s="31"/>
      <c r="AH44" s="3"/>
    </row>
    <row r="45" spans="1:34" x14ac:dyDescent="0.25">
      <c r="A45" s="15" t="s">
        <v>70</v>
      </c>
      <c r="B45" s="16" t="s">
        <v>106</v>
      </c>
      <c r="C45" s="34"/>
      <c r="D45" s="26" t="s">
        <v>72</v>
      </c>
      <c r="E45" s="26"/>
      <c r="F45" s="26"/>
      <c r="G45" s="26"/>
      <c r="H45" s="21"/>
      <c r="I45" s="54"/>
      <c r="J45" s="54"/>
      <c r="K45" s="22"/>
      <c r="L45" s="10"/>
      <c r="M45" s="10"/>
      <c r="N45" s="39"/>
      <c r="O45" s="10">
        <v>0.54</v>
      </c>
      <c r="P45" s="40">
        <v>2.19</v>
      </c>
      <c r="Q45" s="40"/>
      <c r="R45" s="40">
        <v>1</v>
      </c>
      <c r="S45" s="39"/>
      <c r="T45" s="40"/>
      <c r="U45" s="40"/>
      <c r="V45" s="40"/>
      <c r="W45" s="40"/>
      <c r="X45" s="40"/>
      <c r="Y45" s="40"/>
      <c r="Z45" s="40"/>
      <c r="AA45" s="40"/>
      <c r="AB45" s="24">
        <f t="shared" si="5"/>
        <v>-1.1826000000000001</v>
      </c>
      <c r="AC45" s="24" t="str">
        <f t="shared" si="6"/>
        <v/>
      </c>
      <c r="AD45" s="24" t="str">
        <f t="shared" si="7"/>
        <v/>
      </c>
      <c r="AE45" s="24">
        <f t="shared" si="8"/>
        <v>1.1826000000000001</v>
      </c>
      <c r="AF45" s="24" t="str">
        <f t="shared" si="9"/>
        <v/>
      </c>
      <c r="AG45" s="31"/>
      <c r="AH45" s="3"/>
    </row>
    <row r="46" spans="1:34" x14ac:dyDescent="0.25">
      <c r="A46" s="15" t="s">
        <v>70</v>
      </c>
      <c r="B46" s="16" t="s">
        <v>106</v>
      </c>
      <c r="C46" s="34"/>
      <c r="D46" s="26" t="s">
        <v>79</v>
      </c>
      <c r="E46" s="26"/>
      <c r="F46" s="26"/>
      <c r="G46" s="26"/>
      <c r="H46" s="21" t="s">
        <v>116</v>
      </c>
      <c r="I46" s="54" t="s">
        <v>118</v>
      </c>
      <c r="J46" s="54" t="s">
        <v>117</v>
      </c>
      <c r="K46" s="22">
        <v>27.8</v>
      </c>
      <c r="L46" s="10">
        <f>10.5-9.7</f>
        <v>0.80000000000000071</v>
      </c>
      <c r="M46" s="10"/>
      <c r="N46" s="39"/>
      <c r="O46" s="10"/>
      <c r="P46" s="40"/>
      <c r="Q46" s="40"/>
      <c r="R46" s="40"/>
      <c r="S46" s="39"/>
      <c r="T46" s="40"/>
      <c r="U46" s="40"/>
      <c r="V46" s="40"/>
      <c r="W46" s="40"/>
      <c r="X46" s="40"/>
      <c r="Y46" s="40"/>
      <c r="Z46" s="40"/>
      <c r="AA46" s="40"/>
      <c r="AB46" s="24">
        <f t="shared" si="5"/>
        <v>22.24000000000002</v>
      </c>
      <c r="AC46" s="24" t="str">
        <f t="shared" si="6"/>
        <v/>
      </c>
      <c r="AD46" s="24" t="str">
        <f t="shared" si="7"/>
        <v/>
      </c>
      <c r="AE46" s="24" t="str">
        <f t="shared" si="8"/>
        <v/>
      </c>
      <c r="AF46" s="24" t="str">
        <f t="shared" si="9"/>
        <v/>
      </c>
      <c r="AG46" s="31"/>
      <c r="AH46" s="3"/>
    </row>
    <row r="47" spans="1:34" x14ac:dyDescent="0.25">
      <c r="A47" s="15" t="s">
        <v>70</v>
      </c>
      <c r="B47" s="16" t="s">
        <v>106</v>
      </c>
      <c r="C47" s="34"/>
      <c r="D47" s="26" t="s">
        <v>79</v>
      </c>
      <c r="E47" s="26"/>
      <c r="F47" s="26"/>
      <c r="G47" s="26"/>
      <c r="H47" s="21" t="s">
        <v>116</v>
      </c>
      <c r="I47" s="54" t="s">
        <v>118</v>
      </c>
      <c r="J47" s="54" t="s">
        <v>117</v>
      </c>
      <c r="K47" s="22">
        <v>19.8</v>
      </c>
      <c r="L47" s="10">
        <f>10.5-9.7</f>
        <v>0.80000000000000071</v>
      </c>
      <c r="M47" s="10"/>
      <c r="N47" s="39"/>
      <c r="O47" s="10"/>
      <c r="P47" s="40"/>
      <c r="Q47" s="40"/>
      <c r="R47" s="40"/>
      <c r="S47" s="39"/>
      <c r="T47" s="40"/>
      <c r="U47" s="40"/>
      <c r="V47" s="40"/>
      <c r="W47" s="40"/>
      <c r="X47" s="40"/>
      <c r="Y47" s="40"/>
      <c r="Z47" s="40"/>
      <c r="AA47" s="40"/>
      <c r="AB47" s="24">
        <f t="shared" si="5"/>
        <v>15.840000000000014</v>
      </c>
      <c r="AC47" s="24" t="str">
        <f t="shared" si="6"/>
        <v/>
      </c>
      <c r="AD47" s="24" t="str">
        <f t="shared" si="7"/>
        <v/>
      </c>
      <c r="AE47" s="24" t="str">
        <f t="shared" si="8"/>
        <v/>
      </c>
      <c r="AF47" s="24" t="str">
        <f t="shared" si="9"/>
        <v/>
      </c>
      <c r="AG47" s="31"/>
      <c r="AH47" s="3"/>
    </row>
    <row r="48" spans="1:34" x14ac:dyDescent="0.25">
      <c r="A48" s="15" t="s">
        <v>70</v>
      </c>
      <c r="B48" s="16" t="s">
        <v>87</v>
      </c>
      <c r="C48" s="34"/>
      <c r="D48" s="26" t="s">
        <v>139</v>
      </c>
      <c r="E48" s="26"/>
      <c r="F48" s="26"/>
      <c r="G48" s="26"/>
      <c r="H48" s="21" t="s">
        <v>145</v>
      </c>
      <c r="I48" s="54"/>
      <c r="J48" s="54"/>
      <c r="K48" s="22">
        <f>21.65+19.8+0.4*2</f>
        <v>42.25</v>
      </c>
      <c r="L48" s="10">
        <f>0.45+0.36</f>
        <v>0.81</v>
      </c>
      <c r="M48" s="10"/>
      <c r="N48" s="39"/>
      <c r="O48" s="10"/>
      <c r="P48" s="40"/>
      <c r="Q48" s="40"/>
      <c r="R48" s="40"/>
      <c r="S48" s="39"/>
      <c r="T48" s="40"/>
      <c r="U48" s="40"/>
      <c r="V48" s="40"/>
      <c r="W48" s="40"/>
      <c r="X48" s="40"/>
      <c r="Y48" s="40"/>
      <c r="Z48" s="40"/>
      <c r="AA48" s="40"/>
      <c r="AB48" s="24">
        <f t="shared" ref="AB48:AB284" si="52">IF(K48*L48+M48-O48*P48*R48-Q48*R48+T48*U48*W48+V48*W48&lt;&gt;0,K48*L48+M48-O48*P48*R48-Q48*R48+T48*U48*W48+V48*W48,"")</f>
        <v>34.222500000000004</v>
      </c>
      <c r="AC48" s="24" t="str">
        <f t="shared" ref="AC48:AC284" si="53">IF(W48*SUM(Y48:AA48)&lt;&gt;0,W48*SUM(Y48:AA48),"")</f>
        <v/>
      </c>
      <c r="AD48" s="24" t="str">
        <f t="shared" ref="AD48:AD284" si="54">IF(W48*X48*SUM(Y48:AA48)&lt;&gt;0,W48*X48*SUM(Y48:AA48),"")</f>
        <v/>
      </c>
      <c r="AE48" s="24" t="str">
        <f t="shared" ref="AE48:AE284" si="55">IF(O48*P48*R48+Q48*R48&lt;&gt;0,O48*P48*R48+Q48*R48,"")</f>
        <v/>
      </c>
      <c r="AF48" s="24" t="str">
        <f t="shared" ref="AF48:AF284" si="56">IF(W48*X48*(Z48+AA48)&lt;&gt;0,W48*X48*(Z48+AA48),"")</f>
        <v/>
      </c>
      <c r="AG48" s="31" t="s">
        <v>143</v>
      </c>
      <c r="AH48" s="3"/>
    </row>
    <row r="49" spans="1:34" x14ac:dyDescent="0.25">
      <c r="A49" s="15" t="s">
        <v>70</v>
      </c>
      <c r="B49" s="16" t="s">
        <v>106</v>
      </c>
      <c r="C49" s="34"/>
      <c r="D49" s="26" t="s">
        <v>139</v>
      </c>
      <c r="E49" s="26"/>
      <c r="F49" s="26"/>
      <c r="G49" s="26"/>
      <c r="H49" s="21"/>
      <c r="I49" s="54"/>
      <c r="J49" s="54"/>
      <c r="K49" s="22">
        <f>27.8+0.4*2+19.8+0.4</f>
        <v>48.800000000000004</v>
      </c>
      <c r="L49" s="10">
        <f t="shared" ref="L49:L50" si="57">0.45+0.36</f>
        <v>0.81</v>
      </c>
      <c r="M49" s="10"/>
      <c r="N49" s="39"/>
      <c r="O49" s="10"/>
      <c r="P49" s="40"/>
      <c r="Q49" s="40"/>
      <c r="R49" s="40"/>
      <c r="S49" s="39"/>
      <c r="T49" s="40"/>
      <c r="U49" s="40"/>
      <c r="V49" s="40"/>
      <c r="W49" s="40"/>
      <c r="X49" s="40"/>
      <c r="Y49" s="40"/>
      <c r="Z49" s="40"/>
      <c r="AA49" s="40"/>
      <c r="AB49" s="24">
        <f t="shared" si="52"/>
        <v>39.528000000000006</v>
      </c>
      <c r="AC49" s="24" t="str">
        <f t="shared" si="53"/>
        <v/>
      </c>
      <c r="AD49" s="24" t="str">
        <f t="shared" si="54"/>
        <v/>
      </c>
      <c r="AE49" s="24" t="str">
        <f t="shared" si="55"/>
        <v/>
      </c>
      <c r="AF49" s="24" t="str">
        <f t="shared" si="56"/>
        <v/>
      </c>
      <c r="AG49" s="31"/>
      <c r="AH49" s="3"/>
    </row>
    <row r="50" spans="1:34" x14ac:dyDescent="0.25">
      <c r="A50" s="15" t="s">
        <v>70</v>
      </c>
      <c r="B50" s="16" t="s">
        <v>142</v>
      </c>
      <c r="C50" s="34"/>
      <c r="D50" s="26" t="s">
        <v>139</v>
      </c>
      <c r="E50" s="26"/>
      <c r="F50" s="26"/>
      <c r="G50" s="26"/>
      <c r="H50" s="21"/>
      <c r="I50" s="54"/>
      <c r="J50" s="54"/>
      <c r="K50" s="22">
        <f>27.8+0.4*2+19.8+0.4</f>
        <v>48.800000000000004</v>
      </c>
      <c r="L50" s="10">
        <f t="shared" si="57"/>
        <v>0.81</v>
      </c>
      <c r="M50" s="10"/>
      <c r="N50" s="39"/>
      <c r="O50" s="10"/>
      <c r="P50" s="40"/>
      <c r="Q50" s="40"/>
      <c r="R50" s="40"/>
      <c r="S50" s="39"/>
      <c r="T50" s="40"/>
      <c r="U50" s="40"/>
      <c r="V50" s="40"/>
      <c r="W50" s="40"/>
      <c r="X50" s="40"/>
      <c r="Y50" s="40"/>
      <c r="Z50" s="40"/>
      <c r="AA50" s="40"/>
      <c r="AB50" s="24">
        <f t="shared" si="52"/>
        <v>39.528000000000006</v>
      </c>
      <c r="AC50" s="24" t="str">
        <f t="shared" si="53"/>
        <v/>
      </c>
      <c r="AD50" s="24" t="str">
        <f t="shared" si="54"/>
        <v/>
      </c>
      <c r="AE50" s="24" t="str">
        <f t="shared" si="55"/>
        <v/>
      </c>
      <c r="AF50" s="24" t="str">
        <f t="shared" si="56"/>
        <v/>
      </c>
      <c r="AG50" s="31"/>
      <c r="AH50" s="3"/>
    </row>
    <row r="51" spans="1:34" x14ac:dyDescent="0.25">
      <c r="A51" s="15" t="s">
        <v>70</v>
      </c>
      <c r="B51" s="16" t="s">
        <v>87</v>
      </c>
      <c r="C51" s="34"/>
      <c r="D51" s="26" t="s">
        <v>140</v>
      </c>
      <c r="E51" s="26"/>
      <c r="F51" s="26"/>
      <c r="G51" s="26"/>
      <c r="H51" s="21" t="s">
        <v>141</v>
      </c>
      <c r="I51" s="54"/>
      <c r="J51" s="54"/>
      <c r="K51" s="22">
        <f>21.65+19.8+0.4*2</f>
        <v>42.25</v>
      </c>
      <c r="L51" s="10">
        <v>0.4</v>
      </c>
      <c r="M51" s="10"/>
      <c r="N51" s="39"/>
      <c r="O51" s="10"/>
      <c r="P51" s="40"/>
      <c r="Q51" s="40"/>
      <c r="R51" s="40"/>
      <c r="S51" s="39"/>
      <c r="T51" s="40"/>
      <c r="U51" s="40"/>
      <c r="V51" s="40"/>
      <c r="W51" s="40"/>
      <c r="X51" s="40"/>
      <c r="Y51" s="40"/>
      <c r="Z51" s="40"/>
      <c r="AA51" s="40"/>
      <c r="AB51" s="24">
        <f t="shared" si="52"/>
        <v>16.900000000000002</v>
      </c>
      <c r="AC51" s="24" t="str">
        <f t="shared" si="53"/>
        <v/>
      </c>
      <c r="AD51" s="24" t="str">
        <f t="shared" si="54"/>
        <v/>
      </c>
      <c r="AE51" s="24" t="str">
        <f t="shared" si="55"/>
        <v/>
      </c>
      <c r="AF51" s="24" t="str">
        <f t="shared" si="56"/>
        <v/>
      </c>
      <c r="AG51" s="31" t="s">
        <v>144</v>
      </c>
      <c r="AH51" s="3"/>
    </row>
    <row r="52" spans="1:34" x14ac:dyDescent="0.25">
      <c r="A52" s="15" t="s">
        <v>70</v>
      </c>
      <c r="B52" s="16" t="s">
        <v>106</v>
      </c>
      <c r="C52" s="34"/>
      <c r="D52" s="26" t="s">
        <v>140</v>
      </c>
      <c r="E52" s="26"/>
      <c r="F52" s="26"/>
      <c r="G52" s="26"/>
      <c r="H52" s="21"/>
      <c r="I52" s="54"/>
      <c r="J52" s="54"/>
      <c r="K52" s="22">
        <f>27.8+0.4*2+19.8+0.4</f>
        <v>48.800000000000004</v>
      </c>
      <c r="L52" s="10">
        <v>0.4</v>
      </c>
      <c r="M52" s="10"/>
      <c r="N52" s="39"/>
      <c r="O52" s="10"/>
      <c r="P52" s="40"/>
      <c r="Q52" s="40"/>
      <c r="R52" s="40"/>
      <c r="S52" s="39"/>
      <c r="T52" s="40"/>
      <c r="U52" s="40"/>
      <c r="V52" s="40"/>
      <c r="W52" s="40"/>
      <c r="X52" s="40"/>
      <c r="Y52" s="40"/>
      <c r="Z52" s="40"/>
      <c r="AA52" s="40"/>
      <c r="AB52" s="24">
        <f t="shared" si="52"/>
        <v>19.520000000000003</v>
      </c>
      <c r="AC52" s="24" t="str">
        <f t="shared" si="53"/>
        <v/>
      </c>
      <c r="AD52" s="24" t="str">
        <f t="shared" si="54"/>
        <v/>
      </c>
      <c r="AE52" s="24" t="str">
        <f t="shared" si="55"/>
        <v/>
      </c>
      <c r="AF52" s="24" t="str">
        <f t="shared" si="56"/>
        <v/>
      </c>
      <c r="AG52" s="31"/>
      <c r="AH52" s="3"/>
    </row>
    <row r="53" spans="1:34" x14ac:dyDescent="0.25">
      <c r="A53" s="15" t="s">
        <v>70</v>
      </c>
      <c r="B53" s="16" t="s">
        <v>142</v>
      </c>
      <c r="C53" s="34"/>
      <c r="D53" s="26" t="s">
        <v>140</v>
      </c>
      <c r="E53" s="26"/>
      <c r="F53" s="26"/>
      <c r="G53" s="26"/>
      <c r="H53" s="21"/>
      <c r="I53" s="54"/>
      <c r="J53" s="54"/>
      <c r="K53" s="22">
        <f>27.8+0.4*2+19.8+0.4</f>
        <v>48.800000000000004</v>
      </c>
      <c r="L53" s="10">
        <v>0.4</v>
      </c>
      <c r="M53" s="10"/>
      <c r="N53" s="39"/>
      <c r="O53" s="10"/>
      <c r="P53" s="40"/>
      <c r="Q53" s="40"/>
      <c r="R53" s="40"/>
      <c r="S53" s="39"/>
      <c r="T53" s="40"/>
      <c r="U53" s="40"/>
      <c r="V53" s="40"/>
      <c r="W53" s="40"/>
      <c r="X53" s="40"/>
      <c r="Y53" s="40"/>
      <c r="Z53" s="40"/>
      <c r="AA53" s="40"/>
      <c r="AB53" s="24">
        <f t="shared" si="52"/>
        <v>19.520000000000003</v>
      </c>
      <c r="AC53" s="24" t="str">
        <f t="shared" si="53"/>
        <v/>
      </c>
      <c r="AD53" s="24" t="str">
        <f t="shared" si="54"/>
        <v/>
      </c>
      <c r="AE53" s="24" t="str">
        <f t="shared" si="55"/>
        <v/>
      </c>
      <c r="AF53" s="24" t="str">
        <f t="shared" si="56"/>
        <v/>
      </c>
      <c r="AG53" s="31"/>
      <c r="AH53" s="3"/>
    </row>
    <row r="54" spans="1:34" x14ac:dyDescent="0.25">
      <c r="A54" s="15" t="s">
        <v>70</v>
      </c>
      <c r="B54" s="16" t="s">
        <v>87</v>
      </c>
      <c r="C54" s="34"/>
      <c r="D54" s="26" t="s">
        <v>147</v>
      </c>
      <c r="E54" s="26"/>
      <c r="F54" s="26"/>
      <c r="G54" s="26"/>
      <c r="H54" s="21" t="s">
        <v>146</v>
      </c>
      <c r="I54" s="54"/>
      <c r="J54" s="54"/>
      <c r="K54" s="22">
        <f>21.65+19.8+0.4*2</f>
        <v>42.25</v>
      </c>
      <c r="L54" s="10">
        <f>0.1+0.25+0.4+0.6</f>
        <v>1.35</v>
      </c>
      <c r="M54" s="10"/>
      <c r="N54" s="39"/>
      <c r="O54" s="10"/>
      <c r="P54" s="40"/>
      <c r="Q54" s="40"/>
      <c r="R54" s="40"/>
      <c r="S54" s="39"/>
      <c r="T54" s="40"/>
      <c r="U54" s="40"/>
      <c r="V54" s="40"/>
      <c r="W54" s="40"/>
      <c r="X54" s="40"/>
      <c r="Y54" s="40"/>
      <c r="Z54" s="40"/>
      <c r="AA54" s="40"/>
      <c r="AB54" s="24">
        <f t="shared" ref="AB54:AB56" si="58">IF(K54*L54+M54-O54*P54*R54-Q54*R54+T54*U54*W54+V54*W54&lt;&gt;0,K54*L54+M54-O54*P54*R54-Q54*R54+T54*U54*W54+V54*W54,"")</f>
        <v>57.037500000000001</v>
      </c>
      <c r="AC54" s="24" t="str">
        <f t="shared" ref="AC54:AC56" si="59">IF(W54*SUM(Y54:AA54)&lt;&gt;0,W54*SUM(Y54:AA54),"")</f>
        <v/>
      </c>
      <c r="AD54" s="24" t="str">
        <f t="shared" ref="AD54:AD56" si="60">IF(W54*X54*SUM(Y54:AA54)&lt;&gt;0,W54*X54*SUM(Y54:AA54),"")</f>
        <v/>
      </c>
      <c r="AE54" s="24" t="str">
        <f t="shared" ref="AE54:AE56" si="61">IF(O54*P54*R54+Q54*R54&lt;&gt;0,O54*P54*R54+Q54*R54,"")</f>
        <v/>
      </c>
      <c r="AF54" s="24" t="str">
        <f t="shared" ref="AF54:AF56" si="62">IF(W54*X54*(Z54+AA54)&lt;&gt;0,W54*X54*(Z54+AA54),"")</f>
        <v/>
      </c>
      <c r="AG54" s="31" t="s">
        <v>143</v>
      </c>
      <c r="AH54" s="3"/>
    </row>
    <row r="55" spans="1:34" x14ac:dyDescent="0.25">
      <c r="A55" s="15" t="s">
        <v>70</v>
      </c>
      <c r="B55" s="16" t="s">
        <v>106</v>
      </c>
      <c r="C55" s="34"/>
      <c r="D55" s="26" t="s">
        <v>147</v>
      </c>
      <c r="E55" s="26"/>
      <c r="F55" s="26"/>
      <c r="G55" s="26"/>
      <c r="H55" s="21"/>
      <c r="I55" s="54"/>
      <c r="J55" s="54"/>
      <c r="K55" s="22">
        <f>27.8+0.4*2+19.8+0.4</f>
        <v>48.800000000000004</v>
      </c>
      <c r="L55" s="10">
        <f t="shared" ref="L55:L56" si="63">0.1+0.25+0.4+0.6</f>
        <v>1.35</v>
      </c>
      <c r="M55" s="10"/>
      <c r="N55" s="39"/>
      <c r="O55" s="10"/>
      <c r="P55" s="40"/>
      <c r="Q55" s="40"/>
      <c r="R55" s="40"/>
      <c r="S55" s="39"/>
      <c r="T55" s="40"/>
      <c r="U55" s="40"/>
      <c r="V55" s="40"/>
      <c r="W55" s="40"/>
      <c r="X55" s="40"/>
      <c r="Y55" s="40"/>
      <c r="Z55" s="40"/>
      <c r="AA55" s="40"/>
      <c r="AB55" s="24">
        <f t="shared" si="58"/>
        <v>65.88000000000001</v>
      </c>
      <c r="AC55" s="24" t="str">
        <f t="shared" si="59"/>
        <v/>
      </c>
      <c r="AD55" s="24" t="str">
        <f t="shared" si="60"/>
        <v/>
      </c>
      <c r="AE55" s="24" t="str">
        <f t="shared" si="61"/>
        <v/>
      </c>
      <c r="AF55" s="24" t="str">
        <f t="shared" si="62"/>
        <v/>
      </c>
      <c r="AG55" s="31"/>
      <c r="AH55" s="3"/>
    </row>
    <row r="56" spans="1:34" x14ac:dyDescent="0.25">
      <c r="A56" s="15" t="s">
        <v>70</v>
      </c>
      <c r="B56" s="16" t="s">
        <v>142</v>
      </c>
      <c r="C56" s="34"/>
      <c r="D56" s="26" t="s">
        <v>147</v>
      </c>
      <c r="E56" s="26"/>
      <c r="F56" s="26"/>
      <c r="G56" s="26"/>
      <c r="H56" s="21"/>
      <c r="I56" s="54"/>
      <c r="J56" s="54"/>
      <c r="K56" s="22">
        <f>27.8+0.4*2+19.8+0.4</f>
        <v>48.800000000000004</v>
      </c>
      <c r="L56" s="10">
        <f t="shared" si="63"/>
        <v>1.35</v>
      </c>
      <c r="M56" s="10"/>
      <c r="N56" s="39"/>
      <c r="O56" s="10"/>
      <c r="P56" s="40"/>
      <c r="Q56" s="40"/>
      <c r="R56" s="40"/>
      <c r="S56" s="39"/>
      <c r="T56" s="40"/>
      <c r="U56" s="40"/>
      <c r="V56" s="40"/>
      <c r="W56" s="40"/>
      <c r="X56" s="40"/>
      <c r="Y56" s="40"/>
      <c r="Z56" s="40"/>
      <c r="AA56" s="40"/>
      <c r="AB56" s="24">
        <f t="shared" si="58"/>
        <v>65.88000000000001</v>
      </c>
      <c r="AC56" s="24" t="str">
        <f t="shared" si="59"/>
        <v/>
      </c>
      <c r="AD56" s="24" t="str">
        <f t="shared" si="60"/>
        <v/>
      </c>
      <c r="AE56" s="24" t="str">
        <f t="shared" si="61"/>
        <v/>
      </c>
      <c r="AF56" s="24" t="str">
        <f t="shared" si="62"/>
        <v/>
      </c>
      <c r="AG56" s="31"/>
      <c r="AH56" s="3"/>
    </row>
    <row r="57" spans="1:34" x14ac:dyDescent="0.25">
      <c r="A57" s="15" t="s">
        <v>70</v>
      </c>
      <c r="B57" s="16" t="s">
        <v>87</v>
      </c>
      <c r="C57" s="34"/>
      <c r="D57" s="26" t="s">
        <v>148</v>
      </c>
      <c r="E57" s="26"/>
      <c r="F57" s="26"/>
      <c r="G57" s="26"/>
      <c r="H57" s="21" t="s">
        <v>149</v>
      </c>
      <c r="I57" s="54"/>
      <c r="J57" s="54"/>
      <c r="K57" s="22">
        <f>21.65+19.8+0.4*2</f>
        <v>42.25</v>
      </c>
      <c r="L57" s="10">
        <v>0.4</v>
      </c>
      <c r="M57" s="10"/>
      <c r="N57" s="39"/>
      <c r="O57" s="10"/>
      <c r="P57" s="40"/>
      <c r="Q57" s="40"/>
      <c r="R57" s="40"/>
      <c r="S57" s="39"/>
      <c r="T57" s="40"/>
      <c r="U57" s="40"/>
      <c r="V57" s="40"/>
      <c r="W57" s="40"/>
      <c r="X57" s="40"/>
      <c r="Y57" s="40"/>
      <c r="Z57" s="40"/>
      <c r="AA57" s="40"/>
      <c r="AB57" s="24">
        <f t="shared" ref="AB57:AB97" si="64">IF(K57*L57+M57-O57*P57*R57-Q57*R57+T57*U57*W57+V57*W57&lt;&gt;0,K57*L57+M57-O57*P57*R57-Q57*R57+T57*U57*W57+V57*W57,"")</f>
        <v>16.900000000000002</v>
      </c>
      <c r="AC57" s="24" t="str">
        <f t="shared" ref="AC57:AC97" si="65">IF(W57*SUM(Y57:AA57)&lt;&gt;0,W57*SUM(Y57:AA57),"")</f>
        <v/>
      </c>
      <c r="AD57" s="24" t="str">
        <f t="shared" ref="AD57:AD97" si="66">IF(W57*X57*SUM(Y57:AA57)&lt;&gt;0,W57*X57*SUM(Y57:AA57),"")</f>
        <v/>
      </c>
      <c r="AE57" s="24" t="str">
        <f t="shared" ref="AE57:AE97" si="67">IF(O57*P57*R57+Q57*R57&lt;&gt;0,O57*P57*R57+Q57*R57,"")</f>
        <v/>
      </c>
      <c r="AF57" s="24" t="str">
        <f t="shared" ref="AF57:AF97" si="68">IF(W57*X57*(Z57+AA57)&lt;&gt;0,W57*X57*(Z57+AA57),"")</f>
        <v/>
      </c>
      <c r="AG57" s="31"/>
      <c r="AH57" s="3"/>
    </row>
    <row r="58" spans="1:34" x14ac:dyDescent="0.25">
      <c r="A58" s="15" t="s">
        <v>70</v>
      </c>
      <c r="B58" s="16" t="s">
        <v>106</v>
      </c>
      <c r="C58" s="34"/>
      <c r="D58" s="26" t="s">
        <v>148</v>
      </c>
      <c r="E58" s="26"/>
      <c r="F58" s="26"/>
      <c r="G58" s="26"/>
      <c r="H58" s="21"/>
      <c r="I58" s="54"/>
      <c r="J58" s="54"/>
      <c r="K58" s="22">
        <f>27.8+0.4*2+19.8+0.4</f>
        <v>48.800000000000004</v>
      </c>
      <c r="L58" s="10">
        <v>0.4</v>
      </c>
      <c r="M58" s="10"/>
      <c r="N58" s="39"/>
      <c r="O58" s="10"/>
      <c r="P58" s="40"/>
      <c r="Q58" s="40"/>
      <c r="R58" s="40"/>
      <c r="S58" s="39"/>
      <c r="T58" s="40"/>
      <c r="U58" s="40"/>
      <c r="V58" s="40"/>
      <c r="W58" s="40"/>
      <c r="X58" s="40"/>
      <c r="Y58" s="40"/>
      <c r="Z58" s="40"/>
      <c r="AA58" s="40"/>
      <c r="AB58" s="24">
        <f t="shared" si="64"/>
        <v>19.520000000000003</v>
      </c>
      <c r="AC58" s="24" t="str">
        <f t="shared" si="65"/>
        <v/>
      </c>
      <c r="AD58" s="24" t="str">
        <f t="shared" si="66"/>
        <v/>
      </c>
      <c r="AE58" s="24" t="str">
        <f t="shared" si="67"/>
        <v/>
      </c>
      <c r="AF58" s="24" t="str">
        <f t="shared" si="68"/>
        <v/>
      </c>
      <c r="AG58" s="31"/>
      <c r="AH58" s="3"/>
    </row>
    <row r="59" spans="1:34" x14ac:dyDescent="0.25">
      <c r="A59" s="15" t="s">
        <v>70</v>
      </c>
      <c r="B59" s="16" t="s">
        <v>142</v>
      </c>
      <c r="C59" s="34"/>
      <c r="D59" s="26" t="s">
        <v>148</v>
      </c>
      <c r="E59" s="26"/>
      <c r="F59" s="26"/>
      <c r="G59" s="26"/>
      <c r="H59" s="21"/>
      <c r="I59" s="54"/>
      <c r="J59" s="54"/>
      <c r="K59" s="22">
        <f>27.8+0.4*2+19.8+0.4</f>
        <v>48.800000000000004</v>
      </c>
      <c r="L59" s="10">
        <v>0.4</v>
      </c>
      <c r="M59" s="10"/>
      <c r="N59" s="39"/>
      <c r="O59" s="10"/>
      <c r="P59" s="40"/>
      <c r="Q59" s="40"/>
      <c r="R59" s="40"/>
      <c r="S59" s="39"/>
      <c r="T59" s="40"/>
      <c r="U59" s="40"/>
      <c r="V59" s="40"/>
      <c r="W59" s="40"/>
      <c r="X59" s="40"/>
      <c r="Y59" s="40"/>
      <c r="Z59" s="40"/>
      <c r="AA59" s="40"/>
      <c r="AB59" s="24">
        <f t="shared" si="64"/>
        <v>19.520000000000003</v>
      </c>
      <c r="AC59" s="24" t="str">
        <f t="shared" si="65"/>
        <v/>
      </c>
      <c r="AD59" s="24" t="str">
        <f t="shared" si="66"/>
        <v/>
      </c>
      <c r="AE59" s="24" t="str">
        <f t="shared" si="67"/>
        <v/>
      </c>
      <c r="AF59" s="24" t="str">
        <f t="shared" si="68"/>
        <v/>
      </c>
      <c r="AG59" s="31"/>
      <c r="AH59" s="3"/>
    </row>
    <row r="60" spans="1:34" x14ac:dyDescent="0.25">
      <c r="A60" s="15" t="s">
        <v>70</v>
      </c>
      <c r="B60" s="16" t="s">
        <v>71</v>
      </c>
      <c r="C60" s="34"/>
      <c r="D60" s="26" t="s">
        <v>152</v>
      </c>
      <c r="E60" s="26"/>
      <c r="F60" s="26"/>
      <c r="G60" s="26"/>
      <c r="H60" s="21" t="s">
        <v>154</v>
      </c>
      <c r="I60" s="54" t="s">
        <v>153</v>
      </c>
      <c r="J60" s="54" t="s">
        <v>94</v>
      </c>
      <c r="K60" s="22"/>
      <c r="L60" s="10"/>
      <c r="M60" s="10"/>
      <c r="N60" s="39"/>
      <c r="O60" s="10"/>
      <c r="P60" s="40"/>
      <c r="Q60" s="40"/>
      <c r="R60" s="40"/>
      <c r="S60" s="39"/>
      <c r="T60" s="40"/>
      <c r="U60" s="40"/>
      <c r="V60" s="40"/>
      <c r="W60" s="40">
        <v>9</v>
      </c>
      <c r="X60" s="40"/>
      <c r="Y60" s="40"/>
      <c r="Z60" s="40"/>
      <c r="AA60" s="40">
        <f>0.5*4*2+3.01*8</f>
        <v>28.08</v>
      </c>
      <c r="AB60" s="24" t="str">
        <f t="shared" si="64"/>
        <v/>
      </c>
      <c r="AC60" s="24">
        <f t="shared" si="65"/>
        <v>252.71999999999997</v>
      </c>
      <c r="AD60" s="24" t="str">
        <f t="shared" si="66"/>
        <v/>
      </c>
      <c r="AE60" s="24" t="str">
        <f t="shared" si="67"/>
        <v/>
      </c>
      <c r="AF60" s="24" t="str">
        <f t="shared" si="68"/>
        <v/>
      </c>
      <c r="AG60" s="31"/>
      <c r="AH60" s="3"/>
    </row>
    <row r="61" spans="1:34" x14ac:dyDescent="0.25">
      <c r="A61" s="15" t="s">
        <v>70</v>
      </c>
      <c r="B61" s="16" t="s">
        <v>71</v>
      </c>
      <c r="C61" s="34"/>
      <c r="D61" s="26" t="s">
        <v>157</v>
      </c>
      <c r="E61" s="26"/>
      <c r="F61" s="26"/>
      <c r="G61" s="26"/>
      <c r="H61" s="21" t="s">
        <v>97</v>
      </c>
      <c r="I61" s="54" t="s">
        <v>93</v>
      </c>
      <c r="J61" s="54" t="s">
        <v>94</v>
      </c>
      <c r="K61" s="22"/>
      <c r="L61" s="10"/>
      <c r="M61" s="10">
        <v>13.02</v>
      </c>
      <c r="N61" s="39"/>
      <c r="O61" s="10"/>
      <c r="P61" s="40"/>
      <c r="Q61" s="40"/>
      <c r="R61" s="40"/>
      <c r="S61" s="39"/>
      <c r="T61" s="40"/>
      <c r="U61" s="40"/>
      <c r="V61" s="40"/>
      <c r="W61" s="40"/>
      <c r="X61" s="40"/>
      <c r="Y61" s="40"/>
      <c r="Z61" s="40"/>
      <c r="AA61" s="40"/>
      <c r="AB61" s="24">
        <f t="shared" ref="AB61:AB62" si="69">IF(K61*L61+M61-O61*P61*R61-Q61*R61+T61*U61*W61+V61*W61&lt;&gt;0,K61*L61+M61-O61*P61*R61-Q61*R61+T61*U61*W61+V61*W61,"")</f>
        <v>13.02</v>
      </c>
      <c r="AC61" s="24" t="str">
        <f t="shared" ref="AC61:AC62" si="70">IF(W61*SUM(Y61:AA61)&lt;&gt;0,W61*SUM(Y61:AA61),"")</f>
        <v/>
      </c>
      <c r="AD61" s="24" t="str">
        <f t="shared" ref="AD61:AD62" si="71">IF(W61*X61*SUM(Y61:AA61)&lt;&gt;0,W61*X61*SUM(Y61:AA61),"")</f>
        <v/>
      </c>
      <c r="AE61" s="24" t="str">
        <f t="shared" ref="AE61:AE62" si="72">IF(O61*P61*R61+Q61*R61&lt;&gt;0,O61*P61*R61+Q61*R61,"")</f>
        <v/>
      </c>
      <c r="AF61" s="24" t="str">
        <f t="shared" ref="AF61:AF62" si="73">IF(W61*X61*(Z61+AA61)&lt;&gt;0,W61*X61*(Z61+AA61),"")</f>
        <v/>
      </c>
      <c r="AG61" s="31"/>
      <c r="AH61" s="3"/>
    </row>
    <row r="62" spans="1:34" x14ac:dyDescent="0.25">
      <c r="A62" s="15" t="s">
        <v>70</v>
      </c>
      <c r="B62" s="16" t="s">
        <v>71</v>
      </c>
      <c r="C62" s="34"/>
      <c r="D62" s="26" t="s">
        <v>157</v>
      </c>
      <c r="E62" s="26"/>
      <c r="F62" s="26"/>
      <c r="G62" s="26"/>
      <c r="H62" s="21" t="s">
        <v>99</v>
      </c>
      <c r="I62" s="54" t="s">
        <v>93</v>
      </c>
      <c r="J62" s="54" t="s">
        <v>95</v>
      </c>
      <c r="K62" s="22"/>
      <c r="L62" s="10"/>
      <c r="M62" s="10">
        <f>15.48-M61</f>
        <v>2.4600000000000009</v>
      </c>
      <c r="N62" s="39"/>
      <c r="O62" s="10"/>
      <c r="P62" s="40"/>
      <c r="Q62" s="40"/>
      <c r="R62" s="40"/>
      <c r="S62" s="39"/>
      <c r="T62" s="40"/>
      <c r="U62" s="40"/>
      <c r="V62" s="40"/>
      <c r="W62" s="40"/>
      <c r="X62" s="40"/>
      <c r="Y62" s="40"/>
      <c r="Z62" s="40"/>
      <c r="AA62" s="40"/>
      <c r="AB62" s="24">
        <f t="shared" si="69"/>
        <v>2.4600000000000009</v>
      </c>
      <c r="AC62" s="24" t="str">
        <f t="shared" si="70"/>
        <v/>
      </c>
      <c r="AD62" s="24" t="str">
        <f t="shared" si="71"/>
        <v/>
      </c>
      <c r="AE62" s="24" t="str">
        <f t="shared" si="72"/>
        <v/>
      </c>
      <c r="AF62" s="24" t="str">
        <f t="shared" si="73"/>
        <v/>
      </c>
      <c r="AG62" s="31"/>
      <c r="AH62" s="3"/>
    </row>
    <row r="63" spans="1:34" x14ac:dyDescent="0.25">
      <c r="A63" s="15" t="s">
        <v>70</v>
      </c>
      <c r="B63" s="16" t="s">
        <v>71</v>
      </c>
      <c r="C63" s="34"/>
      <c r="D63" s="26" t="s">
        <v>157</v>
      </c>
      <c r="E63" s="26"/>
      <c r="F63" s="26"/>
      <c r="G63" s="26"/>
      <c r="H63" s="21" t="s">
        <v>161</v>
      </c>
      <c r="I63" s="54" t="s">
        <v>160</v>
      </c>
      <c r="J63" s="54" t="s">
        <v>158</v>
      </c>
      <c r="K63" s="10">
        <v>5.7</v>
      </c>
      <c r="L63" s="10">
        <v>1.5</v>
      </c>
      <c r="M63" s="10"/>
      <c r="N63" s="39"/>
      <c r="O63" s="10"/>
      <c r="P63" s="40"/>
      <c r="Q63" s="40"/>
      <c r="R63" s="40"/>
      <c r="S63" s="39"/>
      <c r="T63" s="40"/>
      <c r="U63" s="40"/>
      <c r="V63" s="40"/>
      <c r="W63" s="40"/>
      <c r="X63" s="40"/>
      <c r="Y63" s="40"/>
      <c r="Z63" s="40"/>
      <c r="AA63" s="40"/>
      <c r="AB63" s="24">
        <f t="shared" ref="AB63:AB70" si="74">IF(K63*L63+M63-O63*P63*R63-Q63*R63+T63*U63*W63+V63*W63&lt;&gt;0,K63*L63+M63-O63*P63*R63-Q63*R63+T63*U63*W63+V63*W63,"")</f>
        <v>8.5500000000000007</v>
      </c>
      <c r="AC63" s="24" t="str">
        <f t="shared" ref="AC63:AC70" si="75">IF(W63*SUM(Y63:AA63)&lt;&gt;0,W63*SUM(Y63:AA63),"")</f>
        <v/>
      </c>
      <c r="AD63" s="24" t="str">
        <f t="shared" ref="AD63:AD70" si="76">IF(W63*X63*SUM(Y63:AA63)&lt;&gt;0,W63*X63*SUM(Y63:AA63),"")</f>
        <v/>
      </c>
      <c r="AE63" s="24" t="str">
        <f t="shared" ref="AE63:AE70" si="77">IF(O63*P63*R63+Q63*R63&lt;&gt;0,O63*P63*R63+Q63*R63,"")</f>
        <v/>
      </c>
      <c r="AF63" s="24" t="str">
        <f t="shared" ref="AF63:AF70" si="78">IF(W63*X63*(Z63+AA63)&lt;&gt;0,W63*X63*(Z63+AA63),"")</f>
        <v/>
      </c>
      <c r="AG63" s="31"/>
      <c r="AH63" s="3"/>
    </row>
    <row r="64" spans="1:34" x14ac:dyDescent="0.25">
      <c r="A64" s="15" t="s">
        <v>70</v>
      </c>
      <c r="B64" s="16" t="s">
        <v>71</v>
      </c>
      <c r="C64" s="34"/>
      <c r="D64" s="26" t="s">
        <v>157</v>
      </c>
      <c r="E64" s="26"/>
      <c r="F64" s="26"/>
      <c r="G64" s="26"/>
      <c r="H64" s="21" t="s">
        <v>162</v>
      </c>
      <c r="I64" s="54" t="s">
        <v>160</v>
      </c>
      <c r="J64" s="54" t="s">
        <v>158</v>
      </c>
      <c r="K64" s="22">
        <f>0.5*4*5</f>
        <v>10</v>
      </c>
      <c r="L64" s="10">
        <v>1.5</v>
      </c>
      <c r="M64" s="10"/>
      <c r="N64" s="39"/>
      <c r="O64" s="10"/>
      <c r="P64" s="40"/>
      <c r="Q64" s="40"/>
      <c r="R64" s="40"/>
      <c r="S64" s="39"/>
      <c r="T64" s="40"/>
      <c r="U64" s="40"/>
      <c r="V64" s="40"/>
      <c r="W64" s="40"/>
      <c r="X64" s="40"/>
      <c r="Y64" s="40"/>
      <c r="Z64" s="40"/>
      <c r="AA64" s="40"/>
      <c r="AB64" s="24">
        <f t="shared" si="74"/>
        <v>15</v>
      </c>
      <c r="AC64" s="24" t="str">
        <f t="shared" si="75"/>
        <v/>
      </c>
      <c r="AD64" s="24" t="str">
        <f t="shared" si="76"/>
        <v/>
      </c>
      <c r="AE64" s="24" t="str">
        <f t="shared" si="77"/>
        <v/>
      </c>
      <c r="AF64" s="24" t="str">
        <f t="shared" si="78"/>
        <v/>
      </c>
      <c r="AG64" s="31"/>
      <c r="AH64" s="3"/>
    </row>
    <row r="65" spans="1:34" x14ac:dyDescent="0.25">
      <c r="A65" s="15" t="s">
        <v>70</v>
      </c>
      <c r="B65" s="16" t="s">
        <v>87</v>
      </c>
      <c r="C65" s="34"/>
      <c r="D65" s="26" t="s">
        <v>157</v>
      </c>
      <c r="E65" s="26"/>
      <c r="F65" s="26"/>
      <c r="G65" s="26"/>
      <c r="H65" s="21" t="s">
        <v>87</v>
      </c>
      <c r="I65" s="54" t="s">
        <v>95</v>
      </c>
      <c r="J65" s="54" t="s">
        <v>159</v>
      </c>
      <c r="K65" s="10">
        <v>2.82</v>
      </c>
      <c r="L65" s="10">
        <v>1.5</v>
      </c>
      <c r="M65" s="10"/>
      <c r="N65" s="39"/>
      <c r="O65" s="10"/>
      <c r="P65" s="40"/>
      <c r="Q65" s="40"/>
      <c r="R65" s="40"/>
      <c r="S65" s="39"/>
      <c r="T65" s="40"/>
      <c r="U65" s="40"/>
      <c r="V65" s="40"/>
      <c r="W65" s="40"/>
      <c r="X65" s="40"/>
      <c r="Y65" s="40"/>
      <c r="Z65" s="40"/>
      <c r="AA65" s="40"/>
      <c r="AB65" s="24">
        <f t="shared" si="74"/>
        <v>4.2299999999999995</v>
      </c>
      <c r="AC65" s="24" t="str">
        <f t="shared" si="75"/>
        <v/>
      </c>
      <c r="AD65" s="24" t="str">
        <f t="shared" si="76"/>
        <v/>
      </c>
      <c r="AE65" s="24" t="str">
        <f t="shared" si="77"/>
        <v/>
      </c>
      <c r="AF65" s="24" t="str">
        <f t="shared" si="78"/>
        <v/>
      </c>
      <c r="AG65" s="31"/>
      <c r="AH65" s="3"/>
    </row>
    <row r="66" spans="1:34" x14ac:dyDescent="0.25">
      <c r="A66" s="15" t="s">
        <v>70</v>
      </c>
      <c r="B66" s="16" t="s">
        <v>87</v>
      </c>
      <c r="C66" s="34"/>
      <c r="D66" s="26" t="s">
        <v>157</v>
      </c>
      <c r="E66" s="26"/>
      <c r="F66" s="26"/>
      <c r="G66" s="26"/>
      <c r="H66" s="21" t="s">
        <v>87</v>
      </c>
      <c r="I66" s="54" t="s">
        <v>95</v>
      </c>
      <c r="J66" s="54" t="s">
        <v>163</v>
      </c>
      <c r="K66" s="10">
        <v>3.19</v>
      </c>
      <c r="L66" s="10">
        <v>1.2</v>
      </c>
      <c r="M66" s="10"/>
      <c r="N66" s="39"/>
      <c r="O66" s="10"/>
      <c r="P66" s="40"/>
      <c r="Q66" s="40"/>
      <c r="R66" s="40"/>
      <c r="S66" s="39"/>
      <c r="T66" s="40"/>
      <c r="U66" s="40"/>
      <c r="V66" s="40"/>
      <c r="W66" s="40"/>
      <c r="X66" s="40"/>
      <c r="Y66" s="40"/>
      <c r="Z66" s="40"/>
      <c r="AA66" s="40"/>
      <c r="AB66" s="24">
        <f t="shared" si="74"/>
        <v>3.8279999999999998</v>
      </c>
      <c r="AC66" s="24" t="str">
        <f t="shared" si="75"/>
        <v/>
      </c>
      <c r="AD66" s="24" t="str">
        <f t="shared" si="76"/>
        <v/>
      </c>
      <c r="AE66" s="24" t="str">
        <f t="shared" si="77"/>
        <v/>
      </c>
      <c r="AF66" s="24" t="str">
        <f t="shared" si="78"/>
        <v/>
      </c>
      <c r="AG66" s="31"/>
      <c r="AH66" s="3"/>
    </row>
    <row r="67" spans="1:34" x14ac:dyDescent="0.25">
      <c r="A67" s="15" t="s">
        <v>70</v>
      </c>
      <c r="B67" s="16" t="s">
        <v>87</v>
      </c>
      <c r="C67" s="34"/>
      <c r="D67" s="26" t="s">
        <v>157</v>
      </c>
      <c r="E67" s="26"/>
      <c r="F67" s="26"/>
      <c r="G67" s="26"/>
      <c r="H67" s="21" t="s">
        <v>87</v>
      </c>
      <c r="I67" s="54" t="s">
        <v>95</v>
      </c>
      <c r="J67" s="54" t="s">
        <v>164</v>
      </c>
      <c r="K67" s="10">
        <v>1.53</v>
      </c>
      <c r="L67" s="10">
        <v>0.8</v>
      </c>
      <c r="M67" s="10"/>
      <c r="N67" s="39"/>
      <c r="O67" s="10"/>
      <c r="P67" s="40"/>
      <c r="Q67" s="40"/>
      <c r="R67" s="40"/>
      <c r="S67" s="39"/>
      <c r="T67" s="40"/>
      <c r="U67" s="40"/>
      <c r="V67" s="40"/>
      <c r="W67" s="40"/>
      <c r="X67" s="40"/>
      <c r="Y67" s="40"/>
      <c r="Z67" s="40"/>
      <c r="AA67" s="40"/>
      <c r="AB67" s="24">
        <f t="shared" si="74"/>
        <v>1.2240000000000002</v>
      </c>
      <c r="AC67" s="24" t="str">
        <f t="shared" si="75"/>
        <v/>
      </c>
      <c r="AD67" s="24" t="str">
        <f t="shared" si="76"/>
        <v/>
      </c>
      <c r="AE67" s="24" t="str">
        <f t="shared" si="77"/>
        <v/>
      </c>
      <c r="AF67" s="24" t="str">
        <f t="shared" si="78"/>
        <v/>
      </c>
      <c r="AG67" s="31"/>
      <c r="AH67" s="3"/>
    </row>
    <row r="68" spans="1:34" x14ac:dyDescent="0.25">
      <c r="A68" s="15" t="s">
        <v>70</v>
      </c>
      <c r="B68" s="16" t="s">
        <v>87</v>
      </c>
      <c r="C68" s="34"/>
      <c r="D68" s="26" t="s">
        <v>157</v>
      </c>
      <c r="E68" s="26"/>
      <c r="F68" s="26"/>
      <c r="G68" s="26"/>
      <c r="H68" s="21" t="s">
        <v>87</v>
      </c>
      <c r="I68" s="54" t="s">
        <v>95</v>
      </c>
      <c r="J68" s="54" t="s">
        <v>165</v>
      </c>
      <c r="K68" s="10">
        <v>1.56</v>
      </c>
      <c r="L68" s="10">
        <v>0.6</v>
      </c>
      <c r="M68" s="10"/>
      <c r="N68" s="39"/>
      <c r="O68" s="10"/>
      <c r="P68" s="40"/>
      <c r="Q68" s="40"/>
      <c r="R68" s="40"/>
      <c r="S68" s="39"/>
      <c r="T68" s="40"/>
      <c r="U68" s="40"/>
      <c r="V68" s="40"/>
      <c r="W68" s="40"/>
      <c r="X68" s="40"/>
      <c r="Y68" s="40"/>
      <c r="Z68" s="40"/>
      <c r="AA68" s="40"/>
      <c r="AB68" s="24">
        <f t="shared" si="74"/>
        <v>0.93599999999999994</v>
      </c>
      <c r="AC68" s="24" t="str">
        <f t="shared" si="75"/>
        <v/>
      </c>
      <c r="AD68" s="24" t="str">
        <f t="shared" si="76"/>
        <v/>
      </c>
      <c r="AE68" s="24" t="str">
        <f t="shared" si="77"/>
        <v/>
      </c>
      <c r="AF68" s="24" t="str">
        <f t="shared" si="78"/>
        <v/>
      </c>
      <c r="AG68" s="31"/>
      <c r="AH68" s="3"/>
    </row>
    <row r="69" spans="1:34" x14ac:dyDescent="0.25">
      <c r="A69" s="15" t="s">
        <v>70</v>
      </c>
      <c r="B69" s="16" t="s">
        <v>87</v>
      </c>
      <c r="C69" s="34"/>
      <c r="D69" s="26" t="s">
        <v>157</v>
      </c>
      <c r="E69" s="26"/>
      <c r="F69" s="26"/>
      <c r="G69" s="26"/>
      <c r="H69" s="21" t="s">
        <v>87</v>
      </c>
      <c r="I69" s="54" t="s">
        <v>95</v>
      </c>
      <c r="J69" s="54" t="s">
        <v>166</v>
      </c>
      <c r="K69" s="10">
        <v>1.53</v>
      </c>
      <c r="L69" s="10">
        <v>0.4</v>
      </c>
      <c r="M69" s="10"/>
      <c r="N69" s="39"/>
      <c r="O69" s="10"/>
      <c r="P69" s="40"/>
      <c r="Q69" s="40"/>
      <c r="R69" s="40"/>
      <c r="S69" s="39"/>
      <c r="T69" s="40"/>
      <c r="U69" s="40"/>
      <c r="V69" s="40"/>
      <c r="W69" s="40"/>
      <c r="X69" s="40"/>
      <c r="Y69" s="40"/>
      <c r="Z69" s="40"/>
      <c r="AA69" s="40"/>
      <c r="AB69" s="24">
        <f t="shared" si="74"/>
        <v>0.6120000000000001</v>
      </c>
      <c r="AC69" s="24" t="str">
        <f t="shared" si="75"/>
        <v/>
      </c>
      <c r="AD69" s="24" t="str">
        <f t="shared" si="76"/>
        <v/>
      </c>
      <c r="AE69" s="24" t="str">
        <f t="shared" si="77"/>
        <v/>
      </c>
      <c r="AF69" s="24" t="str">
        <f t="shared" si="78"/>
        <v/>
      </c>
      <c r="AG69" s="31"/>
      <c r="AH69" s="3"/>
    </row>
    <row r="70" spans="1:34" x14ac:dyDescent="0.25">
      <c r="A70" s="15" t="s">
        <v>70</v>
      </c>
      <c r="B70" s="16" t="s">
        <v>87</v>
      </c>
      <c r="C70" s="34"/>
      <c r="D70" s="26" t="s">
        <v>157</v>
      </c>
      <c r="E70" s="26"/>
      <c r="F70" s="26"/>
      <c r="G70" s="26"/>
      <c r="H70" s="21" t="s">
        <v>87</v>
      </c>
      <c r="I70" s="54" t="s">
        <v>95</v>
      </c>
      <c r="J70" s="54" t="s">
        <v>167</v>
      </c>
      <c r="K70" s="10">
        <v>3.28</v>
      </c>
      <c r="L70" s="10">
        <v>0.2</v>
      </c>
      <c r="M70" s="10"/>
      <c r="N70" s="39"/>
      <c r="O70" s="10"/>
      <c r="P70" s="40"/>
      <c r="Q70" s="40"/>
      <c r="R70" s="40"/>
      <c r="S70" s="39"/>
      <c r="T70" s="40"/>
      <c r="U70" s="40"/>
      <c r="V70" s="40"/>
      <c r="W70" s="40"/>
      <c r="X70" s="40"/>
      <c r="Y70" s="40"/>
      <c r="Z70" s="40"/>
      <c r="AA70" s="40"/>
      <c r="AB70" s="24">
        <f t="shared" si="74"/>
        <v>0.65600000000000003</v>
      </c>
      <c r="AC70" s="24" t="str">
        <f t="shared" si="75"/>
        <v/>
      </c>
      <c r="AD70" s="24" t="str">
        <f t="shared" si="76"/>
        <v/>
      </c>
      <c r="AE70" s="24" t="str">
        <f t="shared" si="77"/>
        <v/>
      </c>
      <c r="AF70" s="24" t="str">
        <f t="shared" si="78"/>
        <v/>
      </c>
      <c r="AG70" s="31"/>
      <c r="AH70" s="3"/>
    </row>
    <row r="71" spans="1:34" x14ac:dyDescent="0.25">
      <c r="A71" s="15" t="s">
        <v>70</v>
      </c>
      <c r="B71" s="16"/>
      <c r="C71" s="34"/>
      <c r="D71" s="26"/>
      <c r="E71" s="26"/>
      <c r="F71" s="26"/>
      <c r="G71" s="26" t="s">
        <v>274</v>
      </c>
      <c r="H71" s="21" t="s">
        <v>273</v>
      </c>
      <c r="I71" s="54" t="s">
        <v>275</v>
      </c>
      <c r="J71" s="54" t="s">
        <v>117</v>
      </c>
      <c r="K71" s="10">
        <f>27.8+1*2</f>
        <v>29.8</v>
      </c>
      <c r="L71" s="10">
        <f>10.5+(1.6+0.15)/2-1.7</f>
        <v>9.6750000000000007</v>
      </c>
      <c r="M71" s="10"/>
      <c r="N71" s="39"/>
      <c r="O71" s="10"/>
      <c r="P71" s="40"/>
      <c r="Q71" s="40"/>
      <c r="R71" s="40"/>
      <c r="S71" s="39"/>
      <c r="T71" s="40"/>
      <c r="U71" s="40"/>
      <c r="V71" s="40"/>
      <c r="W71" s="40"/>
      <c r="X71" s="40"/>
      <c r="Y71" s="40"/>
      <c r="Z71" s="40"/>
      <c r="AA71" s="40"/>
      <c r="AB71" s="24">
        <f t="shared" ref="AB71:AB75" si="79">IF(K71*L71+M71-O71*P71*R71-Q71*R71+T71*U71*W71+V71*W71&lt;&gt;0,K71*L71+M71-O71*P71*R71-Q71*R71+T71*U71*W71+V71*W71,"")</f>
        <v>288.31500000000005</v>
      </c>
      <c r="AC71" s="24" t="str">
        <f t="shared" ref="AC71:AC75" si="80">IF(W71*SUM(Y71:AA71)&lt;&gt;0,W71*SUM(Y71:AA71),"")</f>
        <v/>
      </c>
      <c r="AD71" s="24" t="str">
        <f t="shared" ref="AD71:AD75" si="81">IF(W71*X71*SUM(Y71:AA71)&lt;&gt;0,W71*X71*SUM(Y71:AA71),"")</f>
        <v/>
      </c>
      <c r="AE71" s="24" t="str">
        <f t="shared" ref="AE71:AE75" si="82">IF(O71*P71*R71+Q71*R71&lt;&gt;0,O71*P71*R71+Q71*R71,"")</f>
        <v/>
      </c>
      <c r="AF71" s="24" t="str">
        <f t="shared" ref="AF71:AF75" si="83">IF(W71*X71*(Z71+AA71)&lt;&gt;0,W71*X71*(Z71+AA71),"")</f>
        <v/>
      </c>
      <c r="AG71" s="31"/>
      <c r="AH71" s="3"/>
    </row>
    <row r="72" spans="1:34" x14ac:dyDescent="0.25">
      <c r="A72" s="15" t="s">
        <v>70</v>
      </c>
      <c r="B72" s="16"/>
      <c r="C72" s="34"/>
      <c r="D72" s="26"/>
      <c r="E72" s="26"/>
      <c r="F72" s="26"/>
      <c r="G72" s="26" t="s">
        <v>274</v>
      </c>
      <c r="H72" s="21"/>
      <c r="I72" s="54" t="s">
        <v>276</v>
      </c>
      <c r="J72" s="54" t="s">
        <v>117</v>
      </c>
      <c r="K72" s="10">
        <f>19.8+1*2</f>
        <v>21.8</v>
      </c>
      <c r="L72" s="10">
        <f>10.5-1.7</f>
        <v>8.8000000000000007</v>
      </c>
      <c r="M72" s="10"/>
      <c r="N72" s="39"/>
      <c r="O72" s="10"/>
      <c r="P72" s="40"/>
      <c r="Q72" s="40"/>
      <c r="R72" s="40"/>
      <c r="S72" s="39"/>
      <c r="T72" s="40"/>
      <c r="U72" s="40"/>
      <c r="V72" s="40"/>
      <c r="W72" s="40"/>
      <c r="X72" s="40"/>
      <c r="Y72" s="40"/>
      <c r="Z72" s="40"/>
      <c r="AA72" s="40"/>
      <c r="AB72" s="24">
        <f t="shared" ref="AB72:AB74" si="84">IF(K72*L72+M72-O72*P72*R72-Q72*R72+T72*U72*W72+V72*W72&lt;&gt;0,K72*L72+M72-O72*P72*R72-Q72*R72+T72*U72*W72+V72*W72,"")</f>
        <v>191.84000000000003</v>
      </c>
      <c r="AC72" s="24" t="str">
        <f t="shared" ref="AC72:AC74" si="85">IF(W72*SUM(Y72:AA72)&lt;&gt;0,W72*SUM(Y72:AA72),"")</f>
        <v/>
      </c>
      <c r="AD72" s="24" t="str">
        <f t="shared" ref="AD72:AD74" si="86">IF(W72*X72*SUM(Y72:AA72)&lt;&gt;0,W72*X72*SUM(Y72:AA72),"")</f>
        <v/>
      </c>
      <c r="AE72" s="24" t="str">
        <f t="shared" ref="AE72:AE74" si="87">IF(O72*P72*R72+Q72*R72&lt;&gt;0,O72*P72*R72+Q72*R72,"")</f>
        <v/>
      </c>
      <c r="AF72" s="24" t="str">
        <f t="shared" ref="AF72:AF74" si="88">IF(W72*X72*(Z72+AA72)&lt;&gt;0,W72*X72*(Z72+AA72),"")</f>
        <v/>
      </c>
      <c r="AG72" s="31"/>
      <c r="AH72" s="3"/>
    </row>
    <row r="73" spans="1:34" x14ac:dyDescent="0.25">
      <c r="A73" s="15"/>
      <c r="B73" s="16"/>
      <c r="C73" s="34"/>
      <c r="D73" s="26"/>
      <c r="E73" s="26"/>
      <c r="F73" s="26"/>
      <c r="G73" s="26"/>
      <c r="H73" s="21"/>
      <c r="I73" s="54"/>
      <c r="J73" s="54"/>
      <c r="K73" s="22"/>
      <c r="L73" s="10"/>
      <c r="M73" s="10"/>
      <c r="N73" s="39"/>
      <c r="O73" s="10"/>
      <c r="P73" s="40"/>
      <c r="Q73" s="40"/>
      <c r="R73" s="40"/>
      <c r="S73" s="39"/>
      <c r="T73" s="40"/>
      <c r="U73" s="40"/>
      <c r="V73" s="40"/>
      <c r="W73" s="40"/>
      <c r="X73" s="40"/>
      <c r="Y73" s="40"/>
      <c r="Z73" s="40"/>
      <c r="AA73" s="40"/>
      <c r="AB73" s="24" t="str">
        <f t="shared" si="84"/>
        <v/>
      </c>
      <c r="AC73" s="24" t="str">
        <f t="shared" si="85"/>
        <v/>
      </c>
      <c r="AD73" s="24" t="str">
        <f t="shared" si="86"/>
        <v/>
      </c>
      <c r="AE73" s="24" t="str">
        <f t="shared" si="87"/>
        <v/>
      </c>
      <c r="AF73" s="24" t="str">
        <f t="shared" si="88"/>
        <v/>
      </c>
      <c r="AG73" s="31"/>
      <c r="AH73" s="3"/>
    </row>
    <row r="74" spans="1:34" x14ac:dyDescent="0.25">
      <c r="A74" s="49" t="s">
        <v>119</v>
      </c>
      <c r="B74" s="16"/>
      <c r="C74" s="34"/>
      <c r="D74" s="26"/>
      <c r="E74" s="26"/>
      <c r="F74" s="26"/>
      <c r="G74" s="26"/>
      <c r="H74" s="21"/>
      <c r="I74" s="54"/>
      <c r="J74" s="54"/>
      <c r="K74" s="22"/>
      <c r="L74" s="10"/>
      <c r="M74" s="10"/>
      <c r="N74" s="39"/>
      <c r="O74" s="10"/>
      <c r="P74" s="40"/>
      <c r="Q74" s="40"/>
      <c r="R74" s="40"/>
      <c r="S74" s="39"/>
      <c r="T74" s="40"/>
      <c r="U74" s="40"/>
      <c r="V74" s="40"/>
      <c r="W74" s="40"/>
      <c r="X74" s="40"/>
      <c r="Y74" s="40"/>
      <c r="Z74" s="40"/>
      <c r="AA74" s="40"/>
      <c r="AB74" s="24" t="str">
        <f t="shared" si="84"/>
        <v/>
      </c>
      <c r="AC74" s="24" t="str">
        <f t="shared" si="85"/>
        <v/>
      </c>
      <c r="AD74" s="24" t="str">
        <f t="shared" si="86"/>
        <v/>
      </c>
      <c r="AE74" s="24" t="str">
        <f t="shared" si="87"/>
        <v/>
      </c>
      <c r="AF74" s="24" t="str">
        <f t="shared" si="88"/>
        <v/>
      </c>
      <c r="AG74" s="31"/>
      <c r="AH74" s="3"/>
    </row>
    <row r="75" spans="1:34" x14ac:dyDescent="0.25">
      <c r="A75" s="15" t="s">
        <v>120</v>
      </c>
      <c r="B75" s="16" t="s">
        <v>71</v>
      </c>
      <c r="C75" s="34"/>
      <c r="D75" s="26" t="s">
        <v>191</v>
      </c>
      <c r="E75" s="26"/>
      <c r="F75" s="26"/>
      <c r="G75" s="26"/>
      <c r="H75" s="21" t="s">
        <v>197</v>
      </c>
      <c r="I75" s="54" t="s">
        <v>196</v>
      </c>
      <c r="J75" s="54" t="s">
        <v>204</v>
      </c>
      <c r="K75" s="22">
        <f>39.7+0.12*2</f>
        <v>39.940000000000005</v>
      </c>
      <c r="L75" s="10">
        <f>3.55-2.735</f>
        <v>0.81499999999999995</v>
      </c>
      <c r="M75" s="10"/>
      <c r="N75" s="39"/>
      <c r="O75" s="10"/>
      <c r="P75" s="40"/>
      <c r="Q75" s="40"/>
      <c r="R75" s="40"/>
      <c r="S75" s="39"/>
      <c r="T75" s="40"/>
      <c r="U75" s="40"/>
      <c r="V75" s="40"/>
      <c r="W75" s="40"/>
      <c r="X75" s="40"/>
      <c r="Y75" s="40"/>
      <c r="Z75" s="40"/>
      <c r="AA75" s="40"/>
      <c r="AB75" s="24">
        <f t="shared" si="79"/>
        <v>32.551100000000005</v>
      </c>
      <c r="AC75" s="24" t="str">
        <f t="shared" si="80"/>
        <v/>
      </c>
      <c r="AD75" s="24" t="str">
        <f t="shared" si="81"/>
        <v/>
      </c>
      <c r="AE75" s="24" t="str">
        <f t="shared" si="82"/>
        <v/>
      </c>
      <c r="AF75" s="24" t="str">
        <f t="shared" si="83"/>
        <v/>
      </c>
      <c r="AG75" s="31"/>
      <c r="AH75" s="3"/>
    </row>
    <row r="76" spans="1:34" x14ac:dyDescent="0.25">
      <c r="A76" s="15" t="s">
        <v>120</v>
      </c>
      <c r="B76" s="16" t="s">
        <v>71</v>
      </c>
      <c r="C76" s="34"/>
      <c r="D76" s="26" t="s">
        <v>191</v>
      </c>
      <c r="E76" s="26"/>
      <c r="F76" s="26"/>
      <c r="G76" s="26"/>
      <c r="H76" s="21" t="s">
        <v>197</v>
      </c>
      <c r="I76" s="54" t="s">
        <v>193</v>
      </c>
      <c r="J76" s="54" t="s">
        <v>207</v>
      </c>
      <c r="K76" s="22">
        <f>5.2+0.12</f>
        <v>5.32</v>
      </c>
      <c r="L76" s="10">
        <f>(3.3+0.14)+0.465</f>
        <v>3.9049999999999998</v>
      </c>
      <c r="M76" s="10"/>
      <c r="N76" s="39"/>
      <c r="O76" s="10"/>
      <c r="P76" s="40"/>
      <c r="Q76" s="40"/>
      <c r="R76" s="40"/>
      <c r="S76" s="39"/>
      <c r="T76" s="40"/>
      <c r="U76" s="40"/>
      <c r="V76" s="40"/>
      <c r="W76" s="40"/>
      <c r="X76" s="40"/>
      <c r="Y76" s="40"/>
      <c r="Z76" s="40"/>
      <c r="AA76" s="40"/>
      <c r="AB76" s="24">
        <f t="shared" ref="AB76" si="89">IF(K76*L76+M76-O76*P76*R76-Q76*R76+T76*U76*W76+V76*W76&lt;&gt;0,K76*L76+M76-O76*P76*R76-Q76*R76+T76*U76*W76+V76*W76,"")</f>
        <v>20.7746</v>
      </c>
      <c r="AC76" s="24" t="str">
        <f t="shared" ref="AC76" si="90">IF(W76*SUM(Y76:AA76)&lt;&gt;0,W76*SUM(Y76:AA76),"")</f>
        <v/>
      </c>
      <c r="AD76" s="24" t="str">
        <f t="shared" ref="AD76" si="91">IF(W76*X76*SUM(Y76:AA76)&lt;&gt;0,W76*X76*SUM(Y76:AA76),"")</f>
        <v/>
      </c>
      <c r="AE76" s="24" t="str">
        <f t="shared" ref="AE76" si="92">IF(O76*P76*R76+Q76*R76&lt;&gt;0,O76*P76*R76+Q76*R76,"")</f>
        <v/>
      </c>
      <c r="AF76" s="24" t="str">
        <f t="shared" ref="AF76" si="93">IF(W76*X76*(Z76+AA76)&lt;&gt;0,W76*X76*(Z76+AA76),"")</f>
        <v/>
      </c>
      <c r="AG76" s="31"/>
      <c r="AH76" s="3"/>
    </row>
    <row r="77" spans="1:34" x14ac:dyDescent="0.25">
      <c r="A77" s="15" t="s">
        <v>120</v>
      </c>
      <c r="B77" s="16" t="s">
        <v>71</v>
      </c>
      <c r="C77" s="34"/>
      <c r="D77" s="26" t="s">
        <v>191</v>
      </c>
      <c r="E77" s="26"/>
      <c r="F77" s="26"/>
      <c r="G77" s="26"/>
      <c r="H77" s="21" t="s">
        <v>197</v>
      </c>
      <c r="I77" s="54" t="s">
        <v>193</v>
      </c>
      <c r="J77" s="54" t="s">
        <v>95</v>
      </c>
      <c r="K77" s="22">
        <v>1.7</v>
      </c>
      <c r="L77" s="10">
        <f>3.7+0.465</f>
        <v>4.165</v>
      </c>
      <c r="M77" s="10"/>
      <c r="N77" s="39"/>
      <c r="O77" s="10"/>
      <c r="P77" s="40"/>
      <c r="Q77" s="40"/>
      <c r="R77" s="40"/>
      <c r="S77" s="39"/>
      <c r="T77" s="40"/>
      <c r="U77" s="40"/>
      <c r="V77" s="40"/>
      <c r="W77" s="40"/>
      <c r="X77" s="40"/>
      <c r="Y77" s="40"/>
      <c r="Z77" s="40"/>
      <c r="AA77" s="40"/>
      <c r="AB77" s="24">
        <f t="shared" ref="AB77:AB78" si="94">IF(K77*L77+M77-O77*P77*R77-Q77*R77+T77*U77*W77+V77*W77&lt;&gt;0,K77*L77+M77-O77*P77*R77-Q77*R77+T77*U77*W77+V77*W77,"")</f>
        <v>7.0804999999999998</v>
      </c>
      <c r="AC77" s="24" t="str">
        <f t="shared" ref="AC77:AC78" si="95">IF(W77*SUM(Y77:AA77)&lt;&gt;0,W77*SUM(Y77:AA77),"")</f>
        <v/>
      </c>
      <c r="AD77" s="24" t="str">
        <f t="shared" ref="AD77:AD78" si="96">IF(W77*X77*SUM(Y77:AA77)&lt;&gt;0,W77*X77*SUM(Y77:AA77),"")</f>
        <v/>
      </c>
      <c r="AE77" s="24" t="str">
        <f t="shared" ref="AE77:AE78" si="97">IF(O77*P77*R77+Q77*R77&lt;&gt;0,O77*P77*R77+Q77*R77,"")</f>
        <v/>
      </c>
      <c r="AF77" s="24" t="str">
        <f t="shared" ref="AF77:AF78" si="98">IF(W77*X77*(Z77+AA77)&lt;&gt;0,W77*X77*(Z77+AA77),"")</f>
        <v/>
      </c>
      <c r="AG77" s="31"/>
      <c r="AH77" s="3"/>
    </row>
    <row r="78" spans="1:34" x14ac:dyDescent="0.25">
      <c r="A78" s="15" t="s">
        <v>120</v>
      </c>
      <c r="B78" s="16" t="s">
        <v>71</v>
      </c>
      <c r="C78" s="34"/>
      <c r="D78" s="26" t="s">
        <v>191</v>
      </c>
      <c r="E78" s="26"/>
      <c r="F78" s="26"/>
      <c r="G78" s="26"/>
      <c r="H78" s="21" t="s">
        <v>197</v>
      </c>
      <c r="I78" s="54" t="s">
        <v>193</v>
      </c>
      <c r="J78" s="54" t="s">
        <v>206</v>
      </c>
      <c r="K78" s="22">
        <v>10.8</v>
      </c>
      <c r="L78" s="10">
        <f>(3.35+0.14)+0.465</f>
        <v>3.9550000000000001</v>
      </c>
      <c r="M78" s="10"/>
      <c r="N78" s="39"/>
      <c r="O78" s="10"/>
      <c r="P78" s="40"/>
      <c r="Q78" s="40"/>
      <c r="R78" s="40"/>
      <c r="S78" s="39"/>
      <c r="T78" s="40"/>
      <c r="U78" s="40"/>
      <c r="V78" s="40"/>
      <c r="W78" s="40"/>
      <c r="X78" s="40"/>
      <c r="Y78" s="40"/>
      <c r="Z78" s="40"/>
      <c r="AA78" s="40"/>
      <c r="AB78" s="24">
        <f t="shared" si="94"/>
        <v>42.714000000000006</v>
      </c>
      <c r="AC78" s="24" t="str">
        <f t="shared" si="95"/>
        <v/>
      </c>
      <c r="AD78" s="24" t="str">
        <f t="shared" si="96"/>
        <v/>
      </c>
      <c r="AE78" s="24" t="str">
        <f t="shared" si="97"/>
        <v/>
      </c>
      <c r="AF78" s="24" t="str">
        <f t="shared" si="98"/>
        <v/>
      </c>
      <c r="AG78" s="31" t="s">
        <v>205</v>
      </c>
      <c r="AH78" s="3"/>
    </row>
    <row r="79" spans="1:34" x14ac:dyDescent="0.25">
      <c r="A79" s="15" t="s">
        <v>120</v>
      </c>
      <c r="B79" s="16" t="s">
        <v>71</v>
      </c>
      <c r="C79" s="34"/>
      <c r="D79" s="26" t="s">
        <v>191</v>
      </c>
      <c r="E79" s="26"/>
      <c r="F79" s="26"/>
      <c r="G79" s="26"/>
      <c r="H79" s="21" t="s">
        <v>197</v>
      </c>
      <c r="I79" s="54" t="s">
        <v>196</v>
      </c>
      <c r="J79" s="54" t="s">
        <v>204</v>
      </c>
      <c r="K79" s="22">
        <f>11.4+0.12</f>
        <v>11.52</v>
      </c>
      <c r="L79" s="10">
        <f>3.55-2.735</f>
        <v>0.81499999999999995</v>
      </c>
      <c r="M79" s="10"/>
      <c r="N79" s="39"/>
      <c r="O79" s="10"/>
      <c r="P79" s="40"/>
      <c r="Q79" s="40"/>
      <c r="R79" s="40"/>
      <c r="S79" s="39"/>
      <c r="T79" s="40"/>
      <c r="U79" s="40"/>
      <c r="V79" s="40"/>
      <c r="W79" s="40"/>
      <c r="X79" s="40"/>
      <c r="Y79" s="40"/>
      <c r="Z79" s="40"/>
      <c r="AA79" s="40"/>
      <c r="AB79" s="24">
        <f t="shared" ref="AB79" si="99">IF(K79*L79+M79-O79*P79*R79-Q79*R79+T79*U79*W79+V79*W79&lt;&gt;0,K79*L79+M79-O79*P79*R79-Q79*R79+T79*U79*W79+V79*W79,"")</f>
        <v>9.3887999999999998</v>
      </c>
      <c r="AC79" s="24" t="str">
        <f t="shared" ref="AC79" si="100">IF(W79*SUM(Y79:AA79)&lt;&gt;0,W79*SUM(Y79:AA79),"")</f>
        <v/>
      </c>
      <c r="AD79" s="24" t="str">
        <f t="shared" ref="AD79" si="101">IF(W79*X79*SUM(Y79:AA79)&lt;&gt;0,W79*X79*SUM(Y79:AA79),"")</f>
        <v/>
      </c>
      <c r="AE79" s="24" t="str">
        <f t="shared" ref="AE79" si="102">IF(O79*P79*R79+Q79*R79&lt;&gt;0,O79*P79*R79+Q79*R79,"")</f>
        <v/>
      </c>
      <c r="AF79" s="24" t="str">
        <f t="shared" ref="AF79" si="103">IF(W79*X79*(Z79+AA79)&lt;&gt;0,W79*X79*(Z79+AA79),"")</f>
        <v/>
      </c>
      <c r="AG79" s="31"/>
      <c r="AH79" s="3"/>
    </row>
    <row r="80" spans="1:34" x14ac:dyDescent="0.25">
      <c r="A80" s="15" t="s">
        <v>120</v>
      </c>
      <c r="B80" s="16" t="s">
        <v>71</v>
      </c>
      <c r="C80" s="34"/>
      <c r="D80" s="26" t="s">
        <v>201</v>
      </c>
      <c r="E80" s="26"/>
      <c r="F80" s="26"/>
      <c r="G80" s="26"/>
      <c r="H80" s="21" t="s">
        <v>197</v>
      </c>
      <c r="I80" s="54" t="s">
        <v>193</v>
      </c>
      <c r="J80" s="54" t="s">
        <v>198</v>
      </c>
      <c r="K80" s="22">
        <f>0.4+0.12</f>
        <v>0.52</v>
      </c>
      <c r="L80" s="10">
        <f>2.235+0.465</f>
        <v>2.6999999999999997</v>
      </c>
      <c r="M80" s="10"/>
      <c r="N80" s="39"/>
      <c r="O80" s="10"/>
      <c r="P80" s="40"/>
      <c r="Q80" s="40"/>
      <c r="R80" s="40"/>
      <c r="S80" s="39"/>
      <c r="T80" s="40"/>
      <c r="U80" s="40"/>
      <c r="V80" s="40"/>
      <c r="W80" s="40"/>
      <c r="X80" s="40"/>
      <c r="Y80" s="40"/>
      <c r="Z80" s="40"/>
      <c r="AA80" s="40"/>
      <c r="AB80" s="24">
        <f t="shared" ref="AB80:AB83" si="104">IF(K80*L80+M80-O80*P80*R80-Q80*R80+T80*U80*W80+V80*W80&lt;&gt;0,K80*L80+M80-O80*P80*R80-Q80*R80+T80*U80*W80+V80*W80,"")</f>
        <v>1.4039999999999999</v>
      </c>
      <c r="AC80" s="24" t="str">
        <f t="shared" ref="AC80:AC83" si="105">IF(W80*SUM(Y80:AA80)&lt;&gt;0,W80*SUM(Y80:AA80),"")</f>
        <v/>
      </c>
      <c r="AD80" s="24" t="str">
        <f t="shared" ref="AD80:AD83" si="106">IF(W80*X80*SUM(Y80:AA80)&lt;&gt;0,W80*X80*SUM(Y80:AA80),"")</f>
        <v/>
      </c>
      <c r="AE80" s="24" t="str">
        <f t="shared" ref="AE80:AE83" si="107">IF(O80*P80*R80+Q80*R80&lt;&gt;0,O80*P80*R80+Q80*R80,"")</f>
        <v/>
      </c>
      <c r="AF80" s="24" t="str">
        <f t="shared" ref="AF80:AF83" si="108">IF(W80*X80*(Z80+AA80)&lt;&gt;0,W80*X80*(Z80+AA80),"")</f>
        <v/>
      </c>
      <c r="AG80" s="31" t="s">
        <v>218</v>
      </c>
      <c r="AH80" s="3"/>
    </row>
    <row r="81" spans="1:34" x14ac:dyDescent="0.25">
      <c r="A81" s="15" t="s">
        <v>120</v>
      </c>
      <c r="B81" s="16" t="s">
        <v>71</v>
      </c>
      <c r="C81" s="34"/>
      <c r="D81" s="26" t="s">
        <v>201</v>
      </c>
      <c r="E81" s="26"/>
      <c r="F81" s="26"/>
      <c r="G81" s="26"/>
      <c r="H81" s="21" t="s">
        <v>197</v>
      </c>
      <c r="I81" s="54" t="s">
        <v>193</v>
      </c>
      <c r="J81" s="54" t="s">
        <v>203</v>
      </c>
      <c r="K81" s="22">
        <f>4.5+0.2+5.85+0.2</f>
        <v>10.75</v>
      </c>
      <c r="L81" s="10">
        <f>3.235+0.465</f>
        <v>3.6999999999999997</v>
      </c>
      <c r="M81" s="10"/>
      <c r="N81" s="39"/>
      <c r="O81" s="10"/>
      <c r="P81" s="40"/>
      <c r="Q81" s="40"/>
      <c r="R81" s="40"/>
      <c r="S81" s="39"/>
      <c r="T81" s="40"/>
      <c r="U81" s="40"/>
      <c r="V81" s="40"/>
      <c r="W81" s="40"/>
      <c r="X81" s="40"/>
      <c r="Y81" s="40"/>
      <c r="Z81" s="40"/>
      <c r="AA81" s="40"/>
      <c r="AB81" s="24">
        <f t="shared" si="104"/>
        <v>39.774999999999999</v>
      </c>
      <c r="AC81" s="24" t="str">
        <f t="shared" si="105"/>
        <v/>
      </c>
      <c r="AD81" s="24" t="str">
        <f t="shared" si="106"/>
        <v/>
      </c>
      <c r="AE81" s="24" t="str">
        <f t="shared" si="107"/>
        <v/>
      </c>
      <c r="AF81" s="24" t="str">
        <f t="shared" si="108"/>
        <v/>
      </c>
      <c r="AG81" s="31" t="s">
        <v>218</v>
      </c>
      <c r="AH81" s="3"/>
    </row>
    <row r="82" spans="1:34" x14ac:dyDescent="0.25">
      <c r="A82" s="15" t="s">
        <v>120</v>
      </c>
      <c r="B82" s="16" t="s">
        <v>71</v>
      </c>
      <c r="C82" s="34"/>
      <c r="D82" s="26" t="s">
        <v>201</v>
      </c>
      <c r="E82" s="26"/>
      <c r="F82" s="26"/>
      <c r="G82" s="26"/>
      <c r="H82" s="21" t="s">
        <v>197</v>
      </c>
      <c r="I82" s="54" t="s">
        <v>193</v>
      </c>
      <c r="J82" s="54" t="s">
        <v>215</v>
      </c>
      <c r="K82" s="22">
        <v>5.7649999999999997</v>
      </c>
      <c r="L82" s="10">
        <f>3.3+0.465</f>
        <v>3.7649999999999997</v>
      </c>
      <c r="M82" s="10"/>
      <c r="N82" s="39"/>
      <c r="O82" s="10"/>
      <c r="P82" s="40"/>
      <c r="Q82" s="40"/>
      <c r="R82" s="40"/>
      <c r="S82" s="39"/>
      <c r="T82" s="40"/>
      <c r="U82" s="40"/>
      <c r="V82" s="40"/>
      <c r="W82" s="40"/>
      <c r="X82" s="40"/>
      <c r="Y82" s="40"/>
      <c r="Z82" s="40"/>
      <c r="AA82" s="40"/>
      <c r="AB82" s="24">
        <f t="shared" si="104"/>
        <v>21.705224999999999</v>
      </c>
      <c r="AC82" s="24" t="str">
        <f t="shared" si="105"/>
        <v/>
      </c>
      <c r="AD82" s="24" t="str">
        <f t="shared" si="106"/>
        <v/>
      </c>
      <c r="AE82" s="24" t="str">
        <f t="shared" si="107"/>
        <v/>
      </c>
      <c r="AF82" s="24" t="str">
        <f t="shared" si="108"/>
        <v/>
      </c>
      <c r="AG82" s="31" t="s">
        <v>218</v>
      </c>
      <c r="AH82" s="3"/>
    </row>
    <row r="83" spans="1:34" x14ac:dyDescent="0.25">
      <c r="A83" s="15" t="s">
        <v>120</v>
      </c>
      <c r="B83" s="16" t="s">
        <v>71</v>
      </c>
      <c r="C83" s="34"/>
      <c r="D83" s="26" t="s">
        <v>201</v>
      </c>
      <c r="E83" s="26"/>
      <c r="F83" s="26"/>
      <c r="G83" s="26"/>
      <c r="H83" s="21" t="s">
        <v>197</v>
      </c>
      <c r="I83" s="54" t="s">
        <v>193</v>
      </c>
      <c r="J83" s="54" t="s">
        <v>216</v>
      </c>
      <c r="K83" s="22">
        <f>5.535+0.25</f>
        <v>5.7850000000000001</v>
      </c>
      <c r="L83" s="10">
        <f>3.035+0.465</f>
        <v>3.5</v>
      </c>
      <c r="M83" s="10"/>
      <c r="N83" s="39"/>
      <c r="O83" s="10"/>
      <c r="P83" s="40"/>
      <c r="Q83" s="40"/>
      <c r="R83" s="40"/>
      <c r="S83" s="39"/>
      <c r="T83" s="40"/>
      <c r="U83" s="40"/>
      <c r="V83" s="40"/>
      <c r="W83" s="40"/>
      <c r="X83" s="40"/>
      <c r="Y83" s="40"/>
      <c r="Z83" s="40"/>
      <c r="AA83" s="40"/>
      <c r="AB83" s="24">
        <f t="shared" si="104"/>
        <v>20.247500000000002</v>
      </c>
      <c r="AC83" s="24" t="str">
        <f t="shared" si="105"/>
        <v/>
      </c>
      <c r="AD83" s="24" t="str">
        <f t="shared" si="106"/>
        <v/>
      </c>
      <c r="AE83" s="24" t="str">
        <f t="shared" si="107"/>
        <v/>
      </c>
      <c r="AF83" s="24" t="str">
        <f t="shared" si="108"/>
        <v/>
      </c>
      <c r="AG83" s="31" t="s">
        <v>218</v>
      </c>
      <c r="AH83" s="3"/>
    </row>
    <row r="84" spans="1:34" x14ac:dyDescent="0.25">
      <c r="A84" s="15" t="s">
        <v>120</v>
      </c>
      <c r="B84" s="16" t="s">
        <v>71</v>
      </c>
      <c r="C84" s="34"/>
      <c r="D84" s="26" t="s">
        <v>201</v>
      </c>
      <c r="E84" s="26"/>
      <c r="F84" s="26"/>
      <c r="G84" s="26"/>
      <c r="H84" s="21" t="s">
        <v>197</v>
      </c>
      <c r="I84" s="54" t="s">
        <v>193</v>
      </c>
      <c r="J84" s="54" t="s">
        <v>203</v>
      </c>
      <c r="K84" s="22">
        <f>0.6+12.6</f>
        <v>13.2</v>
      </c>
      <c r="L84" s="10">
        <f>3.235+0.465</f>
        <v>3.6999999999999997</v>
      </c>
      <c r="M84" s="10"/>
      <c r="N84" s="39"/>
      <c r="O84" s="10"/>
      <c r="P84" s="40"/>
      <c r="Q84" s="40"/>
      <c r="R84" s="40"/>
      <c r="S84" s="39"/>
      <c r="T84" s="40"/>
      <c r="U84" s="40"/>
      <c r="V84" s="40"/>
      <c r="W84" s="40"/>
      <c r="X84" s="40"/>
      <c r="Y84" s="40"/>
      <c r="Z84" s="40"/>
      <c r="AA84" s="40"/>
      <c r="AB84" s="24">
        <f t="shared" ref="AB84:AB86" si="109">IF(K84*L84+M84-O84*P84*R84-Q84*R84+T84*U84*W84+V84*W84&lt;&gt;0,K84*L84+M84-O84*P84*R84-Q84*R84+T84*U84*W84+V84*W84,"")</f>
        <v>48.839999999999996</v>
      </c>
      <c r="AC84" s="24" t="str">
        <f t="shared" ref="AC84:AC86" si="110">IF(W84*SUM(Y84:AA84)&lt;&gt;0,W84*SUM(Y84:AA84),"")</f>
        <v/>
      </c>
      <c r="AD84" s="24" t="str">
        <f t="shared" ref="AD84:AD86" si="111">IF(W84*X84*SUM(Y84:AA84)&lt;&gt;0,W84*X84*SUM(Y84:AA84),"")</f>
        <v/>
      </c>
      <c r="AE84" s="24" t="str">
        <f t="shared" ref="AE84:AE86" si="112">IF(O84*P84*R84+Q84*R84&lt;&gt;0,O84*P84*R84+Q84*R84,"")</f>
        <v/>
      </c>
      <c r="AF84" s="24" t="str">
        <f t="shared" ref="AF84:AF86" si="113">IF(W84*X84*(Z84+AA84)&lt;&gt;0,W84*X84*(Z84+AA84),"")</f>
        <v/>
      </c>
      <c r="AG84" s="31" t="s">
        <v>218</v>
      </c>
      <c r="AH84" s="3"/>
    </row>
    <row r="85" spans="1:34" x14ac:dyDescent="0.25">
      <c r="A85" s="15" t="s">
        <v>120</v>
      </c>
      <c r="B85" s="16" t="s">
        <v>71</v>
      </c>
      <c r="C85" s="34"/>
      <c r="D85" s="26" t="s">
        <v>201</v>
      </c>
      <c r="E85" s="26"/>
      <c r="F85" s="26"/>
      <c r="G85" s="26"/>
      <c r="H85" s="21" t="s">
        <v>197</v>
      </c>
      <c r="I85" s="54" t="s">
        <v>193</v>
      </c>
      <c r="J85" s="54" t="s">
        <v>217</v>
      </c>
      <c r="K85" s="22">
        <f>0.25+4.15-0.4</f>
        <v>4</v>
      </c>
      <c r="L85" s="10">
        <f>2.935+0.465</f>
        <v>3.4</v>
      </c>
      <c r="M85" s="10"/>
      <c r="N85" s="39"/>
      <c r="O85" s="10"/>
      <c r="P85" s="40"/>
      <c r="Q85" s="40"/>
      <c r="R85" s="40"/>
      <c r="S85" s="39"/>
      <c r="T85" s="40"/>
      <c r="U85" s="40"/>
      <c r="V85" s="40"/>
      <c r="W85" s="40"/>
      <c r="X85" s="40"/>
      <c r="Y85" s="40"/>
      <c r="Z85" s="40"/>
      <c r="AA85" s="40"/>
      <c r="AB85" s="24">
        <f t="shared" si="109"/>
        <v>13.6</v>
      </c>
      <c r="AC85" s="24" t="str">
        <f t="shared" si="110"/>
        <v/>
      </c>
      <c r="AD85" s="24" t="str">
        <f t="shared" si="111"/>
        <v/>
      </c>
      <c r="AE85" s="24" t="str">
        <f t="shared" si="112"/>
        <v/>
      </c>
      <c r="AF85" s="24" t="str">
        <f t="shared" si="113"/>
        <v/>
      </c>
      <c r="AG85" s="31" t="s">
        <v>218</v>
      </c>
      <c r="AH85" s="3"/>
    </row>
    <row r="86" spans="1:34" x14ac:dyDescent="0.25">
      <c r="A86" s="15" t="s">
        <v>120</v>
      </c>
      <c r="B86" s="16" t="s">
        <v>71</v>
      </c>
      <c r="C86" s="34"/>
      <c r="D86" s="26" t="s">
        <v>201</v>
      </c>
      <c r="E86" s="26"/>
      <c r="F86" s="26"/>
      <c r="G86" s="26"/>
      <c r="H86" s="21" t="s">
        <v>197</v>
      </c>
      <c r="I86" s="54" t="s">
        <v>193</v>
      </c>
      <c r="J86" s="54" t="s">
        <v>196</v>
      </c>
      <c r="K86" s="22">
        <f>0.4+0.12</f>
        <v>0.52</v>
      </c>
      <c r="L86" s="10">
        <f>2.735+0.465</f>
        <v>3.1999999999999997</v>
      </c>
      <c r="M86" s="10"/>
      <c r="N86" s="39"/>
      <c r="O86" s="10"/>
      <c r="P86" s="40"/>
      <c r="Q86" s="40"/>
      <c r="R86" s="40"/>
      <c r="S86" s="39"/>
      <c r="T86" s="40"/>
      <c r="U86" s="40"/>
      <c r="V86" s="40"/>
      <c r="W86" s="40"/>
      <c r="X86" s="40"/>
      <c r="Y86" s="40"/>
      <c r="Z86" s="40"/>
      <c r="AA86" s="40"/>
      <c r="AB86" s="24">
        <f t="shared" si="109"/>
        <v>1.6639999999999999</v>
      </c>
      <c r="AC86" s="24" t="str">
        <f t="shared" si="110"/>
        <v/>
      </c>
      <c r="AD86" s="24" t="str">
        <f t="shared" si="111"/>
        <v/>
      </c>
      <c r="AE86" s="24" t="str">
        <f t="shared" si="112"/>
        <v/>
      </c>
      <c r="AF86" s="24" t="str">
        <f t="shared" si="113"/>
        <v/>
      </c>
      <c r="AG86" s="31" t="s">
        <v>218</v>
      </c>
      <c r="AH86" s="3"/>
    </row>
    <row r="87" spans="1:34" x14ac:dyDescent="0.25">
      <c r="A87" s="15" t="s">
        <v>120</v>
      </c>
      <c r="B87" s="16" t="s">
        <v>71</v>
      </c>
      <c r="C87" s="34"/>
      <c r="D87" s="26" t="s">
        <v>201</v>
      </c>
      <c r="E87" s="26"/>
      <c r="F87" s="26"/>
      <c r="G87" s="26"/>
      <c r="H87" s="21" t="s">
        <v>197</v>
      </c>
      <c r="I87" s="54" t="s">
        <v>193</v>
      </c>
      <c r="J87" s="54" t="s">
        <v>203</v>
      </c>
      <c r="K87" s="22">
        <f>10.25+0.1</f>
        <v>10.35</v>
      </c>
      <c r="L87" s="10">
        <f>3.235+0.465</f>
        <v>3.6999999999999997</v>
      </c>
      <c r="M87" s="10"/>
      <c r="N87" s="39"/>
      <c r="O87" s="10"/>
      <c r="P87" s="40"/>
      <c r="Q87" s="40"/>
      <c r="R87" s="40"/>
      <c r="S87" s="39"/>
      <c r="T87" s="40"/>
      <c r="U87" s="40"/>
      <c r="V87" s="40">
        <f>(10.25+0.1)*0.2</f>
        <v>2.0699999999999998</v>
      </c>
      <c r="W87" s="40">
        <v>1</v>
      </c>
      <c r="X87" s="40"/>
      <c r="Y87" s="40"/>
      <c r="Z87" s="40"/>
      <c r="AA87" s="40"/>
      <c r="AB87" s="24">
        <f t="shared" ref="AB87" si="114">IF(K87*L87+M87-O87*P87*R87-Q87*R87+T87*U87*W87+V87*W87&lt;&gt;0,K87*L87+M87-O87*P87*R87-Q87*R87+T87*U87*W87+V87*W87,"")</f>
        <v>40.364999999999995</v>
      </c>
      <c r="AC87" s="24" t="str">
        <f t="shared" ref="AC87" si="115">IF(W87*SUM(Y87:AA87)&lt;&gt;0,W87*SUM(Y87:AA87),"")</f>
        <v/>
      </c>
      <c r="AD87" s="24" t="str">
        <f t="shared" ref="AD87" si="116">IF(W87*X87*SUM(Y87:AA87)&lt;&gt;0,W87*X87*SUM(Y87:AA87),"")</f>
        <v/>
      </c>
      <c r="AE87" s="24" t="str">
        <f t="shared" ref="AE87" si="117">IF(O87*P87*R87+Q87*R87&lt;&gt;0,O87*P87*R87+Q87*R87,"")</f>
        <v/>
      </c>
      <c r="AF87" s="24" t="str">
        <f t="shared" ref="AF87" si="118">IF(W87*X87*(Z87+AA87)&lt;&gt;0,W87*X87*(Z87+AA87),"")</f>
        <v/>
      </c>
      <c r="AG87" s="31" t="s">
        <v>223</v>
      </c>
      <c r="AH87" s="3"/>
    </row>
    <row r="88" spans="1:34" x14ac:dyDescent="0.25">
      <c r="A88" s="15" t="s">
        <v>120</v>
      </c>
      <c r="B88" s="16" t="s">
        <v>71</v>
      </c>
      <c r="C88" s="34"/>
      <c r="D88" s="26" t="s">
        <v>221</v>
      </c>
      <c r="E88" s="26"/>
      <c r="F88" s="26"/>
      <c r="G88" s="26"/>
      <c r="H88" s="21" t="s">
        <v>197</v>
      </c>
      <c r="I88" s="54" t="s">
        <v>196</v>
      </c>
      <c r="J88" s="54" t="s">
        <v>216</v>
      </c>
      <c r="K88" s="22">
        <v>3.9</v>
      </c>
      <c r="L88" s="10">
        <f>3.035-2.735</f>
        <v>0.30000000000000027</v>
      </c>
      <c r="M88" s="10"/>
      <c r="N88" s="39"/>
      <c r="O88" s="10"/>
      <c r="P88" s="40"/>
      <c r="Q88" s="40"/>
      <c r="R88" s="40"/>
      <c r="S88" s="39"/>
      <c r="T88" s="40"/>
      <c r="U88" s="40"/>
      <c r="V88" s="40"/>
      <c r="W88" s="40"/>
      <c r="X88" s="40"/>
      <c r="Y88" s="40"/>
      <c r="Z88" s="40"/>
      <c r="AA88" s="40"/>
      <c r="AB88" s="24">
        <f t="shared" ref="AB88:AB90" si="119">IF(K88*L88+M88-O88*P88*R88-Q88*R88+T88*U88*W88+V88*W88&lt;&gt;0,K88*L88+M88-O88*P88*R88-Q88*R88+T88*U88*W88+V88*W88,"")</f>
        <v>1.170000000000001</v>
      </c>
      <c r="AC88" s="24" t="str">
        <f t="shared" ref="AC88:AC90" si="120">IF(W88*SUM(Y88:AA88)&lt;&gt;0,W88*SUM(Y88:AA88),"")</f>
        <v/>
      </c>
      <c r="AD88" s="24" t="str">
        <f t="shared" ref="AD88:AD90" si="121">IF(W88*X88*SUM(Y88:AA88)&lt;&gt;0,W88*X88*SUM(Y88:AA88),"")</f>
        <v/>
      </c>
      <c r="AE88" s="24" t="str">
        <f t="shared" ref="AE88:AE90" si="122">IF(O88*P88*R88+Q88*R88&lt;&gt;0,O88*P88*R88+Q88*R88,"")</f>
        <v/>
      </c>
      <c r="AF88" s="24" t="str">
        <f t="shared" ref="AF88:AF90" si="123">IF(W88*X88*(Z88+AA88)&lt;&gt;0,W88*X88*(Z88+AA88),"")</f>
        <v/>
      </c>
      <c r="AG88" s="31" t="s">
        <v>219</v>
      </c>
      <c r="AH88" s="3"/>
    </row>
    <row r="89" spans="1:34" x14ac:dyDescent="0.25">
      <c r="A89" s="15" t="s">
        <v>120</v>
      </c>
      <c r="B89" s="16" t="s">
        <v>71</v>
      </c>
      <c r="C89" s="34"/>
      <c r="D89" s="26" t="s">
        <v>221</v>
      </c>
      <c r="E89" s="26"/>
      <c r="F89" s="26"/>
      <c r="G89" s="26"/>
      <c r="H89" s="21" t="s">
        <v>197</v>
      </c>
      <c r="I89" s="54" t="s">
        <v>196</v>
      </c>
      <c r="J89" s="54" t="s">
        <v>203</v>
      </c>
      <c r="K89" s="22">
        <f>9.56+38.9+3.875</f>
        <v>52.335000000000001</v>
      </c>
      <c r="L89" s="10">
        <f>3.235-2.735</f>
        <v>0.5</v>
      </c>
      <c r="M89" s="10"/>
      <c r="N89" s="39"/>
      <c r="O89" s="10"/>
      <c r="P89" s="40"/>
      <c r="Q89" s="40"/>
      <c r="R89" s="40"/>
      <c r="S89" s="39"/>
      <c r="T89" s="40"/>
      <c r="U89" s="40"/>
      <c r="V89" s="40"/>
      <c r="W89" s="40"/>
      <c r="X89" s="40"/>
      <c r="Y89" s="40"/>
      <c r="Z89" s="40"/>
      <c r="AA89" s="40"/>
      <c r="AB89" s="24">
        <f t="shared" si="119"/>
        <v>26.1675</v>
      </c>
      <c r="AC89" s="24" t="str">
        <f t="shared" si="120"/>
        <v/>
      </c>
      <c r="AD89" s="24" t="str">
        <f t="shared" si="121"/>
        <v/>
      </c>
      <c r="AE89" s="24" t="str">
        <f t="shared" si="122"/>
        <v/>
      </c>
      <c r="AF89" s="24" t="str">
        <f t="shared" si="123"/>
        <v/>
      </c>
      <c r="AG89" s="31" t="s">
        <v>219</v>
      </c>
      <c r="AH89" s="3"/>
    </row>
    <row r="90" spans="1:34" x14ac:dyDescent="0.25">
      <c r="A90" s="15" t="s">
        <v>120</v>
      </c>
      <c r="B90" s="16" t="s">
        <v>71</v>
      </c>
      <c r="C90" s="34"/>
      <c r="D90" s="26" t="s">
        <v>221</v>
      </c>
      <c r="E90" s="26"/>
      <c r="F90" s="26"/>
      <c r="G90" s="26"/>
      <c r="H90" s="21" t="s">
        <v>197</v>
      </c>
      <c r="I90" s="54" t="s">
        <v>198</v>
      </c>
      <c r="J90" s="54" t="s">
        <v>203</v>
      </c>
      <c r="K90" s="22">
        <v>8.9749999999999996</v>
      </c>
      <c r="L90" s="10">
        <f>3.235-2.235</f>
        <v>1</v>
      </c>
      <c r="M90" s="10"/>
      <c r="N90" s="39"/>
      <c r="O90" s="10"/>
      <c r="P90" s="40"/>
      <c r="Q90" s="40"/>
      <c r="R90" s="40"/>
      <c r="S90" s="39"/>
      <c r="T90" s="40"/>
      <c r="U90" s="40"/>
      <c r="V90" s="40"/>
      <c r="W90" s="40"/>
      <c r="X90" s="40"/>
      <c r="Y90" s="40"/>
      <c r="Z90" s="40"/>
      <c r="AA90" s="40"/>
      <c r="AB90" s="24">
        <f t="shared" si="119"/>
        <v>8.9749999999999996</v>
      </c>
      <c r="AC90" s="24" t="str">
        <f t="shared" si="120"/>
        <v/>
      </c>
      <c r="AD90" s="24" t="str">
        <f t="shared" si="121"/>
        <v/>
      </c>
      <c r="AE90" s="24" t="str">
        <f t="shared" si="122"/>
        <v/>
      </c>
      <c r="AF90" s="24" t="str">
        <f t="shared" si="123"/>
        <v/>
      </c>
      <c r="AG90" s="31" t="s">
        <v>219</v>
      </c>
      <c r="AH90" s="3"/>
    </row>
    <row r="91" spans="1:34" x14ac:dyDescent="0.25">
      <c r="A91" s="15" t="s">
        <v>120</v>
      </c>
      <c r="B91" s="16" t="s">
        <v>71</v>
      </c>
      <c r="C91" s="34"/>
      <c r="D91" s="26" t="s">
        <v>228</v>
      </c>
      <c r="E91" s="26"/>
      <c r="F91" s="26"/>
      <c r="G91" s="26"/>
      <c r="H91" s="21" t="s">
        <v>231</v>
      </c>
      <c r="I91" s="54" t="s">
        <v>196</v>
      </c>
      <c r="J91" s="54" t="s">
        <v>217</v>
      </c>
      <c r="K91" s="22">
        <v>3.9</v>
      </c>
      <c r="L91" s="10">
        <f>2.935-2.735</f>
        <v>0.20000000000000018</v>
      </c>
      <c r="M91" s="10"/>
      <c r="N91" s="39"/>
      <c r="O91" s="10"/>
      <c r="P91" s="40"/>
      <c r="Q91" s="40"/>
      <c r="R91" s="40"/>
      <c r="S91" s="39"/>
      <c r="T91" s="40"/>
      <c r="U91" s="40"/>
      <c r="V91" s="40"/>
      <c r="W91" s="40"/>
      <c r="X91" s="40"/>
      <c r="Y91" s="40"/>
      <c r="Z91" s="40"/>
      <c r="AA91" s="40"/>
      <c r="AB91" s="24">
        <f t="shared" ref="AB91:AB94" si="124">IF(K91*L91+M91-O91*P91*R91-Q91*R91+T91*U91*W91+V91*W91&lt;&gt;0,K91*L91+M91-O91*P91*R91-Q91*R91+T91*U91*W91+V91*W91,"")</f>
        <v>0.78000000000000069</v>
      </c>
      <c r="AC91" s="24" t="str">
        <f t="shared" ref="AC91:AC94" si="125">IF(W91*SUM(Y91:AA91)&lt;&gt;0,W91*SUM(Y91:AA91),"")</f>
        <v/>
      </c>
      <c r="AD91" s="24" t="str">
        <f t="shared" ref="AD91:AD94" si="126">IF(W91*X91*SUM(Y91:AA91)&lt;&gt;0,W91*X91*SUM(Y91:AA91),"")</f>
        <v/>
      </c>
      <c r="AE91" s="24" t="str">
        <f t="shared" ref="AE91:AE94" si="127">IF(O91*P91*R91+Q91*R91&lt;&gt;0,O91*P91*R91+Q91*R91,"")</f>
        <v/>
      </c>
      <c r="AF91" s="24" t="str">
        <f t="shared" ref="AF91:AF94" si="128">IF(W91*X91*(Z91+AA91)&lt;&gt;0,W91*X91*(Z91+AA91),"")</f>
        <v/>
      </c>
      <c r="AG91" s="31" t="s">
        <v>232</v>
      </c>
      <c r="AH91" s="3"/>
    </row>
    <row r="92" spans="1:34" x14ac:dyDescent="0.25">
      <c r="A92" s="15" t="s">
        <v>120</v>
      </c>
      <c r="B92" s="16" t="s">
        <v>71</v>
      </c>
      <c r="C92" s="34"/>
      <c r="D92" s="26" t="s">
        <v>228</v>
      </c>
      <c r="E92" s="26"/>
      <c r="F92" s="26"/>
      <c r="G92" s="26"/>
      <c r="H92" s="21" t="s">
        <v>231</v>
      </c>
      <c r="I92" s="54" t="s">
        <v>196</v>
      </c>
      <c r="J92" s="54" t="s">
        <v>233</v>
      </c>
      <c r="K92" s="22">
        <f>9.56+38.9+3.875</f>
        <v>52.335000000000001</v>
      </c>
      <c r="L92" s="10">
        <f>3.135-2.735</f>
        <v>0.39999999999999991</v>
      </c>
      <c r="M92" s="10"/>
      <c r="N92" s="39"/>
      <c r="O92" s="10"/>
      <c r="P92" s="40"/>
      <c r="Q92" s="40"/>
      <c r="R92" s="40"/>
      <c r="S92" s="39"/>
      <c r="T92" s="40"/>
      <c r="U92" s="40"/>
      <c r="V92" s="40"/>
      <c r="W92" s="40"/>
      <c r="X92" s="40"/>
      <c r="Y92" s="40"/>
      <c r="Z92" s="40"/>
      <c r="AA92" s="40"/>
      <c r="AB92" s="24">
        <f t="shared" si="124"/>
        <v>20.933999999999994</v>
      </c>
      <c r="AC92" s="24" t="str">
        <f t="shared" si="125"/>
        <v/>
      </c>
      <c r="AD92" s="24" t="str">
        <f t="shared" si="126"/>
        <v/>
      </c>
      <c r="AE92" s="24" t="str">
        <f t="shared" si="127"/>
        <v/>
      </c>
      <c r="AF92" s="24" t="str">
        <f t="shared" si="128"/>
        <v/>
      </c>
      <c r="AG92" s="31" t="s">
        <v>232</v>
      </c>
      <c r="AH92" s="3"/>
    </row>
    <row r="93" spans="1:34" x14ac:dyDescent="0.25">
      <c r="A93" s="15" t="s">
        <v>120</v>
      </c>
      <c r="B93" s="16" t="s">
        <v>71</v>
      </c>
      <c r="C93" s="34"/>
      <c r="D93" s="26" t="s">
        <v>228</v>
      </c>
      <c r="E93" s="26"/>
      <c r="F93" s="26"/>
      <c r="G93" s="26"/>
      <c r="H93" s="21" t="s">
        <v>231</v>
      </c>
      <c r="I93" s="54" t="s">
        <v>198</v>
      </c>
      <c r="J93" s="54" t="s">
        <v>233</v>
      </c>
      <c r="K93" s="22">
        <v>8.9749999999999996</v>
      </c>
      <c r="L93" s="10">
        <f>3.135-2.235</f>
        <v>0.89999999999999991</v>
      </c>
      <c r="M93" s="10"/>
      <c r="N93" s="39"/>
      <c r="O93" s="10"/>
      <c r="P93" s="40"/>
      <c r="Q93" s="40"/>
      <c r="R93" s="40"/>
      <c r="S93" s="39"/>
      <c r="T93" s="40"/>
      <c r="U93" s="40"/>
      <c r="V93" s="40"/>
      <c r="W93" s="40"/>
      <c r="X93" s="40"/>
      <c r="Y93" s="40"/>
      <c r="Z93" s="40"/>
      <c r="AA93" s="40"/>
      <c r="AB93" s="24">
        <f t="shared" si="124"/>
        <v>8.0774999999999988</v>
      </c>
      <c r="AC93" s="24" t="str">
        <f t="shared" si="125"/>
        <v/>
      </c>
      <c r="AD93" s="24" t="str">
        <f t="shared" si="126"/>
        <v/>
      </c>
      <c r="AE93" s="24" t="str">
        <f t="shared" si="127"/>
        <v/>
      </c>
      <c r="AF93" s="24" t="str">
        <f t="shared" si="128"/>
        <v/>
      </c>
      <c r="AG93" s="31" t="s">
        <v>232</v>
      </c>
      <c r="AH93" s="3"/>
    </row>
    <row r="94" spans="1:34" x14ac:dyDescent="0.25">
      <c r="A94" s="15" t="s">
        <v>120</v>
      </c>
      <c r="B94" s="16" t="s">
        <v>87</v>
      </c>
      <c r="C94" s="34"/>
      <c r="D94" s="26" t="s">
        <v>79</v>
      </c>
      <c r="E94" s="26"/>
      <c r="F94" s="26"/>
      <c r="G94" s="26"/>
      <c r="H94" s="21" t="s">
        <v>99</v>
      </c>
      <c r="I94" s="54" t="s">
        <v>93</v>
      </c>
      <c r="J94" s="54" t="s">
        <v>95</v>
      </c>
      <c r="K94" s="22">
        <f>40.1+11.8</f>
        <v>51.900000000000006</v>
      </c>
      <c r="L94" s="10">
        <v>0.15</v>
      </c>
      <c r="M94" s="10"/>
      <c r="N94" s="39"/>
      <c r="O94" s="10"/>
      <c r="P94" s="40"/>
      <c r="Q94" s="40"/>
      <c r="R94" s="40"/>
      <c r="S94" s="39"/>
      <c r="T94" s="40"/>
      <c r="U94" s="40"/>
      <c r="V94" s="40"/>
      <c r="W94" s="40"/>
      <c r="X94" s="40"/>
      <c r="Y94" s="40"/>
      <c r="Z94" s="40"/>
      <c r="AA94" s="40"/>
      <c r="AB94" s="24">
        <f t="shared" si="124"/>
        <v>7.7850000000000001</v>
      </c>
      <c r="AC94" s="24" t="str">
        <f t="shared" si="125"/>
        <v/>
      </c>
      <c r="AD94" s="24" t="str">
        <f t="shared" si="126"/>
        <v/>
      </c>
      <c r="AE94" s="24" t="str">
        <f t="shared" si="127"/>
        <v/>
      </c>
      <c r="AF94" s="24" t="str">
        <f t="shared" si="128"/>
        <v/>
      </c>
      <c r="AG94" s="31"/>
      <c r="AH94" s="3"/>
    </row>
    <row r="95" spans="1:34" x14ac:dyDescent="0.25">
      <c r="A95" s="15" t="s">
        <v>120</v>
      </c>
      <c r="B95" s="16" t="s">
        <v>87</v>
      </c>
      <c r="C95" s="34"/>
      <c r="D95" s="26" t="s">
        <v>88</v>
      </c>
      <c r="E95" s="26"/>
      <c r="F95" s="26"/>
      <c r="G95" s="26"/>
      <c r="H95" s="21" t="s">
        <v>100</v>
      </c>
      <c r="I95" s="54" t="s">
        <v>95</v>
      </c>
      <c r="J95" s="54" t="s">
        <v>121</v>
      </c>
      <c r="K95" s="22">
        <f>40.1+11.8+6.95</f>
        <v>58.850000000000009</v>
      </c>
      <c r="L95" s="10">
        <f>3.85-3.7</f>
        <v>0.14999999999999991</v>
      </c>
      <c r="M95" s="10"/>
      <c r="N95" s="39"/>
      <c r="O95" s="10">
        <v>2.04</v>
      </c>
      <c r="P95" s="40">
        <f>0.15-0.05</f>
        <v>9.9999999999999992E-2</v>
      </c>
      <c r="Q95" s="40"/>
      <c r="R95" s="40">
        <v>7</v>
      </c>
      <c r="S95" s="39"/>
      <c r="T95" s="40"/>
      <c r="U95" s="40"/>
      <c r="V95" s="40"/>
      <c r="W95" s="40"/>
      <c r="X95" s="40"/>
      <c r="Y95" s="40"/>
      <c r="Z95" s="40"/>
      <c r="AA95" s="40"/>
      <c r="AB95" s="24">
        <f t="shared" si="64"/>
        <v>7.3994999999999953</v>
      </c>
      <c r="AC95" s="24" t="str">
        <f t="shared" si="65"/>
        <v/>
      </c>
      <c r="AD95" s="24" t="str">
        <f t="shared" si="66"/>
        <v/>
      </c>
      <c r="AE95" s="24">
        <f t="shared" si="67"/>
        <v>1.4279999999999999</v>
      </c>
      <c r="AF95" s="24" t="str">
        <f t="shared" si="68"/>
        <v/>
      </c>
      <c r="AG95" s="31"/>
      <c r="AH95" s="3"/>
    </row>
    <row r="96" spans="1:34" x14ac:dyDescent="0.25">
      <c r="A96" s="15" t="s">
        <v>120</v>
      </c>
      <c r="B96" s="16" t="s">
        <v>87</v>
      </c>
      <c r="C96" s="34"/>
      <c r="D96" s="26" t="s">
        <v>88</v>
      </c>
      <c r="E96" s="26"/>
      <c r="F96" s="26"/>
      <c r="G96" s="26"/>
      <c r="H96" s="21"/>
      <c r="I96" s="54"/>
      <c r="J96" s="54"/>
      <c r="K96" s="22"/>
      <c r="L96" s="10"/>
      <c r="M96" s="10"/>
      <c r="N96" s="39"/>
      <c r="O96" s="10">
        <v>2.5</v>
      </c>
      <c r="P96" s="40">
        <f>0.15-0.05</f>
        <v>9.9999999999999992E-2</v>
      </c>
      <c r="Q96" s="40"/>
      <c r="R96" s="40">
        <v>2</v>
      </c>
      <c r="S96" s="39"/>
      <c r="T96" s="40"/>
      <c r="U96" s="40"/>
      <c r="V96" s="40"/>
      <c r="W96" s="40"/>
      <c r="X96" s="40"/>
      <c r="Y96" s="40"/>
      <c r="Z96" s="40"/>
      <c r="AA96" s="40"/>
      <c r="AB96" s="24">
        <f t="shared" si="64"/>
        <v>-0.49999999999999994</v>
      </c>
      <c r="AC96" s="24" t="str">
        <f t="shared" si="65"/>
        <v/>
      </c>
      <c r="AD96" s="24" t="str">
        <f t="shared" si="66"/>
        <v/>
      </c>
      <c r="AE96" s="24">
        <f t="shared" si="67"/>
        <v>0.49999999999999994</v>
      </c>
      <c r="AF96" s="24" t="str">
        <f t="shared" si="68"/>
        <v/>
      </c>
      <c r="AG96" s="31"/>
      <c r="AH96" s="3"/>
    </row>
    <row r="97" spans="1:34" x14ac:dyDescent="0.25">
      <c r="A97" s="15" t="s">
        <v>120</v>
      </c>
      <c r="B97" s="16" t="s">
        <v>87</v>
      </c>
      <c r="C97" s="34"/>
      <c r="D97" s="26" t="s">
        <v>88</v>
      </c>
      <c r="E97" s="26"/>
      <c r="F97" s="26"/>
      <c r="G97" s="26"/>
      <c r="H97" s="21"/>
      <c r="I97" s="54"/>
      <c r="J97" s="54"/>
      <c r="K97" s="22"/>
      <c r="L97" s="10"/>
      <c r="M97" s="10"/>
      <c r="N97" s="39"/>
      <c r="O97" s="10">
        <v>0.54</v>
      </c>
      <c r="P97" s="40">
        <v>0.1</v>
      </c>
      <c r="Q97" s="40"/>
      <c r="R97" s="40">
        <v>2</v>
      </c>
      <c r="S97" s="39"/>
      <c r="T97" s="40"/>
      <c r="U97" s="40"/>
      <c r="V97" s="40"/>
      <c r="W97" s="40"/>
      <c r="X97" s="40"/>
      <c r="Y97" s="40"/>
      <c r="Z97" s="40"/>
      <c r="AA97" s="40"/>
      <c r="AB97" s="24">
        <f t="shared" si="64"/>
        <v>-0.10800000000000001</v>
      </c>
      <c r="AC97" s="24" t="str">
        <f t="shared" si="65"/>
        <v/>
      </c>
      <c r="AD97" s="24" t="str">
        <f t="shared" si="66"/>
        <v/>
      </c>
      <c r="AE97" s="24">
        <f t="shared" si="67"/>
        <v>0.10800000000000001</v>
      </c>
      <c r="AF97" s="24" t="str">
        <f t="shared" si="68"/>
        <v/>
      </c>
      <c r="AG97" s="31"/>
      <c r="AH97" s="3"/>
    </row>
    <row r="98" spans="1:34" x14ac:dyDescent="0.25">
      <c r="A98" s="15" t="s">
        <v>120</v>
      </c>
      <c r="B98" s="16" t="s">
        <v>87</v>
      </c>
      <c r="C98" s="34"/>
      <c r="D98" s="26" t="s">
        <v>88</v>
      </c>
      <c r="E98" s="26"/>
      <c r="F98" s="26"/>
      <c r="G98" s="26"/>
      <c r="H98" s="21"/>
      <c r="I98" s="54"/>
      <c r="J98" s="54"/>
      <c r="K98" s="22"/>
      <c r="L98" s="10"/>
      <c r="M98" s="10"/>
      <c r="N98" s="39"/>
      <c r="O98" s="10">
        <v>0.6</v>
      </c>
      <c r="P98" s="40">
        <v>0.1</v>
      </c>
      <c r="Q98" s="40"/>
      <c r="R98" s="40">
        <v>1</v>
      </c>
      <c r="S98" s="39"/>
      <c r="T98" s="40"/>
      <c r="U98" s="40"/>
      <c r="V98" s="40"/>
      <c r="W98" s="40"/>
      <c r="X98" s="40"/>
      <c r="Y98" s="40"/>
      <c r="Z98" s="40"/>
      <c r="AA98" s="40"/>
      <c r="AB98" s="24">
        <f t="shared" ref="AB98:AB99" si="129">IF(K98*L98+M98-O98*P98*R98-Q98*R98+T98*U98*W98+V98*W98&lt;&gt;0,K98*L98+M98-O98*P98*R98-Q98*R98+T98*U98*W98+V98*W98,"")</f>
        <v>-0.06</v>
      </c>
      <c r="AC98" s="24"/>
      <c r="AD98" s="24"/>
      <c r="AE98" s="24">
        <f t="shared" ref="AE98:AE99" si="130">IF(O98*P98*R98+Q98*R98&lt;&gt;0,O98*P98*R98+Q98*R98,"")</f>
        <v>0.06</v>
      </c>
      <c r="AF98" s="24"/>
      <c r="AG98" s="31"/>
      <c r="AH98" s="3"/>
    </row>
    <row r="99" spans="1:34" x14ac:dyDescent="0.25">
      <c r="A99" s="15" t="s">
        <v>120</v>
      </c>
      <c r="B99" s="16" t="s">
        <v>87</v>
      </c>
      <c r="C99" s="34"/>
      <c r="D99" s="26" t="s">
        <v>88</v>
      </c>
      <c r="E99" s="26"/>
      <c r="F99" s="26"/>
      <c r="G99" s="26"/>
      <c r="H99" s="21" t="s">
        <v>103</v>
      </c>
      <c r="I99" s="54" t="s">
        <v>122</v>
      </c>
      <c r="J99" s="54" t="s">
        <v>121</v>
      </c>
      <c r="K99" s="22">
        <f>4.6*2</f>
        <v>9.1999999999999993</v>
      </c>
      <c r="L99" s="10">
        <f>3.85-3.57</f>
        <v>0.28000000000000025</v>
      </c>
      <c r="M99" s="10"/>
      <c r="N99" s="39"/>
      <c r="O99" s="10">
        <v>2.5</v>
      </c>
      <c r="P99" s="40">
        <v>0.28000000000000003</v>
      </c>
      <c r="Q99" s="40"/>
      <c r="R99" s="40">
        <v>1</v>
      </c>
      <c r="S99" s="39"/>
      <c r="T99" s="40">
        <v>0.65</v>
      </c>
      <c r="U99" s="40">
        <f>3.57-3.35</f>
        <v>0.21999999999999975</v>
      </c>
      <c r="V99" s="40"/>
      <c r="W99" s="40">
        <v>1</v>
      </c>
      <c r="X99" s="40"/>
      <c r="Y99" s="40"/>
      <c r="Z99" s="40"/>
      <c r="AA99" s="40"/>
      <c r="AB99" s="24">
        <f t="shared" si="129"/>
        <v>2.0190000000000019</v>
      </c>
      <c r="AC99" s="24" t="str">
        <f t="shared" ref="AC99" si="131">IF(W99*SUM(Y99:AA99)&lt;&gt;0,W99*SUM(Y99:AA99),"")</f>
        <v/>
      </c>
      <c r="AD99" s="24" t="str">
        <f t="shared" ref="AD99" si="132">IF(W99*X99*SUM(Y99:AA99)&lt;&gt;0,W99*X99*SUM(Y99:AA99),"")</f>
        <v/>
      </c>
      <c r="AE99" s="24">
        <f t="shared" si="130"/>
        <v>0.70000000000000007</v>
      </c>
      <c r="AF99" s="24" t="str">
        <f t="shared" ref="AF99" si="133">IF(W99*X99*(Z99+AA99)&lt;&gt;0,W99*X99*(Z99+AA99),"")</f>
        <v/>
      </c>
      <c r="AG99" s="31"/>
      <c r="AH99" s="3"/>
    </row>
    <row r="100" spans="1:34" x14ac:dyDescent="0.25">
      <c r="A100" s="15" t="s">
        <v>120</v>
      </c>
      <c r="B100" s="16" t="s">
        <v>87</v>
      </c>
      <c r="C100" s="34"/>
      <c r="D100" s="26" t="s">
        <v>72</v>
      </c>
      <c r="E100" s="26"/>
      <c r="F100" s="26"/>
      <c r="G100" s="26"/>
      <c r="H100" s="21" t="s">
        <v>102</v>
      </c>
      <c r="I100" s="54" t="s">
        <v>121</v>
      </c>
      <c r="J100" s="54" t="s">
        <v>101</v>
      </c>
      <c r="K100" s="22">
        <f>40.1+11.8+6.95</f>
        <v>58.850000000000009</v>
      </c>
      <c r="L100" s="10">
        <f>6.2-3.85</f>
        <v>2.35</v>
      </c>
      <c r="M100" s="10"/>
      <c r="N100" s="39"/>
      <c r="O100" s="10">
        <v>2.04</v>
      </c>
      <c r="P100" s="40">
        <v>2.35</v>
      </c>
      <c r="Q100" s="40"/>
      <c r="R100" s="40">
        <v>7</v>
      </c>
      <c r="S100" s="39"/>
      <c r="T100" s="40"/>
      <c r="U100" s="40"/>
      <c r="V100" s="40"/>
      <c r="W100" s="40"/>
      <c r="X100" s="40"/>
      <c r="Y100" s="40"/>
      <c r="Z100" s="40"/>
      <c r="AA100" s="40"/>
      <c r="AB100" s="24">
        <f t="shared" ref="AB100:AB197" si="134">IF(K100*L100+M100-O100*P100*R100-Q100*R100+T100*U100*W100+V100*W100&lt;&gt;0,K100*L100+M100-O100*P100*R100-Q100*R100+T100*U100*W100+V100*W100,"")</f>
        <v>104.73950000000001</v>
      </c>
      <c r="AC100" s="24" t="str">
        <f t="shared" ref="AC100:AC197" si="135">IF(W100*SUM(Y100:AA100)&lt;&gt;0,W100*SUM(Y100:AA100),"")</f>
        <v/>
      </c>
      <c r="AD100" s="24" t="str">
        <f t="shared" ref="AD100:AD197" si="136">IF(W100*X100*SUM(Y100:AA100)&lt;&gt;0,W100*X100*SUM(Y100:AA100),"")</f>
        <v/>
      </c>
      <c r="AE100" s="24">
        <f t="shared" ref="AE100:AE197" si="137">IF(O100*P100*R100+Q100*R100&lt;&gt;0,O100*P100*R100+Q100*R100,"")</f>
        <v>33.558000000000007</v>
      </c>
      <c r="AF100" s="24" t="str">
        <f t="shared" ref="AF100:AF197" si="138">IF(W100*X100*(Z100+AA100)&lt;&gt;0,W100*X100*(Z100+AA100),"")</f>
        <v/>
      </c>
      <c r="AG100" s="31"/>
      <c r="AH100" s="3"/>
    </row>
    <row r="101" spans="1:34" x14ac:dyDescent="0.25">
      <c r="A101" s="15" t="s">
        <v>120</v>
      </c>
      <c r="B101" s="16" t="s">
        <v>87</v>
      </c>
      <c r="C101" s="34"/>
      <c r="D101" s="26" t="s">
        <v>72</v>
      </c>
      <c r="E101" s="26"/>
      <c r="F101" s="26"/>
      <c r="G101" s="26"/>
      <c r="H101" s="21"/>
      <c r="I101" s="54"/>
      <c r="J101" s="54"/>
      <c r="K101" s="22"/>
      <c r="L101" s="10"/>
      <c r="M101" s="10"/>
      <c r="N101" s="39"/>
      <c r="O101" s="10">
        <v>2.5</v>
      </c>
      <c r="P101" s="40">
        <v>2.35</v>
      </c>
      <c r="Q101" s="40"/>
      <c r="R101" s="40">
        <v>2</v>
      </c>
      <c r="S101" s="39"/>
      <c r="T101" s="40"/>
      <c r="U101" s="40"/>
      <c r="V101" s="40"/>
      <c r="W101" s="40"/>
      <c r="X101" s="40"/>
      <c r="Y101" s="40"/>
      <c r="Z101" s="40"/>
      <c r="AA101" s="40"/>
      <c r="AB101" s="24">
        <f t="shared" si="134"/>
        <v>-11.75</v>
      </c>
      <c r="AC101" s="24" t="str">
        <f t="shared" si="135"/>
        <v/>
      </c>
      <c r="AD101" s="24" t="str">
        <f t="shared" si="136"/>
        <v/>
      </c>
      <c r="AE101" s="24">
        <f t="shared" si="137"/>
        <v>11.75</v>
      </c>
      <c r="AF101" s="24" t="str">
        <f t="shared" si="138"/>
        <v/>
      </c>
      <c r="AG101" s="31"/>
      <c r="AH101" s="3"/>
    </row>
    <row r="102" spans="1:34" x14ac:dyDescent="0.25">
      <c r="A102" s="15" t="s">
        <v>120</v>
      </c>
      <c r="B102" s="16" t="s">
        <v>87</v>
      </c>
      <c r="C102" s="34"/>
      <c r="D102" s="26" t="s">
        <v>72</v>
      </c>
      <c r="E102" s="26"/>
      <c r="F102" s="26"/>
      <c r="G102" s="26"/>
      <c r="H102" s="21"/>
      <c r="I102" s="54"/>
      <c r="J102" s="54"/>
      <c r="K102" s="22"/>
      <c r="L102" s="10"/>
      <c r="M102" s="10"/>
      <c r="N102" s="39"/>
      <c r="O102" s="10">
        <v>0.54</v>
      </c>
      <c r="P102" s="40">
        <v>2.35</v>
      </c>
      <c r="Q102" s="40"/>
      <c r="R102" s="40">
        <v>2</v>
      </c>
      <c r="S102" s="39"/>
      <c r="T102" s="40"/>
      <c r="U102" s="40"/>
      <c r="V102" s="40"/>
      <c r="W102" s="40"/>
      <c r="X102" s="40"/>
      <c r="Y102" s="40"/>
      <c r="Z102" s="40"/>
      <c r="AA102" s="40"/>
      <c r="AB102" s="24">
        <f t="shared" si="134"/>
        <v>-2.5380000000000003</v>
      </c>
      <c r="AC102" s="24" t="str">
        <f t="shared" si="135"/>
        <v/>
      </c>
      <c r="AD102" s="24" t="str">
        <f t="shared" si="136"/>
        <v/>
      </c>
      <c r="AE102" s="24">
        <f t="shared" si="137"/>
        <v>2.5380000000000003</v>
      </c>
      <c r="AF102" s="24" t="str">
        <f t="shared" si="138"/>
        <v/>
      </c>
      <c r="AG102" s="31"/>
      <c r="AH102" s="3"/>
    </row>
    <row r="103" spans="1:34" x14ac:dyDescent="0.25">
      <c r="A103" s="15" t="s">
        <v>120</v>
      </c>
      <c r="B103" s="16" t="s">
        <v>87</v>
      </c>
      <c r="C103" s="34"/>
      <c r="D103" s="26" t="s">
        <v>72</v>
      </c>
      <c r="E103" s="26"/>
      <c r="F103" s="26"/>
      <c r="G103" s="26"/>
      <c r="H103" s="21"/>
      <c r="I103" s="54"/>
      <c r="J103" s="54"/>
      <c r="K103" s="22"/>
      <c r="L103" s="10"/>
      <c r="M103" s="10"/>
      <c r="N103" s="39"/>
      <c r="O103" s="10">
        <v>0.6</v>
      </c>
      <c r="P103" s="40">
        <v>2.35</v>
      </c>
      <c r="Q103" s="40"/>
      <c r="R103" s="40">
        <v>1</v>
      </c>
      <c r="S103" s="39"/>
      <c r="T103" s="40"/>
      <c r="U103" s="40"/>
      <c r="V103" s="40"/>
      <c r="W103" s="40"/>
      <c r="X103" s="40"/>
      <c r="Y103" s="40"/>
      <c r="Z103" s="40"/>
      <c r="AA103" s="40"/>
      <c r="AB103" s="24">
        <f t="shared" si="134"/>
        <v>-1.41</v>
      </c>
      <c r="AC103" s="24"/>
      <c r="AD103" s="24"/>
      <c r="AE103" s="24">
        <f t="shared" si="137"/>
        <v>1.41</v>
      </c>
      <c r="AF103" s="24"/>
      <c r="AG103" s="31"/>
      <c r="AH103" s="3"/>
    </row>
    <row r="104" spans="1:34" x14ac:dyDescent="0.25">
      <c r="A104" s="15" t="s">
        <v>120</v>
      </c>
      <c r="B104" s="16" t="s">
        <v>87</v>
      </c>
      <c r="C104" s="34"/>
      <c r="D104" s="26" t="s">
        <v>72</v>
      </c>
      <c r="E104" s="26"/>
      <c r="F104" s="26"/>
      <c r="G104" s="26"/>
      <c r="H104" s="21" t="s">
        <v>105</v>
      </c>
      <c r="I104" s="54" t="s">
        <v>121</v>
      </c>
      <c r="J104" s="54" t="s">
        <v>101</v>
      </c>
      <c r="K104" s="22">
        <f>4.6*2</f>
        <v>9.1999999999999993</v>
      </c>
      <c r="L104" s="10">
        <f>6.2-3.85</f>
        <v>2.35</v>
      </c>
      <c r="M104" s="10"/>
      <c r="N104" s="39"/>
      <c r="O104" s="10">
        <v>2</v>
      </c>
      <c r="P104" s="40">
        <v>2.35</v>
      </c>
      <c r="Q104" s="40"/>
      <c r="R104" s="40">
        <v>1</v>
      </c>
      <c r="S104" s="39"/>
      <c r="T104" s="40"/>
      <c r="U104" s="40"/>
      <c r="V104" s="40"/>
      <c r="W104" s="40"/>
      <c r="X104" s="40"/>
      <c r="Y104" s="40"/>
      <c r="Z104" s="40"/>
      <c r="AA104" s="40"/>
      <c r="AB104" s="24">
        <f t="shared" si="134"/>
        <v>16.919999999999998</v>
      </c>
      <c r="AC104" s="24" t="str">
        <f t="shared" si="135"/>
        <v/>
      </c>
      <c r="AD104" s="24" t="str">
        <f t="shared" si="136"/>
        <v/>
      </c>
      <c r="AE104" s="24">
        <f t="shared" si="137"/>
        <v>4.7</v>
      </c>
      <c r="AF104" s="24" t="str">
        <f t="shared" si="138"/>
        <v/>
      </c>
      <c r="AG104" s="31"/>
      <c r="AH104" s="3"/>
    </row>
    <row r="105" spans="1:34" x14ac:dyDescent="0.25">
      <c r="A105" s="15" t="s">
        <v>120</v>
      </c>
      <c r="B105" s="16" t="s">
        <v>106</v>
      </c>
      <c r="C105" s="34"/>
      <c r="D105" s="26" t="s">
        <v>88</v>
      </c>
      <c r="E105" s="26"/>
      <c r="F105" s="26"/>
      <c r="G105" s="26"/>
      <c r="H105" s="21" t="s">
        <v>108</v>
      </c>
      <c r="I105" s="54" t="s">
        <v>113</v>
      </c>
      <c r="J105" s="54" t="s">
        <v>112</v>
      </c>
      <c r="K105" s="22">
        <f>40.1+11.8+6.95</f>
        <v>58.850000000000009</v>
      </c>
      <c r="L105" s="10">
        <f>(6.55+0.26+0.3)-(6.55+0.05)</f>
        <v>0.50999999999999979</v>
      </c>
      <c r="M105" s="10"/>
      <c r="N105" s="39"/>
      <c r="O105" s="10">
        <v>2.04</v>
      </c>
      <c r="P105" s="40">
        <f t="shared" ref="P105:P108" si="139">0.3-0.045</f>
        <v>0.255</v>
      </c>
      <c r="Q105" s="40"/>
      <c r="R105" s="40">
        <v>7</v>
      </c>
      <c r="S105" s="39"/>
      <c r="T105" s="40"/>
      <c r="U105" s="40"/>
      <c r="V105" s="40"/>
      <c r="W105" s="40"/>
      <c r="X105" s="40"/>
      <c r="Y105" s="40"/>
      <c r="Z105" s="40"/>
      <c r="AA105" s="40"/>
      <c r="AB105" s="24">
        <f t="shared" si="134"/>
        <v>26.372099999999993</v>
      </c>
      <c r="AC105" s="24" t="str">
        <f t="shared" si="135"/>
        <v/>
      </c>
      <c r="AD105" s="24" t="str">
        <f t="shared" si="136"/>
        <v/>
      </c>
      <c r="AE105" s="24">
        <f t="shared" si="137"/>
        <v>3.6414</v>
      </c>
      <c r="AF105" s="24" t="str">
        <f t="shared" si="138"/>
        <v/>
      </c>
      <c r="AG105" s="31"/>
      <c r="AH105" s="3"/>
    </row>
    <row r="106" spans="1:34" x14ac:dyDescent="0.25">
      <c r="A106" s="15" t="s">
        <v>120</v>
      </c>
      <c r="B106" s="16" t="s">
        <v>106</v>
      </c>
      <c r="C106" s="34"/>
      <c r="D106" s="26" t="s">
        <v>88</v>
      </c>
      <c r="E106" s="26"/>
      <c r="F106" s="26"/>
      <c r="G106" s="26"/>
      <c r="H106" s="21"/>
      <c r="I106" s="54"/>
      <c r="J106" s="54"/>
      <c r="K106" s="22"/>
      <c r="L106" s="10"/>
      <c r="M106" s="10"/>
      <c r="N106" s="39"/>
      <c r="O106" s="10">
        <v>2.5</v>
      </c>
      <c r="P106" s="40">
        <f t="shared" si="139"/>
        <v>0.255</v>
      </c>
      <c r="Q106" s="40"/>
      <c r="R106" s="40">
        <v>2</v>
      </c>
      <c r="S106" s="39"/>
      <c r="T106" s="40"/>
      <c r="U106" s="40"/>
      <c r="V106" s="40"/>
      <c r="W106" s="40"/>
      <c r="X106" s="40"/>
      <c r="Y106" s="40"/>
      <c r="Z106" s="40"/>
      <c r="AA106" s="40"/>
      <c r="AB106" s="24">
        <f t="shared" si="134"/>
        <v>-1.2749999999999999</v>
      </c>
      <c r="AC106" s="24" t="str">
        <f t="shared" si="135"/>
        <v/>
      </c>
      <c r="AD106" s="24" t="str">
        <f t="shared" si="136"/>
        <v/>
      </c>
      <c r="AE106" s="24">
        <f t="shared" si="137"/>
        <v>1.2749999999999999</v>
      </c>
      <c r="AF106" s="24" t="str">
        <f t="shared" si="138"/>
        <v/>
      </c>
      <c r="AG106" s="31"/>
      <c r="AH106" s="3"/>
    </row>
    <row r="107" spans="1:34" x14ac:dyDescent="0.25">
      <c r="A107" s="15" t="s">
        <v>120</v>
      </c>
      <c r="B107" s="16" t="s">
        <v>106</v>
      </c>
      <c r="C107" s="34"/>
      <c r="D107" s="26" t="s">
        <v>88</v>
      </c>
      <c r="E107" s="26"/>
      <c r="F107" s="26"/>
      <c r="G107" s="26"/>
      <c r="H107" s="21"/>
      <c r="I107" s="54"/>
      <c r="J107" s="54"/>
      <c r="K107" s="22"/>
      <c r="L107" s="10"/>
      <c r="M107" s="10"/>
      <c r="N107" s="39"/>
      <c r="O107" s="10">
        <v>0.54</v>
      </c>
      <c r="P107" s="40">
        <f t="shared" si="139"/>
        <v>0.255</v>
      </c>
      <c r="Q107" s="40"/>
      <c r="R107" s="40">
        <v>2</v>
      </c>
      <c r="S107" s="39"/>
      <c r="T107" s="40"/>
      <c r="U107" s="40"/>
      <c r="V107" s="40"/>
      <c r="W107" s="40"/>
      <c r="X107" s="40"/>
      <c r="Y107" s="40"/>
      <c r="Z107" s="40"/>
      <c r="AA107" s="40"/>
      <c r="AB107" s="24">
        <f t="shared" si="134"/>
        <v>-0.27540000000000003</v>
      </c>
      <c r="AC107" s="24" t="str">
        <f t="shared" si="135"/>
        <v/>
      </c>
      <c r="AD107" s="24" t="str">
        <f t="shared" si="136"/>
        <v/>
      </c>
      <c r="AE107" s="24">
        <f t="shared" si="137"/>
        <v>0.27540000000000003</v>
      </c>
      <c r="AF107" s="24" t="str">
        <f t="shared" si="138"/>
        <v/>
      </c>
      <c r="AG107" s="31"/>
      <c r="AH107" s="3"/>
    </row>
    <row r="108" spans="1:34" x14ac:dyDescent="0.25">
      <c r="A108" s="15" t="s">
        <v>120</v>
      </c>
      <c r="B108" s="16" t="s">
        <v>106</v>
      </c>
      <c r="C108" s="34"/>
      <c r="D108" s="26" t="s">
        <v>88</v>
      </c>
      <c r="E108" s="26"/>
      <c r="F108" s="26"/>
      <c r="G108" s="26"/>
      <c r="H108" s="21"/>
      <c r="I108" s="54"/>
      <c r="J108" s="54"/>
      <c r="K108" s="22"/>
      <c r="L108" s="10"/>
      <c r="M108" s="10"/>
      <c r="N108" s="39"/>
      <c r="O108" s="10">
        <v>0.6</v>
      </c>
      <c r="P108" s="40">
        <f t="shared" si="139"/>
        <v>0.255</v>
      </c>
      <c r="Q108" s="40"/>
      <c r="R108" s="40">
        <v>1</v>
      </c>
      <c r="S108" s="39"/>
      <c r="T108" s="40"/>
      <c r="U108" s="40"/>
      <c r="V108" s="40"/>
      <c r="W108" s="40"/>
      <c r="X108" s="40"/>
      <c r="Y108" s="40"/>
      <c r="Z108" s="40"/>
      <c r="AA108" s="40"/>
      <c r="AB108" s="24">
        <f t="shared" si="134"/>
        <v>-0.153</v>
      </c>
      <c r="AC108" s="24" t="str">
        <f t="shared" si="135"/>
        <v/>
      </c>
      <c r="AD108" s="24" t="str">
        <f t="shared" si="136"/>
        <v/>
      </c>
      <c r="AE108" s="24">
        <f t="shared" si="137"/>
        <v>0.153</v>
      </c>
      <c r="AF108" s="24" t="str">
        <f t="shared" si="138"/>
        <v/>
      </c>
      <c r="AG108" s="31"/>
      <c r="AH108" s="3"/>
    </row>
    <row r="109" spans="1:34" x14ac:dyDescent="0.25">
      <c r="A109" s="15" t="s">
        <v>120</v>
      </c>
      <c r="B109" s="16" t="s">
        <v>106</v>
      </c>
      <c r="C109" s="34"/>
      <c r="D109" s="26" t="s">
        <v>88</v>
      </c>
      <c r="E109" s="26"/>
      <c r="F109" s="26"/>
      <c r="G109" s="26"/>
      <c r="H109" s="21" t="s">
        <v>109</v>
      </c>
      <c r="I109" s="54" t="s">
        <v>114</v>
      </c>
      <c r="J109" s="54" t="s">
        <v>112</v>
      </c>
      <c r="K109" s="22">
        <f>4.6*2</f>
        <v>9.1999999999999993</v>
      </c>
      <c r="L109" s="10">
        <f>7.11-6.7</f>
        <v>0.41000000000000014</v>
      </c>
      <c r="M109" s="10"/>
      <c r="N109" s="39"/>
      <c r="O109" s="10">
        <v>2</v>
      </c>
      <c r="P109" s="10">
        <f>0.41-0.05</f>
        <v>0.36</v>
      </c>
      <c r="Q109" s="40"/>
      <c r="R109" s="40">
        <v>1</v>
      </c>
      <c r="S109" s="39"/>
      <c r="T109" s="40"/>
      <c r="U109" s="40"/>
      <c r="V109" s="40"/>
      <c r="W109" s="40"/>
      <c r="X109" s="40"/>
      <c r="Y109" s="40"/>
      <c r="Z109" s="40"/>
      <c r="AA109" s="40"/>
      <c r="AB109" s="24">
        <f t="shared" si="134"/>
        <v>3.0520000000000014</v>
      </c>
      <c r="AC109" s="24" t="str">
        <f t="shared" si="135"/>
        <v/>
      </c>
      <c r="AD109" s="24" t="str">
        <f t="shared" si="136"/>
        <v/>
      </c>
      <c r="AE109" s="24">
        <f t="shared" si="137"/>
        <v>0.72</v>
      </c>
      <c r="AF109" s="24" t="str">
        <f t="shared" si="138"/>
        <v/>
      </c>
      <c r="AG109" s="31"/>
      <c r="AH109" s="3"/>
    </row>
    <row r="110" spans="1:34" x14ac:dyDescent="0.25">
      <c r="A110" s="15" t="s">
        <v>120</v>
      </c>
      <c r="B110" s="16" t="s">
        <v>106</v>
      </c>
      <c r="C110" s="34"/>
      <c r="D110" s="26" t="s">
        <v>72</v>
      </c>
      <c r="E110" s="26"/>
      <c r="F110" s="26"/>
      <c r="G110" s="26"/>
      <c r="H110" s="21" t="s">
        <v>110</v>
      </c>
      <c r="I110" s="54" t="s">
        <v>112</v>
      </c>
      <c r="J110" s="54" t="s">
        <v>115</v>
      </c>
      <c r="K110" s="22">
        <f>40.1+11.8+6.95</f>
        <v>58.850000000000009</v>
      </c>
      <c r="L110" s="10">
        <f>9.3-7.11</f>
        <v>2.1900000000000004</v>
      </c>
      <c r="M110" s="10"/>
      <c r="N110" s="39"/>
      <c r="O110" s="10">
        <v>2.04</v>
      </c>
      <c r="P110" s="40">
        <v>2.19</v>
      </c>
      <c r="Q110" s="40"/>
      <c r="R110" s="40">
        <v>7</v>
      </c>
      <c r="S110" s="39"/>
      <c r="T110" s="40"/>
      <c r="U110" s="40"/>
      <c r="V110" s="40"/>
      <c r="W110" s="40"/>
      <c r="X110" s="40"/>
      <c r="Y110" s="40"/>
      <c r="Z110" s="40"/>
      <c r="AA110" s="40"/>
      <c r="AB110" s="24">
        <f t="shared" si="134"/>
        <v>97.608300000000042</v>
      </c>
      <c r="AC110" s="24" t="str">
        <f t="shared" si="135"/>
        <v/>
      </c>
      <c r="AD110" s="24" t="str">
        <f t="shared" si="136"/>
        <v/>
      </c>
      <c r="AE110" s="24">
        <f t="shared" si="137"/>
        <v>31.273199999999999</v>
      </c>
      <c r="AF110" s="24" t="str">
        <f t="shared" si="138"/>
        <v/>
      </c>
      <c r="AG110" s="31"/>
      <c r="AH110" s="3"/>
    </row>
    <row r="111" spans="1:34" x14ac:dyDescent="0.25">
      <c r="A111" s="15" t="s">
        <v>120</v>
      </c>
      <c r="B111" s="16" t="s">
        <v>106</v>
      </c>
      <c r="C111" s="34"/>
      <c r="D111" s="26" t="s">
        <v>72</v>
      </c>
      <c r="E111" s="26"/>
      <c r="F111" s="26"/>
      <c r="G111" s="26"/>
      <c r="H111" s="21"/>
      <c r="I111" s="54"/>
      <c r="J111" s="54"/>
      <c r="K111" s="22"/>
      <c r="L111" s="10"/>
      <c r="M111" s="10"/>
      <c r="N111" s="39"/>
      <c r="O111" s="10">
        <v>2.5</v>
      </c>
      <c r="P111" s="40">
        <v>2.19</v>
      </c>
      <c r="Q111" s="40"/>
      <c r="R111" s="40">
        <v>2</v>
      </c>
      <c r="S111" s="39"/>
      <c r="T111" s="40"/>
      <c r="U111" s="40"/>
      <c r="V111" s="40"/>
      <c r="W111" s="40"/>
      <c r="X111" s="40"/>
      <c r="Y111" s="40"/>
      <c r="Z111" s="40"/>
      <c r="AA111" s="40"/>
      <c r="AB111" s="24">
        <f t="shared" si="134"/>
        <v>-10.95</v>
      </c>
      <c r="AC111" s="24" t="str">
        <f t="shared" si="135"/>
        <v/>
      </c>
      <c r="AD111" s="24" t="str">
        <f t="shared" si="136"/>
        <v/>
      </c>
      <c r="AE111" s="24">
        <f t="shared" si="137"/>
        <v>10.95</v>
      </c>
      <c r="AF111" s="24" t="str">
        <f t="shared" si="138"/>
        <v/>
      </c>
      <c r="AG111" s="31"/>
      <c r="AH111" s="3"/>
    </row>
    <row r="112" spans="1:34" x14ac:dyDescent="0.25">
      <c r="A112" s="15" t="s">
        <v>120</v>
      </c>
      <c r="B112" s="16" t="s">
        <v>106</v>
      </c>
      <c r="C112" s="34"/>
      <c r="D112" s="26" t="s">
        <v>72</v>
      </c>
      <c r="E112" s="26"/>
      <c r="F112" s="26"/>
      <c r="G112" s="26"/>
      <c r="H112" s="21"/>
      <c r="I112" s="54"/>
      <c r="J112" s="54"/>
      <c r="K112" s="22"/>
      <c r="L112" s="10"/>
      <c r="M112" s="10"/>
      <c r="N112" s="39"/>
      <c r="O112" s="10">
        <v>0.54</v>
      </c>
      <c r="P112" s="40">
        <v>2.19</v>
      </c>
      <c r="Q112" s="40"/>
      <c r="R112" s="40">
        <v>2</v>
      </c>
      <c r="S112" s="39"/>
      <c r="T112" s="40"/>
      <c r="U112" s="40"/>
      <c r="V112" s="40"/>
      <c r="W112" s="40"/>
      <c r="X112" s="40"/>
      <c r="Y112" s="40"/>
      <c r="Z112" s="40"/>
      <c r="AA112" s="40"/>
      <c r="AB112" s="24">
        <f t="shared" si="134"/>
        <v>-2.3652000000000002</v>
      </c>
      <c r="AC112" s="24" t="str">
        <f t="shared" si="135"/>
        <v/>
      </c>
      <c r="AD112" s="24" t="str">
        <f t="shared" si="136"/>
        <v/>
      </c>
      <c r="AE112" s="24">
        <f t="shared" si="137"/>
        <v>2.3652000000000002</v>
      </c>
      <c r="AF112" s="24" t="str">
        <f t="shared" si="138"/>
        <v/>
      </c>
      <c r="AG112" s="31"/>
      <c r="AH112" s="3"/>
    </row>
    <row r="113" spans="1:34" x14ac:dyDescent="0.25">
      <c r="A113" s="15" t="s">
        <v>120</v>
      </c>
      <c r="B113" s="16" t="s">
        <v>106</v>
      </c>
      <c r="C113" s="34"/>
      <c r="D113" s="26" t="s">
        <v>72</v>
      </c>
      <c r="E113" s="26"/>
      <c r="F113" s="26"/>
      <c r="G113" s="26"/>
      <c r="H113" s="21"/>
      <c r="I113" s="54"/>
      <c r="J113" s="54"/>
      <c r="K113" s="22"/>
      <c r="L113" s="10"/>
      <c r="M113" s="10"/>
      <c r="N113" s="39"/>
      <c r="O113" s="10">
        <v>0.6</v>
      </c>
      <c r="P113" s="40">
        <v>2.19</v>
      </c>
      <c r="Q113" s="40"/>
      <c r="R113" s="40">
        <v>1</v>
      </c>
      <c r="S113" s="39"/>
      <c r="T113" s="40"/>
      <c r="U113" s="40"/>
      <c r="V113" s="40"/>
      <c r="W113" s="40"/>
      <c r="X113" s="40"/>
      <c r="Y113" s="40"/>
      <c r="Z113" s="40"/>
      <c r="AA113" s="40"/>
      <c r="AB113" s="24">
        <f t="shared" ref="AB113:AB115" si="140">IF(K113*L113+M113-O113*P113*R113-Q113*R113+T113*U113*W113+V113*W113&lt;&gt;0,K113*L113+M113-O113*P113*R113-Q113*R113+T113*U113*W113+V113*W113,"")</f>
        <v>-1.3139999999999998</v>
      </c>
      <c r="AC113" s="24" t="str">
        <f t="shared" ref="AC113:AC115" si="141">IF(W113*SUM(Y113:AA113)&lt;&gt;0,W113*SUM(Y113:AA113),"")</f>
        <v/>
      </c>
      <c r="AD113" s="24" t="str">
        <f t="shared" ref="AD113:AD115" si="142">IF(W113*X113*SUM(Y113:AA113)&lt;&gt;0,W113*X113*SUM(Y113:AA113),"")</f>
        <v/>
      </c>
      <c r="AE113" s="24">
        <f t="shared" ref="AE113:AE115" si="143">IF(O113*P113*R113+Q113*R113&lt;&gt;0,O113*P113*R113+Q113*R113,"")</f>
        <v>1.3139999999999998</v>
      </c>
      <c r="AF113" s="24" t="str">
        <f t="shared" ref="AF113:AF115" si="144">IF(W113*X113*(Z113+AA113)&lt;&gt;0,W113*X113*(Z113+AA113),"")</f>
        <v/>
      </c>
      <c r="AG113" s="31"/>
      <c r="AH113" s="3"/>
    </row>
    <row r="114" spans="1:34" x14ac:dyDescent="0.25">
      <c r="A114" s="15" t="s">
        <v>120</v>
      </c>
      <c r="B114" s="16" t="s">
        <v>106</v>
      </c>
      <c r="C114" s="34"/>
      <c r="D114" s="26" t="s">
        <v>72</v>
      </c>
      <c r="E114" s="26"/>
      <c r="F114" s="26"/>
      <c r="G114" s="26"/>
      <c r="H114" s="21" t="s">
        <v>111</v>
      </c>
      <c r="I114" s="54" t="s">
        <v>112</v>
      </c>
      <c r="J114" s="54" t="s">
        <v>115</v>
      </c>
      <c r="K114" s="22">
        <f>4.6*2</f>
        <v>9.1999999999999993</v>
      </c>
      <c r="L114" s="10">
        <f>9.3-7.11</f>
        <v>2.1900000000000004</v>
      </c>
      <c r="M114" s="10"/>
      <c r="N114" s="39"/>
      <c r="O114" s="10">
        <v>2</v>
      </c>
      <c r="P114" s="40">
        <v>2.19</v>
      </c>
      <c r="Q114" s="40"/>
      <c r="R114" s="40">
        <v>1</v>
      </c>
      <c r="S114" s="39"/>
      <c r="T114" s="40"/>
      <c r="U114" s="40"/>
      <c r="V114" s="40"/>
      <c r="W114" s="40"/>
      <c r="X114" s="40"/>
      <c r="Y114" s="40"/>
      <c r="Z114" s="40"/>
      <c r="AA114" s="40"/>
      <c r="AB114" s="24">
        <f t="shared" si="140"/>
        <v>15.768000000000004</v>
      </c>
      <c r="AC114" s="24" t="str">
        <f t="shared" si="141"/>
        <v/>
      </c>
      <c r="AD114" s="24" t="str">
        <f t="shared" si="142"/>
        <v/>
      </c>
      <c r="AE114" s="24">
        <f t="shared" si="143"/>
        <v>4.38</v>
      </c>
      <c r="AF114" s="24" t="str">
        <f t="shared" si="144"/>
        <v/>
      </c>
      <c r="AG114" s="31"/>
      <c r="AH114" s="3"/>
    </row>
    <row r="115" spans="1:34" x14ac:dyDescent="0.25">
      <c r="A115" s="15" t="s">
        <v>120</v>
      </c>
      <c r="B115" s="16" t="s">
        <v>106</v>
      </c>
      <c r="C115" s="34"/>
      <c r="D115" s="26" t="s">
        <v>79</v>
      </c>
      <c r="E115" s="26"/>
      <c r="F115" s="26"/>
      <c r="G115" s="26"/>
      <c r="H115" s="21" t="s">
        <v>116</v>
      </c>
      <c r="I115" s="54" t="s">
        <v>118</v>
      </c>
      <c r="J115" s="54" t="s">
        <v>117</v>
      </c>
      <c r="K115" s="22">
        <f>40.1+29.55</f>
        <v>69.650000000000006</v>
      </c>
      <c r="L115" s="10">
        <f>10.5-9.7</f>
        <v>0.80000000000000071</v>
      </c>
      <c r="M115" s="10"/>
      <c r="N115" s="39"/>
      <c r="O115" s="10"/>
      <c r="P115" s="40"/>
      <c r="Q115" s="40"/>
      <c r="R115" s="40"/>
      <c r="S115" s="39"/>
      <c r="T115" s="40"/>
      <c r="U115" s="40"/>
      <c r="V115" s="40"/>
      <c r="W115" s="40"/>
      <c r="X115" s="40"/>
      <c r="Y115" s="40"/>
      <c r="Z115" s="40"/>
      <c r="AA115" s="40"/>
      <c r="AB115" s="24">
        <f t="shared" si="140"/>
        <v>55.720000000000056</v>
      </c>
      <c r="AC115" s="24" t="str">
        <f t="shared" si="141"/>
        <v/>
      </c>
      <c r="AD115" s="24" t="str">
        <f t="shared" si="142"/>
        <v/>
      </c>
      <c r="AE115" s="24" t="str">
        <f t="shared" si="143"/>
        <v/>
      </c>
      <c r="AF115" s="24" t="str">
        <f t="shared" si="144"/>
        <v/>
      </c>
      <c r="AG115" s="31"/>
      <c r="AH115" s="3"/>
    </row>
    <row r="116" spans="1:34" x14ac:dyDescent="0.25">
      <c r="A116" s="15" t="s">
        <v>120</v>
      </c>
      <c r="B116" s="16" t="s">
        <v>106</v>
      </c>
      <c r="C116" s="34"/>
      <c r="D116" s="26" t="s">
        <v>139</v>
      </c>
      <c r="E116" s="26"/>
      <c r="F116" s="26"/>
      <c r="G116" s="26"/>
      <c r="H116" s="21" t="s">
        <v>145</v>
      </c>
      <c r="I116" s="54"/>
      <c r="J116" s="54"/>
      <c r="K116" s="22">
        <f>40.1+29.55-10.8</f>
        <v>58.850000000000009</v>
      </c>
      <c r="L116" s="10">
        <f t="shared" ref="L116:L117" si="145">0.45+0.36</f>
        <v>0.81</v>
      </c>
      <c r="M116" s="10"/>
      <c r="N116" s="39"/>
      <c r="O116" s="10"/>
      <c r="P116" s="40"/>
      <c r="Q116" s="40"/>
      <c r="R116" s="40"/>
      <c r="S116" s="39"/>
      <c r="T116" s="40"/>
      <c r="U116" s="40"/>
      <c r="V116" s="40"/>
      <c r="W116" s="40"/>
      <c r="X116" s="40"/>
      <c r="Y116" s="40"/>
      <c r="Z116" s="40"/>
      <c r="AA116" s="40"/>
      <c r="AB116" s="24">
        <f t="shared" ref="AB116:AB150" si="146">IF(K116*L116+M116-O116*P116*R116-Q116*R116+T116*U116*W116+V116*W116&lt;&gt;0,K116*L116+M116-O116*P116*R116-Q116*R116+T116*U116*W116+V116*W116,"")</f>
        <v>47.668500000000009</v>
      </c>
      <c r="AC116" s="24" t="str">
        <f t="shared" ref="AC116:AC150" si="147">IF(W116*SUM(Y116:AA116)&lt;&gt;0,W116*SUM(Y116:AA116),"")</f>
        <v/>
      </c>
      <c r="AD116" s="24" t="str">
        <f t="shared" ref="AD116:AD150" si="148">IF(W116*X116*SUM(Y116:AA116)&lt;&gt;0,W116*X116*SUM(Y116:AA116),"")</f>
        <v/>
      </c>
      <c r="AE116" s="24" t="str">
        <f t="shared" ref="AE116:AE150" si="149">IF(O116*P116*R116+Q116*R116&lt;&gt;0,O116*P116*R116+Q116*R116,"")</f>
        <v/>
      </c>
      <c r="AF116" s="24" t="str">
        <f t="shared" ref="AF116:AF150" si="150">IF(W116*X116*(Z116+AA116)&lt;&gt;0,W116*X116*(Z116+AA116),"")</f>
        <v/>
      </c>
      <c r="AG116" s="31"/>
      <c r="AH116" s="3"/>
    </row>
    <row r="117" spans="1:34" x14ac:dyDescent="0.25">
      <c r="A117" s="15" t="s">
        <v>120</v>
      </c>
      <c r="B117" s="16" t="s">
        <v>142</v>
      </c>
      <c r="C117" s="34"/>
      <c r="D117" s="26" t="s">
        <v>139</v>
      </c>
      <c r="E117" s="26"/>
      <c r="F117" s="26"/>
      <c r="G117" s="26"/>
      <c r="H117" s="21"/>
      <c r="I117" s="54"/>
      <c r="J117" s="54"/>
      <c r="K117" s="22">
        <f t="shared" ref="K117:K123" si="151">40.1+29.55</f>
        <v>69.650000000000006</v>
      </c>
      <c r="L117" s="10">
        <f t="shared" si="145"/>
        <v>0.81</v>
      </c>
      <c r="M117" s="10"/>
      <c r="N117" s="39"/>
      <c r="O117" s="10"/>
      <c r="P117" s="40"/>
      <c r="Q117" s="40"/>
      <c r="R117" s="40"/>
      <c r="S117" s="39"/>
      <c r="T117" s="40"/>
      <c r="U117" s="40"/>
      <c r="V117" s="40"/>
      <c r="W117" s="40"/>
      <c r="X117" s="40"/>
      <c r="Y117" s="40"/>
      <c r="Z117" s="40"/>
      <c r="AA117" s="40"/>
      <c r="AB117" s="24">
        <f t="shared" si="146"/>
        <v>56.416500000000006</v>
      </c>
      <c r="AC117" s="24" t="str">
        <f t="shared" si="147"/>
        <v/>
      </c>
      <c r="AD117" s="24" t="str">
        <f t="shared" si="148"/>
        <v/>
      </c>
      <c r="AE117" s="24" t="str">
        <f t="shared" si="149"/>
        <v/>
      </c>
      <c r="AF117" s="24" t="str">
        <f t="shared" si="150"/>
        <v/>
      </c>
      <c r="AG117" s="31"/>
      <c r="AH117" s="3"/>
    </row>
    <row r="118" spans="1:34" x14ac:dyDescent="0.25">
      <c r="A118" s="15" t="s">
        <v>120</v>
      </c>
      <c r="B118" s="16" t="s">
        <v>106</v>
      </c>
      <c r="C118" s="34"/>
      <c r="D118" s="26" t="s">
        <v>140</v>
      </c>
      <c r="E118" s="26"/>
      <c r="F118" s="26"/>
      <c r="G118" s="26"/>
      <c r="H118" s="21" t="s">
        <v>141</v>
      </c>
      <c r="I118" s="54"/>
      <c r="J118" s="54"/>
      <c r="K118" s="22">
        <f>40.1+29.55-10.8</f>
        <v>58.850000000000009</v>
      </c>
      <c r="L118" s="10">
        <v>0.4</v>
      </c>
      <c r="M118" s="10"/>
      <c r="N118" s="39"/>
      <c r="O118" s="10"/>
      <c r="P118" s="40"/>
      <c r="Q118" s="40"/>
      <c r="R118" s="40"/>
      <c r="S118" s="39"/>
      <c r="T118" s="40"/>
      <c r="U118" s="40"/>
      <c r="V118" s="40"/>
      <c r="W118" s="40"/>
      <c r="X118" s="40"/>
      <c r="Y118" s="40"/>
      <c r="Z118" s="40"/>
      <c r="AA118" s="40"/>
      <c r="AB118" s="24">
        <f t="shared" si="146"/>
        <v>23.540000000000006</v>
      </c>
      <c r="AC118" s="24" t="str">
        <f t="shared" si="147"/>
        <v/>
      </c>
      <c r="AD118" s="24" t="str">
        <f t="shared" si="148"/>
        <v/>
      </c>
      <c r="AE118" s="24" t="str">
        <f t="shared" si="149"/>
        <v/>
      </c>
      <c r="AF118" s="24" t="str">
        <f t="shared" si="150"/>
        <v/>
      </c>
      <c r="AG118" s="31"/>
      <c r="AH118" s="3"/>
    </row>
    <row r="119" spans="1:34" x14ac:dyDescent="0.25">
      <c r="A119" s="15" t="s">
        <v>120</v>
      </c>
      <c r="B119" s="16" t="s">
        <v>142</v>
      </c>
      <c r="C119" s="34"/>
      <c r="D119" s="26" t="s">
        <v>140</v>
      </c>
      <c r="E119" s="26"/>
      <c r="F119" s="26"/>
      <c r="G119" s="26"/>
      <c r="H119" s="21"/>
      <c r="I119" s="54"/>
      <c r="J119" s="54"/>
      <c r="K119" s="22">
        <f t="shared" si="151"/>
        <v>69.650000000000006</v>
      </c>
      <c r="L119" s="10">
        <v>0.4</v>
      </c>
      <c r="M119" s="10"/>
      <c r="N119" s="39"/>
      <c r="O119" s="10"/>
      <c r="P119" s="40"/>
      <c r="Q119" s="40"/>
      <c r="R119" s="40"/>
      <c r="S119" s="39"/>
      <c r="T119" s="40"/>
      <c r="U119" s="40"/>
      <c r="V119" s="40"/>
      <c r="W119" s="40"/>
      <c r="X119" s="40"/>
      <c r="Y119" s="40"/>
      <c r="Z119" s="40"/>
      <c r="AA119" s="40"/>
      <c r="AB119" s="24">
        <f t="shared" si="146"/>
        <v>27.860000000000003</v>
      </c>
      <c r="AC119" s="24" t="str">
        <f t="shared" si="147"/>
        <v/>
      </c>
      <c r="AD119" s="24" t="str">
        <f t="shared" si="148"/>
        <v/>
      </c>
      <c r="AE119" s="24" t="str">
        <f t="shared" si="149"/>
        <v/>
      </c>
      <c r="AF119" s="24" t="str">
        <f t="shared" si="150"/>
        <v/>
      </c>
      <c r="AG119" s="31"/>
      <c r="AH119" s="3"/>
    </row>
    <row r="120" spans="1:34" x14ac:dyDescent="0.25">
      <c r="A120" s="15" t="s">
        <v>120</v>
      </c>
      <c r="B120" s="16" t="s">
        <v>106</v>
      </c>
      <c r="C120" s="34"/>
      <c r="D120" s="26" t="s">
        <v>147</v>
      </c>
      <c r="E120" s="26"/>
      <c r="F120" s="26"/>
      <c r="G120" s="26"/>
      <c r="H120" s="21" t="s">
        <v>146</v>
      </c>
      <c r="I120" s="54"/>
      <c r="J120" s="54"/>
      <c r="K120" s="22">
        <f>40.1+29.55-10.8</f>
        <v>58.850000000000009</v>
      </c>
      <c r="L120" s="10">
        <f t="shared" ref="L120:L121" si="152">0.1+0.25+0.4+0.6</f>
        <v>1.35</v>
      </c>
      <c r="M120" s="10"/>
      <c r="N120" s="39"/>
      <c r="O120" s="10"/>
      <c r="P120" s="40"/>
      <c r="Q120" s="40"/>
      <c r="R120" s="40"/>
      <c r="S120" s="39"/>
      <c r="T120" s="40"/>
      <c r="U120" s="40"/>
      <c r="V120" s="40"/>
      <c r="W120" s="40"/>
      <c r="X120" s="40"/>
      <c r="Y120" s="40"/>
      <c r="Z120" s="40"/>
      <c r="AA120" s="40"/>
      <c r="AB120" s="24">
        <f t="shared" si="146"/>
        <v>79.447500000000019</v>
      </c>
      <c r="AC120" s="24" t="str">
        <f t="shared" si="147"/>
        <v/>
      </c>
      <c r="AD120" s="24" t="str">
        <f t="shared" si="148"/>
        <v/>
      </c>
      <c r="AE120" s="24" t="str">
        <f t="shared" si="149"/>
        <v/>
      </c>
      <c r="AF120" s="24" t="str">
        <f t="shared" si="150"/>
        <v/>
      </c>
      <c r="AG120" s="31"/>
      <c r="AH120" s="3"/>
    </row>
    <row r="121" spans="1:34" x14ac:dyDescent="0.25">
      <c r="A121" s="15" t="s">
        <v>120</v>
      </c>
      <c r="B121" s="16" t="s">
        <v>142</v>
      </c>
      <c r="C121" s="34"/>
      <c r="D121" s="26" t="s">
        <v>147</v>
      </c>
      <c r="E121" s="26"/>
      <c r="F121" s="26"/>
      <c r="G121" s="26"/>
      <c r="H121" s="21"/>
      <c r="I121" s="54"/>
      <c r="J121" s="54"/>
      <c r="K121" s="22">
        <f t="shared" si="151"/>
        <v>69.650000000000006</v>
      </c>
      <c r="L121" s="10">
        <f t="shared" si="152"/>
        <v>1.35</v>
      </c>
      <c r="M121" s="10"/>
      <c r="N121" s="39"/>
      <c r="O121" s="10"/>
      <c r="P121" s="40"/>
      <c r="Q121" s="40"/>
      <c r="R121" s="40"/>
      <c r="S121" s="39"/>
      <c r="T121" s="40"/>
      <c r="U121" s="40"/>
      <c r="V121" s="40"/>
      <c r="W121" s="40"/>
      <c r="X121" s="40"/>
      <c r="Y121" s="40"/>
      <c r="Z121" s="40"/>
      <c r="AA121" s="40"/>
      <c r="AB121" s="24">
        <f t="shared" si="146"/>
        <v>94.027500000000018</v>
      </c>
      <c r="AC121" s="24" t="str">
        <f t="shared" si="147"/>
        <v/>
      </c>
      <c r="AD121" s="24" t="str">
        <f t="shared" si="148"/>
        <v/>
      </c>
      <c r="AE121" s="24" t="str">
        <f t="shared" si="149"/>
        <v/>
      </c>
      <c r="AF121" s="24" t="str">
        <f t="shared" si="150"/>
        <v/>
      </c>
      <c r="AG121" s="31"/>
      <c r="AH121" s="3"/>
    </row>
    <row r="122" spans="1:34" x14ac:dyDescent="0.25">
      <c r="A122" s="15" t="s">
        <v>120</v>
      </c>
      <c r="B122" s="16" t="s">
        <v>106</v>
      </c>
      <c r="C122" s="34"/>
      <c r="D122" s="26" t="s">
        <v>148</v>
      </c>
      <c r="E122" s="26"/>
      <c r="F122" s="26"/>
      <c r="G122" s="26"/>
      <c r="H122" s="21" t="s">
        <v>149</v>
      </c>
      <c r="I122" s="54"/>
      <c r="J122" s="54"/>
      <c r="K122" s="22">
        <f>40.1+29.55-10.8</f>
        <v>58.850000000000009</v>
      </c>
      <c r="L122" s="10">
        <v>0.4</v>
      </c>
      <c r="M122" s="10"/>
      <c r="N122" s="39"/>
      <c r="O122" s="10"/>
      <c r="P122" s="40"/>
      <c r="Q122" s="40"/>
      <c r="R122" s="40"/>
      <c r="S122" s="39"/>
      <c r="T122" s="40"/>
      <c r="U122" s="40"/>
      <c r="V122" s="40"/>
      <c r="W122" s="40"/>
      <c r="X122" s="40"/>
      <c r="Y122" s="40"/>
      <c r="Z122" s="40"/>
      <c r="AA122" s="40"/>
      <c r="AB122" s="24">
        <f t="shared" ref="AB122:AB125" si="153">IF(K122*L122+M122-O122*P122*R122-Q122*R122+T122*U122*W122+V122*W122&lt;&gt;0,K122*L122+M122-O122*P122*R122-Q122*R122+T122*U122*W122+V122*W122,"")</f>
        <v>23.540000000000006</v>
      </c>
      <c r="AC122" s="24" t="str">
        <f t="shared" ref="AC122:AC125" si="154">IF(W122*SUM(Y122:AA122)&lt;&gt;0,W122*SUM(Y122:AA122),"")</f>
        <v/>
      </c>
      <c r="AD122" s="24" t="str">
        <f t="shared" ref="AD122:AD125" si="155">IF(W122*X122*SUM(Y122:AA122)&lt;&gt;0,W122*X122*SUM(Y122:AA122),"")</f>
        <v/>
      </c>
      <c r="AE122" s="24" t="str">
        <f t="shared" ref="AE122:AE123" si="156">IF(O122*P122*R122+Q122*R122&lt;&gt;0,O122*P122*R122+Q122*R122,"")</f>
        <v/>
      </c>
      <c r="AF122" s="24" t="str">
        <f t="shared" ref="AF122:AF125" si="157">IF(W122*X122*(Z122+AA122)&lt;&gt;0,W122*X122*(Z122+AA122),"")</f>
        <v/>
      </c>
      <c r="AG122" s="31"/>
      <c r="AH122" s="3"/>
    </row>
    <row r="123" spans="1:34" x14ac:dyDescent="0.25">
      <c r="A123" s="15" t="s">
        <v>120</v>
      </c>
      <c r="B123" s="16" t="s">
        <v>142</v>
      </c>
      <c r="C123" s="34"/>
      <c r="D123" s="26" t="s">
        <v>148</v>
      </c>
      <c r="E123" s="26"/>
      <c r="F123" s="26"/>
      <c r="G123" s="26"/>
      <c r="H123" s="21"/>
      <c r="I123" s="54"/>
      <c r="J123" s="54"/>
      <c r="K123" s="22">
        <f t="shared" si="151"/>
        <v>69.650000000000006</v>
      </c>
      <c r="L123" s="10">
        <v>0.4</v>
      </c>
      <c r="M123" s="10"/>
      <c r="N123" s="39"/>
      <c r="O123" s="10"/>
      <c r="P123" s="40"/>
      <c r="Q123" s="40"/>
      <c r="R123" s="40"/>
      <c r="S123" s="39"/>
      <c r="T123" s="40"/>
      <c r="U123" s="40"/>
      <c r="V123" s="40"/>
      <c r="W123" s="40"/>
      <c r="X123" s="40"/>
      <c r="Y123" s="40"/>
      <c r="Z123" s="40"/>
      <c r="AA123" s="40"/>
      <c r="AB123" s="24">
        <f t="shared" si="153"/>
        <v>27.860000000000003</v>
      </c>
      <c r="AC123" s="24" t="str">
        <f t="shared" si="154"/>
        <v/>
      </c>
      <c r="AD123" s="24" t="str">
        <f t="shared" si="155"/>
        <v/>
      </c>
      <c r="AE123" s="24" t="str">
        <f t="shared" si="156"/>
        <v/>
      </c>
      <c r="AF123" s="24" t="str">
        <f t="shared" si="157"/>
        <v/>
      </c>
      <c r="AG123" s="31"/>
      <c r="AH123" s="3"/>
    </row>
    <row r="124" spans="1:34" x14ac:dyDescent="0.25">
      <c r="A124" s="15" t="s">
        <v>120</v>
      </c>
      <c r="B124" s="16" t="s">
        <v>87</v>
      </c>
      <c r="C124" s="34"/>
      <c r="D124" s="26" t="s">
        <v>157</v>
      </c>
      <c r="E124" s="26"/>
      <c r="F124" s="26"/>
      <c r="G124" s="26"/>
      <c r="H124" s="21" t="s">
        <v>87</v>
      </c>
      <c r="I124" s="54" t="s">
        <v>93</v>
      </c>
      <c r="J124" s="54" t="s">
        <v>168</v>
      </c>
      <c r="K124" s="10">
        <f>40.1+29.55-10.8+4.4*2</f>
        <v>67.650000000000006</v>
      </c>
      <c r="L124" s="10">
        <v>1.5</v>
      </c>
      <c r="M124" s="10"/>
      <c r="N124" s="39"/>
      <c r="O124" s="10">
        <v>2.04</v>
      </c>
      <c r="P124" s="40">
        <f>1.5-0.15</f>
        <v>1.35</v>
      </c>
      <c r="Q124" s="40"/>
      <c r="R124" s="40">
        <v>7</v>
      </c>
      <c r="S124" s="39"/>
      <c r="T124" s="40"/>
      <c r="U124" s="40"/>
      <c r="V124" s="40"/>
      <c r="W124" s="40"/>
      <c r="X124" s="40"/>
      <c r="Y124" s="40"/>
      <c r="Z124" s="40"/>
      <c r="AA124" s="40"/>
      <c r="AB124" s="24">
        <f t="shared" si="153"/>
        <v>82.197000000000003</v>
      </c>
      <c r="AC124" s="24" t="str">
        <f t="shared" si="154"/>
        <v/>
      </c>
      <c r="AD124" s="24" t="str">
        <f t="shared" si="155"/>
        <v/>
      </c>
      <c r="AE124" s="24"/>
      <c r="AF124" s="24" t="str">
        <f t="shared" si="157"/>
        <v/>
      </c>
      <c r="AG124" s="31"/>
      <c r="AH124" s="3"/>
    </row>
    <row r="125" spans="1:34" x14ac:dyDescent="0.25">
      <c r="A125" s="15" t="s">
        <v>120</v>
      </c>
      <c r="B125" s="16" t="s">
        <v>87</v>
      </c>
      <c r="C125" s="34"/>
      <c r="D125" s="26" t="s">
        <v>157</v>
      </c>
      <c r="E125" s="26"/>
      <c r="F125" s="26"/>
      <c r="G125" s="26"/>
      <c r="H125" s="21" t="s">
        <v>87</v>
      </c>
      <c r="I125" s="54" t="s">
        <v>93</v>
      </c>
      <c r="J125" s="54" t="s">
        <v>168</v>
      </c>
      <c r="K125" s="22"/>
      <c r="L125" s="10"/>
      <c r="M125" s="10"/>
      <c r="N125" s="39"/>
      <c r="O125" s="10">
        <v>2.5</v>
      </c>
      <c r="P125" s="40">
        <v>1.35</v>
      </c>
      <c r="Q125" s="40"/>
      <c r="R125" s="40">
        <v>2</v>
      </c>
      <c r="S125" s="39"/>
      <c r="T125" s="40"/>
      <c r="U125" s="40"/>
      <c r="V125" s="40"/>
      <c r="W125" s="40"/>
      <c r="X125" s="40"/>
      <c r="Y125" s="40"/>
      <c r="Z125" s="40"/>
      <c r="AA125" s="40"/>
      <c r="AB125" s="24">
        <f t="shared" si="153"/>
        <v>-6.75</v>
      </c>
      <c r="AC125" s="24" t="str">
        <f t="shared" si="154"/>
        <v/>
      </c>
      <c r="AD125" s="24" t="str">
        <f t="shared" si="155"/>
        <v/>
      </c>
      <c r="AE125" s="24"/>
      <c r="AF125" s="24" t="str">
        <f t="shared" si="157"/>
        <v/>
      </c>
      <c r="AG125" s="31"/>
      <c r="AH125" s="3"/>
    </row>
    <row r="126" spans="1:34" x14ac:dyDescent="0.25">
      <c r="A126" s="15" t="s">
        <v>120</v>
      </c>
      <c r="B126" s="16" t="s">
        <v>87</v>
      </c>
      <c r="C126" s="34"/>
      <c r="D126" s="26" t="s">
        <v>157</v>
      </c>
      <c r="E126" s="26"/>
      <c r="F126" s="26"/>
      <c r="G126" s="26"/>
      <c r="H126" s="21" t="s">
        <v>87</v>
      </c>
      <c r="I126" s="54" t="s">
        <v>93</v>
      </c>
      <c r="J126" s="54" t="s">
        <v>168</v>
      </c>
      <c r="K126" s="22"/>
      <c r="L126" s="10"/>
      <c r="M126" s="10"/>
      <c r="N126" s="39"/>
      <c r="O126" s="10">
        <v>0.54</v>
      </c>
      <c r="P126" s="40">
        <v>1.35</v>
      </c>
      <c r="Q126" s="40"/>
      <c r="R126" s="40">
        <v>2</v>
      </c>
      <c r="S126" s="39"/>
      <c r="T126" s="40"/>
      <c r="U126" s="40"/>
      <c r="V126" s="40"/>
      <c r="W126" s="40"/>
      <c r="X126" s="40"/>
      <c r="Y126" s="40"/>
      <c r="Z126" s="40"/>
      <c r="AA126" s="40"/>
      <c r="AB126" s="24">
        <f t="shared" ref="AB126:AB128" si="158">IF(K126*L126+M126-O126*P126*R126-Q126*R126+T126*U126*W126+V126*W126&lt;&gt;0,K126*L126+M126-O126*P126*R126-Q126*R126+T126*U126*W126+V126*W126,"")</f>
        <v>-1.4580000000000002</v>
      </c>
      <c r="AC126" s="24" t="str">
        <f t="shared" ref="AC126:AC128" si="159">IF(W126*SUM(Y126:AA126)&lt;&gt;0,W126*SUM(Y126:AA126),"")</f>
        <v/>
      </c>
      <c r="AD126" s="24" t="str">
        <f t="shared" ref="AD126:AD128" si="160">IF(W126*X126*SUM(Y126:AA126)&lt;&gt;0,W126*X126*SUM(Y126:AA126),"")</f>
        <v/>
      </c>
      <c r="AE126" s="24"/>
      <c r="AF126" s="24" t="str">
        <f t="shared" ref="AF126:AF128" si="161">IF(W126*X126*(Z126+AA126)&lt;&gt;0,W126*X126*(Z126+AA126),"")</f>
        <v/>
      </c>
      <c r="AG126" s="31"/>
      <c r="AH126" s="3"/>
    </row>
    <row r="127" spans="1:34" x14ac:dyDescent="0.25">
      <c r="A127" s="15" t="s">
        <v>120</v>
      </c>
      <c r="B127" s="16" t="s">
        <v>87</v>
      </c>
      <c r="C127" s="34"/>
      <c r="D127" s="26" t="s">
        <v>157</v>
      </c>
      <c r="E127" s="26"/>
      <c r="F127" s="26"/>
      <c r="G127" s="26"/>
      <c r="H127" s="21" t="s">
        <v>87</v>
      </c>
      <c r="I127" s="54" t="s">
        <v>93</v>
      </c>
      <c r="J127" s="54" t="s">
        <v>168</v>
      </c>
      <c r="K127" s="22"/>
      <c r="L127" s="10"/>
      <c r="M127" s="10"/>
      <c r="N127" s="39"/>
      <c r="O127" s="10">
        <v>0.6</v>
      </c>
      <c r="P127" s="40">
        <v>1.35</v>
      </c>
      <c r="Q127" s="40"/>
      <c r="R127" s="40">
        <v>1</v>
      </c>
      <c r="S127" s="39"/>
      <c r="T127" s="40"/>
      <c r="U127" s="40"/>
      <c r="V127" s="40"/>
      <c r="W127" s="40"/>
      <c r="X127" s="40"/>
      <c r="Y127" s="40"/>
      <c r="Z127" s="40"/>
      <c r="AA127" s="40"/>
      <c r="AB127" s="24">
        <f t="shared" si="158"/>
        <v>-0.81</v>
      </c>
      <c r="AC127" s="24" t="str">
        <f t="shared" si="159"/>
        <v/>
      </c>
      <c r="AD127" s="24" t="str">
        <f t="shared" si="160"/>
        <v/>
      </c>
      <c r="AE127" s="24"/>
      <c r="AF127" s="24" t="str">
        <f t="shared" si="161"/>
        <v/>
      </c>
      <c r="AG127" s="31"/>
      <c r="AH127" s="3"/>
    </row>
    <row r="128" spans="1:34" x14ac:dyDescent="0.25">
      <c r="A128" s="15" t="s">
        <v>120</v>
      </c>
      <c r="B128" s="16" t="s">
        <v>87</v>
      </c>
      <c r="C128" s="34"/>
      <c r="D128" s="26" t="s">
        <v>157</v>
      </c>
      <c r="E128" s="26"/>
      <c r="F128" s="26"/>
      <c r="G128" s="26"/>
      <c r="H128" s="21" t="s">
        <v>87</v>
      </c>
      <c r="I128" s="54" t="s">
        <v>93</v>
      </c>
      <c r="J128" s="54" t="s">
        <v>168</v>
      </c>
      <c r="K128" s="22"/>
      <c r="L128" s="10"/>
      <c r="M128" s="10"/>
      <c r="N128" s="39"/>
      <c r="O128" s="10">
        <v>2</v>
      </c>
      <c r="P128" s="40">
        <v>1.35</v>
      </c>
      <c r="Q128" s="40"/>
      <c r="R128" s="40">
        <v>1</v>
      </c>
      <c r="S128" s="39"/>
      <c r="T128" s="40"/>
      <c r="U128" s="40"/>
      <c r="V128" s="40"/>
      <c r="W128" s="40"/>
      <c r="X128" s="40"/>
      <c r="Y128" s="40"/>
      <c r="Z128" s="40"/>
      <c r="AA128" s="40"/>
      <c r="AB128" s="24">
        <f t="shared" si="158"/>
        <v>-2.7</v>
      </c>
      <c r="AC128" s="24" t="str">
        <f t="shared" si="159"/>
        <v/>
      </c>
      <c r="AD128" s="24" t="str">
        <f t="shared" si="160"/>
        <v/>
      </c>
      <c r="AE128" s="24"/>
      <c r="AF128" s="24" t="str">
        <f t="shared" si="161"/>
        <v/>
      </c>
      <c r="AG128" s="31"/>
      <c r="AH128" s="3"/>
    </row>
    <row r="129" spans="1:34" x14ac:dyDescent="0.25">
      <c r="A129" s="15" t="s">
        <v>120</v>
      </c>
      <c r="B129" s="16"/>
      <c r="C129" s="34"/>
      <c r="D129" s="26"/>
      <c r="E129" s="26"/>
      <c r="F129" s="26"/>
      <c r="G129" s="26" t="s">
        <v>274</v>
      </c>
      <c r="H129" s="21" t="s">
        <v>273</v>
      </c>
      <c r="I129" s="54" t="s">
        <v>131</v>
      </c>
      <c r="J129" s="54" t="s">
        <v>117</v>
      </c>
      <c r="K129" s="22">
        <f>40.1+1*2+29.55+1*2</f>
        <v>73.650000000000006</v>
      </c>
      <c r="L129" s="10">
        <f>10.5+0.15-1.7</f>
        <v>8.9500000000000011</v>
      </c>
      <c r="M129" s="10"/>
      <c r="N129" s="39"/>
      <c r="O129" s="10"/>
      <c r="P129" s="40"/>
      <c r="Q129" s="40"/>
      <c r="R129" s="40"/>
      <c r="S129" s="39"/>
      <c r="T129" s="40"/>
      <c r="U129" s="40"/>
      <c r="V129" s="40"/>
      <c r="W129" s="40"/>
      <c r="X129" s="40"/>
      <c r="Y129" s="40"/>
      <c r="Z129" s="40"/>
      <c r="AA129" s="40"/>
      <c r="AB129" s="24">
        <f t="shared" ref="AB129:AB131" si="162">IF(K129*L129+M129-O129*P129*R129-Q129*R129+T129*U129*W129+V129*W129&lt;&gt;0,K129*L129+M129-O129*P129*R129-Q129*R129+T129*U129*W129+V129*W129,"")</f>
        <v>659.16750000000013</v>
      </c>
      <c r="AC129" s="24" t="str">
        <f t="shared" ref="AC129:AC131" si="163">IF(W129*SUM(Y129:AA129)&lt;&gt;0,W129*SUM(Y129:AA129),"")</f>
        <v/>
      </c>
      <c r="AD129" s="24" t="str">
        <f t="shared" ref="AD129:AD131" si="164">IF(W129*X129*SUM(Y129:AA129)&lt;&gt;0,W129*X129*SUM(Y129:AA129),"")</f>
        <v/>
      </c>
      <c r="AE129" s="24"/>
      <c r="AF129" s="24" t="str">
        <f t="shared" ref="AF129:AF131" si="165">IF(W129*X129*(Z129+AA129)&lt;&gt;0,W129*X129*(Z129+AA129),"")</f>
        <v/>
      </c>
      <c r="AG129" s="31"/>
      <c r="AH129" s="3"/>
    </row>
    <row r="130" spans="1:34" x14ac:dyDescent="0.25">
      <c r="A130" s="15"/>
      <c r="B130" s="16"/>
      <c r="C130" s="34"/>
      <c r="D130" s="26"/>
      <c r="E130" s="26"/>
      <c r="F130" s="26"/>
      <c r="G130" s="26"/>
      <c r="H130" s="21"/>
      <c r="I130" s="54"/>
      <c r="J130" s="54"/>
      <c r="K130" s="22"/>
      <c r="L130" s="10"/>
      <c r="M130" s="10"/>
      <c r="N130" s="39"/>
      <c r="O130" s="10"/>
      <c r="P130" s="40"/>
      <c r="Q130" s="40"/>
      <c r="R130" s="40"/>
      <c r="S130" s="39"/>
      <c r="T130" s="40"/>
      <c r="U130" s="40"/>
      <c r="V130" s="40"/>
      <c r="W130" s="40"/>
      <c r="X130" s="40"/>
      <c r="Y130" s="40"/>
      <c r="Z130" s="40"/>
      <c r="AA130" s="40"/>
      <c r="AB130" s="24" t="str">
        <f t="shared" si="162"/>
        <v/>
      </c>
      <c r="AC130" s="24" t="str">
        <f t="shared" si="163"/>
        <v/>
      </c>
      <c r="AD130" s="24" t="str">
        <f t="shared" si="164"/>
        <v/>
      </c>
      <c r="AE130" s="24"/>
      <c r="AF130" s="24" t="str">
        <f t="shared" si="165"/>
        <v/>
      </c>
      <c r="AG130" s="31"/>
      <c r="AH130" s="3"/>
    </row>
    <row r="131" spans="1:34" x14ac:dyDescent="0.25">
      <c r="A131" s="49" t="s">
        <v>123</v>
      </c>
      <c r="B131" s="16"/>
      <c r="C131" s="34"/>
      <c r="D131" s="26"/>
      <c r="E131" s="26"/>
      <c r="F131" s="26"/>
      <c r="G131" s="26"/>
      <c r="H131" s="21"/>
      <c r="I131" s="54"/>
      <c r="J131" s="54"/>
      <c r="K131" s="22"/>
      <c r="L131" s="10"/>
      <c r="M131" s="10"/>
      <c r="N131" s="39"/>
      <c r="O131" s="10"/>
      <c r="P131" s="40"/>
      <c r="Q131" s="40"/>
      <c r="R131" s="40"/>
      <c r="S131" s="39"/>
      <c r="T131" s="40"/>
      <c r="U131" s="40"/>
      <c r="V131" s="40"/>
      <c r="W131" s="40"/>
      <c r="X131" s="40"/>
      <c r="Y131" s="40"/>
      <c r="Z131" s="40"/>
      <c r="AA131" s="40"/>
      <c r="AB131" s="24" t="str">
        <f t="shared" si="162"/>
        <v/>
      </c>
      <c r="AC131" s="24" t="str">
        <f t="shared" si="163"/>
        <v/>
      </c>
      <c r="AD131" s="24" t="str">
        <f t="shared" si="164"/>
        <v/>
      </c>
      <c r="AE131" s="24"/>
      <c r="AF131" s="24" t="str">
        <f t="shared" si="165"/>
        <v/>
      </c>
      <c r="AG131" s="31"/>
      <c r="AH131" s="3"/>
    </row>
    <row r="132" spans="1:34" x14ac:dyDescent="0.25">
      <c r="A132" s="15" t="s">
        <v>124</v>
      </c>
      <c r="B132" s="16" t="s">
        <v>71</v>
      </c>
      <c r="C132" s="34"/>
      <c r="D132" s="26" t="s">
        <v>191</v>
      </c>
      <c r="E132" s="26"/>
      <c r="F132" s="26"/>
      <c r="G132" s="26"/>
      <c r="H132" s="21" t="s">
        <v>197</v>
      </c>
      <c r="I132" s="54" t="s">
        <v>196</v>
      </c>
      <c r="J132" s="54" t="s">
        <v>204</v>
      </c>
      <c r="K132" s="22">
        <f>13.85+0.12</f>
        <v>13.969999999999999</v>
      </c>
      <c r="L132" s="10">
        <f>3.55-2.735</f>
        <v>0.81499999999999995</v>
      </c>
      <c r="M132" s="10"/>
      <c r="N132" s="39"/>
      <c r="O132" s="10"/>
      <c r="P132" s="40"/>
      <c r="Q132" s="40"/>
      <c r="R132" s="40"/>
      <c r="S132" s="39"/>
      <c r="T132" s="40"/>
      <c r="U132" s="40"/>
      <c r="V132" s="40"/>
      <c r="W132" s="40"/>
      <c r="X132" s="40"/>
      <c r="Y132" s="40"/>
      <c r="Z132" s="40"/>
      <c r="AA132" s="40"/>
      <c r="AB132" s="24">
        <f t="shared" ref="AB132:AB149" si="166">IF(K132*L132+M132-O132*P132*R132-Q132*R132+T132*U132*W132+V132*W132&lt;&gt;0,K132*L132+M132-O132*P132*R132-Q132*R132+T132*U132*W132+V132*W132,"")</f>
        <v>11.385549999999999</v>
      </c>
      <c r="AC132" s="24" t="str">
        <f t="shared" ref="AC132:AC149" si="167">IF(W132*SUM(Y132:AA132)&lt;&gt;0,W132*SUM(Y132:AA132),"")</f>
        <v/>
      </c>
      <c r="AD132" s="24" t="str">
        <f t="shared" ref="AD132:AD149" si="168">IF(W132*X132*SUM(Y132:AA132)&lt;&gt;0,W132*X132*SUM(Y132:AA132),"")</f>
        <v/>
      </c>
      <c r="AE132" s="24" t="str">
        <f t="shared" ref="AE132:AE149" si="169">IF(O132*P132*R132+Q132*R132&lt;&gt;0,O132*P132*R132+Q132*R132,"")</f>
        <v/>
      </c>
      <c r="AF132" s="24" t="str">
        <f t="shared" ref="AF132:AF149" si="170">IF(W132*X132*(Z132+AA132)&lt;&gt;0,W132*X132*(Z132+AA132),"")</f>
        <v/>
      </c>
      <c r="AG132" s="31"/>
      <c r="AH132" s="3"/>
    </row>
    <row r="133" spans="1:34" x14ac:dyDescent="0.25">
      <c r="A133" s="15" t="s">
        <v>124</v>
      </c>
      <c r="B133" s="16" t="s">
        <v>71</v>
      </c>
      <c r="C133" s="34"/>
      <c r="D133" s="26" t="s">
        <v>191</v>
      </c>
      <c r="E133" s="26"/>
      <c r="F133" s="26"/>
      <c r="G133" s="26"/>
      <c r="H133" s="21" t="s">
        <v>197</v>
      </c>
      <c r="I133" s="54" t="s">
        <v>193</v>
      </c>
      <c r="J133" s="54" t="s">
        <v>207</v>
      </c>
      <c r="K133" s="22">
        <f>5.15+0.12</f>
        <v>5.2700000000000005</v>
      </c>
      <c r="L133" s="10">
        <f>(3.3+0.14)+0.465</f>
        <v>3.9049999999999998</v>
      </c>
      <c r="M133" s="10"/>
      <c r="N133" s="39"/>
      <c r="O133" s="10"/>
      <c r="P133" s="40"/>
      <c r="Q133" s="40"/>
      <c r="R133" s="40"/>
      <c r="S133" s="39"/>
      <c r="T133" s="40"/>
      <c r="U133" s="40"/>
      <c r="V133" s="40"/>
      <c r="W133" s="40"/>
      <c r="X133" s="40"/>
      <c r="Y133" s="40"/>
      <c r="Z133" s="40"/>
      <c r="AA133" s="40"/>
      <c r="AB133" s="24">
        <f t="shared" si="166"/>
        <v>20.579350000000002</v>
      </c>
      <c r="AC133" s="24" t="str">
        <f t="shared" si="167"/>
        <v/>
      </c>
      <c r="AD133" s="24" t="str">
        <f t="shared" si="168"/>
        <v/>
      </c>
      <c r="AE133" s="24" t="str">
        <f t="shared" si="169"/>
        <v/>
      </c>
      <c r="AF133" s="24" t="str">
        <f t="shared" si="170"/>
        <v/>
      </c>
      <c r="AG133" s="31"/>
      <c r="AH133" s="3"/>
    </row>
    <row r="134" spans="1:34" x14ac:dyDescent="0.25">
      <c r="A134" s="15" t="s">
        <v>124</v>
      </c>
      <c r="B134" s="16" t="s">
        <v>71</v>
      </c>
      <c r="C134" s="34"/>
      <c r="D134" s="26" t="s">
        <v>191</v>
      </c>
      <c r="E134" s="26"/>
      <c r="F134" s="26"/>
      <c r="G134" s="26"/>
      <c r="H134" s="21" t="s">
        <v>197</v>
      </c>
      <c r="I134" s="54" t="s">
        <v>196</v>
      </c>
      <c r="J134" s="54" t="s">
        <v>208</v>
      </c>
      <c r="K134" s="22">
        <f>8.625+0.12</f>
        <v>8.7449999999999992</v>
      </c>
      <c r="L134" s="10">
        <f>(3.05+3.7)/2-2.735</f>
        <v>0.64000000000000012</v>
      </c>
      <c r="M134" s="10"/>
      <c r="N134" s="39"/>
      <c r="O134" s="10"/>
      <c r="P134" s="40"/>
      <c r="Q134" s="40"/>
      <c r="R134" s="40"/>
      <c r="S134" s="39"/>
      <c r="T134" s="40"/>
      <c r="U134" s="40"/>
      <c r="V134" s="40"/>
      <c r="W134" s="40"/>
      <c r="X134" s="40"/>
      <c r="Y134" s="40"/>
      <c r="Z134" s="40"/>
      <c r="AA134" s="40"/>
      <c r="AB134" s="24">
        <f t="shared" si="166"/>
        <v>5.5968000000000009</v>
      </c>
      <c r="AC134" s="24" t="str">
        <f t="shared" si="167"/>
        <v/>
      </c>
      <c r="AD134" s="24" t="str">
        <f t="shared" si="168"/>
        <v/>
      </c>
      <c r="AE134" s="24" t="str">
        <f t="shared" si="169"/>
        <v/>
      </c>
      <c r="AF134" s="24" t="str">
        <f t="shared" si="170"/>
        <v/>
      </c>
      <c r="AG134" s="31"/>
      <c r="AH134" s="3"/>
    </row>
    <row r="135" spans="1:34" x14ac:dyDescent="0.25">
      <c r="A135" s="15" t="s">
        <v>124</v>
      </c>
      <c r="B135" s="16" t="s">
        <v>71</v>
      </c>
      <c r="C135" s="34"/>
      <c r="D135" s="26" t="s">
        <v>191</v>
      </c>
      <c r="E135" s="26"/>
      <c r="F135" s="26"/>
      <c r="G135" s="26"/>
      <c r="H135" s="21" t="s">
        <v>197</v>
      </c>
      <c r="I135" s="54" t="s">
        <v>196</v>
      </c>
      <c r="J135" s="54" t="s">
        <v>209</v>
      </c>
      <c r="K135" s="22">
        <f>19.575-11.475</f>
        <v>8.1</v>
      </c>
      <c r="L135" s="10">
        <f>(2.66+3.05)/2-2.735</f>
        <v>0.12000000000000011</v>
      </c>
      <c r="M135" s="10"/>
      <c r="N135" s="39"/>
      <c r="O135" s="10"/>
      <c r="P135" s="40"/>
      <c r="Q135" s="40"/>
      <c r="R135" s="40"/>
      <c r="S135" s="39"/>
      <c r="T135" s="40"/>
      <c r="U135" s="40"/>
      <c r="V135" s="40"/>
      <c r="W135" s="40"/>
      <c r="X135" s="40"/>
      <c r="Y135" s="40"/>
      <c r="Z135" s="40"/>
      <c r="AA135" s="40"/>
      <c r="AB135" s="24">
        <f t="shared" si="166"/>
        <v>0.97200000000000086</v>
      </c>
      <c r="AC135" s="24" t="str">
        <f t="shared" si="167"/>
        <v/>
      </c>
      <c r="AD135" s="24" t="str">
        <f t="shared" si="168"/>
        <v/>
      </c>
      <c r="AE135" s="24" t="str">
        <f t="shared" si="169"/>
        <v/>
      </c>
      <c r="AF135" s="24" t="str">
        <f t="shared" si="170"/>
        <v/>
      </c>
      <c r="AG135" s="31"/>
      <c r="AH135" s="3"/>
    </row>
    <row r="136" spans="1:34" x14ac:dyDescent="0.25">
      <c r="A136" s="15" t="s">
        <v>124</v>
      </c>
      <c r="B136" s="16" t="s">
        <v>71</v>
      </c>
      <c r="C136" s="34"/>
      <c r="D136" s="26" t="s">
        <v>191</v>
      </c>
      <c r="E136" s="26"/>
      <c r="F136" s="26"/>
      <c r="G136" s="26"/>
      <c r="H136" s="21" t="s">
        <v>197</v>
      </c>
      <c r="I136" s="54" t="s">
        <v>198</v>
      </c>
      <c r="J136" s="54" t="s">
        <v>210</v>
      </c>
      <c r="K136" s="22">
        <f>11.475-0.25</f>
        <v>11.225</v>
      </c>
      <c r="L136" s="10">
        <f>(2.1+2.66)/2-2.235</f>
        <v>0.14500000000000002</v>
      </c>
      <c r="M136" s="10"/>
      <c r="N136" s="39"/>
      <c r="O136" s="10"/>
      <c r="P136" s="40"/>
      <c r="Q136" s="40"/>
      <c r="R136" s="40"/>
      <c r="S136" s="39"/>
      <c r="T136" s="40"/>
      <c r="U136" s="40"/>
      <c r="V136" s="40"/>
      <c r="W136" s="40"/>
      <c r="X136" s="40"/>
      <c r="Y136" s="40"/>
      <c r="Z136" s="40"/>
      <c r="AA136" s="40"/>
      <c r="AB136" s="24">
        <f t="shared" si="166"/>
        <v>1.6276250000000001</v>
      </c>
      <c r="AC136" s="24" t="str">
        <f t="shared" si="167"/>
        <v/>
      </c>
      <c r="AD136" s="24" t="str">
        <f t="shared" si="168"/>
        <v/>
      </c>
      <c r="AE136" s="24" t="str">
        <f t="shared" si="169"/>
        <v/>
      </c>
      <c r="AF136" s="24" t="str">
        <f t="shared" si="170"/>
        <v/>
      </c>
      <c r="AG136" s="31"/>
      <c r="AH136" s="3"/>
    </row>
    <row r="137" spans="1:34" x14ac:dyDescent="0.25">
      <c r="A137" s="15" t="s">
        <v>124</v>
      </c>
      <c r="B137" s="16" t="s">
        <v>71</v>
      </c>
      <c r="C137" s="34"/>
      <c r="D137" s="26" t="s">
        <v>191</v>
      </c>
      <c r="E137" s="26"/>
      <c r="F137" s="26"/>
      <c r="G137" s="26"/>
      <c r="H137" s="21" t="s">
        <v>197</v>
      </c>
      <c r="I137" s="54" t="s">
        <v>193</v>
      </c>
      <c r="J137" s="54" t="s">
        <v>194</v>
      </c>
      <c r="K137" s="22">
        <f>0.25+0.12</f>
        <v>0.37</v>
      </c>
      <c r="L137" s="10">
        <f>2.1+0.465</f>
        <v>2.5649999999999999</v>
      </c>
      <c r="M137" s="10"/>
      <c r="N137" s="39"/>
      <c r="O137" s="10"/>
      <c r="P137" s="40"/>
      <c r="Q137" s="40"/>
      <c r="R137" s="40"/>
      <c r="S137" s="39"/>
      <c r="T137" s="40"/>
      <c r="U137" s="40"/>
      <c r="V137" s="40"/>
      <c r="W137" s="40"/>
      <c r="X137" s="40"/>
      <c r="Y137" s="40"/>
      <c r="Z137" s="40"/>
      <c r="AA137" s="40"/>
      <c r="AB137" s="24">
        <f t="shared" si="166"/>
        <v>0.94904999999999995</v>
      </c>
      <c r="AC137" s="24" t="str">
        <f t="shared" si="167"/>
        <v/>
      </c>
      <c r="AD137" s="24" t="str">
        <f t="shared" si="168"/>
        <v/>
      </c>
      <c r="AE137" s="24" t="str">
        <f t="shared" si="169"/>
        <v/>
      </c>
      <c r="AF137" s="24" t="str">
        <f t="shared" si="170"/>
        <v/>
      </c>
      <c r="AG137" s="31"/>
      <c r="AH137" s="3"/>
    </row>
    <row r="138" spans="1:34" x14ac:dyDescent="0.25">
      <c r="A138" s="15" t="s">
        <v>124</v>
      </c>
      <c r="B138" s="16" t="s">
        <v>71</v>
      </c>
      <c r="C138" s="34"/>
      <c r="D138" s="26" t="s">
        <v>201</v>
      </c>
      <c r="E138" s="26"/>
      <c r="F138" s="26"/>
      <c r="G138" s="26"/>
      <c r="H138" s="21" t="s">
        <v>197</v>
      </c>
      <c r="I138" s="54" t="s">
        <v>193</v>
      </c>
      <c r="J138" s="54" t="s">
        <v>203</v>
      </c>
      <c r="K138" s="22">
        <f>5.2+0.9+22.25</f>
        <v>28.35</v>
      </c>
      <c r="L138" s="10">
        <f>3.235+0.465</f>
        <v>3.6999999999999997</v>
      </c>
      <c r="M138" s="10"/>
      <c r="N138" s="39"/>
      <c r="O138" s="10"/>
      <c r="P138" s="40"/>
      <c r="Q138" s="40"/>
      <c r="R138" s="40"/>
      <c r="S138" s="39"/>
      <c r="T138" s="40"/>
      <c r="U138" s="40"/>
      <c r="V138" s="40"/>
      <c r="W138" s="40"/>
      <c r="X138" s="40"/>
      <c r="Y138" s="40"/>
      <c r="Z138" s="40"/>
      <c r="AA138" s="40"/>
      <c r="AB138" s="24">
        <f t="shared" si="166"/>
        <v>104.895</v>
      </c>
      <c r="AC138" s="24" t="str">
        <f t="shared" si="167"/>
        <v/>
      </c>
      <c r="AD138" s="24" t="str">
        <f t="shared" si="168"/>
        <v/>
      </c>
      <c r="AE138" s="24" t="str">
        <f t="shared" si="169"/>
        <v/>
      </c>
      <c r="AF138" s="24" t="str">
        <f t="shared" si="170"/>
        <v/>
      </c>
      <c r="AG138" s="31" t="s">
        <v>218</v>
      </c>
      <c r="AH138" s="3"/>
    </row>
    <row r="139" spans="1:34" x14ac:dyDescent="0.25">
      <c r="A139" s="15" t="s">
        <v>124</v>
      </c>
      <c r="B139" s="16" t="s">
        <v>71</v>
      </c>
      <c r="C139" s="34"/>
      <c r="D139" s="26" t="s">
        <v>201</v>
      </c>
      <c r="E139" s="26"/>
      <c r="F139" s="26"/>
      <c r="G139" s="26"/>
      <c r="H139" s="21" t="s">
        <v>197</v>
      </c>
      <c r="I139" s="54" t="s">
        <v>193</v>
      </c>
      <c r="J139" s="54" t="s">
        <v>196</v>
      </c>
      <c r="K139" s="22">
        <f>0.4+0.12</f>
        <v>0.52</v>
      </c>
      <c r="L139" s="10">
        <f>2.735+0.465</f>
        <v>3.1999999999999997</v>
      </c>
      <c r="M139" s="10"/>
      <c r="N139" s="39"/>
      <c r="O139" s="10"/>
      <c r="P139" s="40"/>
      <c r="Q139" s="40"/>
      <c r="R139" s="40"/>
      <c r="S139" s="39"/>
      <c r="T139" s="40"/>
      <c r="U139" s="40"/>
      <c r="V139" s="40"/>
      <c r="W139" s="40"/>
      <c r="X139" s="40"/>
      <c r="Y139" s="40"/>
      <c r="Z139" s="40"/>
      <c r="AA139" s="40"/>
      <c r="AB139" s="24">
        <f t="shared" ref="AB139:AB140" si="171">IF(K139*L139+M139-O139*P139*R139-Q139*R139+T139*U139*W139+V139*W139&lt;&gt;0,K139*L139+M139-O139*P139*R139-Q139*R139+T139*U139*W139+V139*W139,"")</f>
        <v>1.6639999999999999</v>
      </c>
      <c r="AC139" s="24" t="str">
        <f t="shared" ref="AC139:AC140" si="172">IF(W139*SUM(Y139:AA139)&lt;&gt;0,W139*SUM(Y139:AA139),"")</f>
        <v/>
      </c>
      <c r="AD139" s="24" t="str">
        <f t="shared" ref="AD139:AD140" si="173">IF(W139*X139*SUM(Y139:AA139)&lt;&gt;0,W139*X139*SUM(Y139:AA139),"")</f>
        <v/>
      </c>
      <c r="AE139" s="24" t="str">
        <f t="shared" ref="AE139:AE140" si="174">IF(O139*P139*R139+Q139*R139&lt;&gt;0,O139*P139*R139+Q139*R139,"")</f>
        <v/>
      </c>
      <c r="AF139" s="24" t="str">
        <f t="shared" ref="AF139:AF140" si="175">IF(W139*X139*(Z139+AA139)&lt;&gt;0,W139*X139*(Z139+AA139),"")</f>
        <v/>
      </c>
      <c r="AG139" s="31" t="s">
        <v>218</v>
      </c>
      <c r="AH139" s="3"/>
    </row>
    <row r="140" spans="1:34" x14ac:dyDescent="0.25">
      <c r="A140" s="15" t="s">
        <v>124</v>
      </c>
      <c r="B140" s="16" t="s">
        <v>71</v>
      </c>
      <c r="C140" s="34"/>
      <c r="D140" s="26" t="s">
        <v>221</v>
      </c>
      <c r="E140" s="26"/>
      <c r="F140" s="26"/>
      <c r="G140" s="26"/>
      <c r="H140" s="21" t="s">
        <v>197</v>
      </c>
      <c r="I140" s="54" t="s">
        <v>198</v>
      </c>
      <c r="J140" s="54" t="s">
        <v>203</v>
      </c>
      <c r="K140" s="22">
        <v>11.225</v>
      </c>
      <c r="L140" s="10">
        <f>3.235-2.235</f>
        <v>1</v>
      </c>
      <c r="M140" s="10"/>
      <c r="N140" s="39"/>
      <c r="O140" s="10"/>
      <c r="P140" s="40"/>
      <c r="Q140" s="40"/>
      <c r="R140" s="40"/>
      <c r="S140" s="39"/>
      <c r="T140" s="40"/>
      <c r="U140" s="40"/>
      <c r="V140" s="40"/>
      <c r="W140" s="40"/>
      <c r="X140" s="40"/>
      <c r="Y140" s="40"/>
      <c r="Z140" s="40"/>
      <c r="AA140" s="40"/>
      <c r="AB140" s="24">
        <f t="shared" si="171"/>
        <v>11.225</v>
      </c>
      <c r="AC140" s="24" t="str">
        <f t="shared" si="172"/>
        <v/>
      </c>
      <c r="AD140" s="24" t="str">
        <f t="shared" si="173"/>
        <v/>
      </c>
      <c r="AE140" s="24" t="str">
        <f t="shared" si="174"/>
        <v/>
      </c>
      <c r="AF140" s="24" t="str">
        <f t="shared" si="175"/>
        <v/>
      </c>
      <c r="AG140" s="31" t="s">
        <v>219</v>
      </c>
      <c r="AH140" s="3"/>
    </row>
    <row r="141" spans="1:34" x14ac:dyDescent="0.25">
      <c r="A141" s="15" t="s">
        <v>124</v>
      </c>
      <c r="B141" s="16" t="s">
        <v>71</v>
      </c>
      <c r="C141" s="34"/>
      <c r="D141" s="26" t="s">
        <v>221</v>
      </c>
      <c r="E141" s="26"/>
      <c r="F141" s="26"/>
      <c r="G141" s="26"/>
      <c r="H141" s="21" t="s">
        <v>197</v>
      </c>
      <c r="I141" s="54" t="s">
        <v>196</v>
      </c>
      <c r="J141" s="54" t="s">
        <v>203</v>
      </c>
      <c r="K141" s="22">
        <f>16.325+10.75</f>
        <v>27.074999999999999</v>
      </c>
      <c r="L141" s="10">
        <f>3.235-2.735</f>
        <v>0.5</v>
      </c>
      <c r="M141" s="10"/>
      <c r="N141" s="39"/>
      <c r="O141" s="10"/>
      <c r="P141" s="40"/>
      <c r="Q141" s="40"/>
      <c r="R141" s="40"/>
      <c r="S141" s="39"/>
      <c r="T141" s="40"/>
      <c r="U141" s="40"/>
      <c r="V141" s="40"/>
      <c r="W141" s="40"/>
      <c r="X141" s="40"/>
      <c r="Y141" s="40"/>
      <c r="Z141" s="40"/>
      <c r="AA141" s="40"/>
      <c r="AB141" s="24">
        <f t="shared" ref="AB141" si="176">IF(K141*L141+M141-O141*P141*R141-Q141*R141+T141*U141*W141+V141*W141&lt;&gt;0,K141*L141+M141-O141*P141*R141-Q141*R141+T141*U141*W141+V141*W141,"")</f>
        <v>13.5375</v>
      </c>
      <c r="AC141" s="24" t="str">
        <f t="shared" ref="AC141" si="177">IF(W141*SUM(Y141:AA141)&lt;&gt;0,W141*SUM(Y141:AA141),"")</f>
        <v/>
      </c>
      <c r="AD141" s="24" t="str">
        <f t="shared" ref="AD141" si="178">IF(W141*X141*SUM(Y141:AA141)&lt;&gt;0,W141*X141*SUM(Y141:AA141),"")</f>
        <v/>
      </c>
      <c r="AE141" s="24" t="str">
        <f t="shared" ref="AE141" si="179">IF(O141*P141*R141+Q141*R141&lt;&gt;0,O141*P141*R141+Q141*R141,"")</f>
        <v/>
      </c>
      <c r="AF141" s="24" t="str">
        <f t="shared" ref="AF141" si="180">IF(W141*X141*(Z141+AA141)&lt;&gt;0,W141*X141*(Z141+AA141),"")</f>
        <v/>
      </c>
      <c r="AG141" s="31" t="s">
        <v>219</v>
      </c>
      <c r="AH141" s="3"/>
    </row>
    <row r="142" spans="1:34" x14ac:dyDescent="0.25">
      <c r="A142" s="15" t="s">
        <v>124</v>
      </c>
      <c r="B142" s="16" t="s">
        <v>71</v>
      </c>
      <c r="C142" s="34"/>
      <c r="D142" s="26" t="s">
        <v>221</v>
      </c>
      <c r="E142" s="26"/>
      <c r="F142" s="26"/>
      <c r="G142" s="26"/>
      <c r="H142" s="21" t="s">
        <v>197</v>
      </c>
      <c r="I142" s="54" t="s">
        <v>226</v>
      </c>
      <c r="J142" s="54" t="s">
        <v>193</v>
      </c>
      <c r="K142" s="22">
        <f>1.33*2+1.53*2</f>
        <v>5.7200000000000006</v>
      </c>
      <c r="L142" s="10">
        <f>1.665-0.465</f>
        <v>1.2</v>
      </c>
      <c r="M142" s="10"/>
      <c r="N142" s="39"/>
      <c r="O142" s="10"/>
      <c r="P142" s="40"/>
      <c r="Q142" s="40"/>
      <c r="R142" s="40"/>
      <c r="S142" s="39"/>
      <c r="T142" s="40"/>
      <c r="U142" s="40"/>
      <c r="V142" s="40"/>
      <c r="W142" s="40"/>
      <c r="X142" s="40"/>
      <c r="Y142" s="40"/>
      <c r="Z142" s="40"/>
      <c r="AA142" s="40"/>
      <c r="AB142" s="24">
        <f t="shared" ref="AB142:AB143" si="181">IF(K142*L142+M142-O142*P142*R142-Q142*R142+T142*U142*W142+V142*W142&lt;&gt;0,K142*L142+M142-O142*P142*R142-Q142*R142+T142*U142*W142+V142*W142,"")</f>
        <v>6.8640000000000008</v>
      </c>
      <c r="AC142" s="24" t="str">
        <f t="shared" ref="AC142:AC143" si="182">IF(W142*SUM(Y142:AA142)&lt;&gt;0,W142*SUM(Y142:AA142),"")</f>
        <v/>
      </c>
      <c r="AD142" s="24" t="str">
        <f t="shared" ref="AD142:AD143" si="183">IF(W142*X142*SUM(Y142:AA142)&lt;&gt;0,W142*X142*SUM(Y142:AA142),"")</f>
        <v/>
      </c>
      <c r="AE142" s="24" t="str">
        <f t="shared" ref="AE142:AE143" si="184">IF(O142*P142*R142+Q142*R142&lt;&gt;0,O142*P142*R142+Q142*R142,"")</f>
        <v/>
      </c>
      <c r="AF142" s="24" t="str">
        <f t="shared" ref="AF142:AF143" si="185">IF(W142*X142*(Z142+AA142)&lt;&gt;0,W142*X142*(Z142+AA142),"")</f>
        <v/>
      </c>
      <c r="AG142" s="31" t="s">
        <v>224</v>
      </c>
      <c r="AH142" s="3"/>
    </row>
    <row r="143" spans="1:34" x14ac:dyDescent="0.25">
      <c r="A143" s="15" t="s">
        <v>124</v>
      </c>
      <c r="B143" s="16" t="s">
        <v>71</v>
      </c>
      <c r="C143" s="34"/>
      <c r="D143" s="26" t="s">
        <v>221</v>
      </c>
      <c r="E143" s="26"/>
      <c r="F143" s="26"/>
      <c r="G143" s="26"/>
      <c r="H143" s="21" t="s">
        <v>197</v>
      </c>
      <c r="I143" s="54" t="s">
        <v>227</v>
      </c>
      <c r="J143" s="54" t="s">
        <v>193</v>
      </c>
      <c r="K143" s="22">
        <f>4.93*2+3.58*2</f>
        <v>17.02</v>
      </c>
      <c r="L143" s="10">
        <f>1.515-0.465</f>
        <v>1.0499999999999998</v>
      </c>
      <c r="M143" s="10"/>
      <c r="N143" s="39"/>
      <c r="O143" s="10"/>
      <c r="P143" s="40"/>
      <c r="Q143" s="40"/>
      <c r="R143" s="40"/>
      <c r="S143" s="39"/>
      <c r="T143" s="40"/>
      <c r="U143" s="40"/>
      <c r="V143" s="40"/>
      <c r="W143" s="40"/>
      <c r="X143" s="40"/>
      <c r="Y143" s="40"/>
      <c r="Z143" s="40"/>
      <c r="AA143" s="40"/>
      <c r="AB143" s="24">
        <f t="shared" si="181"/>
        <v>17.870999999999995</v>
      </c>
      <c r="AC143" s="24" t="str">
        <f t="shared" si="182"/>
        <v/>
      </c>
      <c r="AD143" s="24" t="str">
        <f t="shared" si="183"/>
        <v/>
      </c>
      <c r="AE143" s="24" t="str">
        <f t="shared" si="184"/>
        <v/>
      </c>
      <c r="AF143" s="24" t="str">
        <f t="shared" si="185"/>
        <v/>
      </c>
      <c r="AG143" s="31" t="s">
        <v>225</v>
      </c>
      <c r="AH143" s="3"/>
    </row>
    <row r="144" spans="1:34" x14ac:dyDescent="0.25">
      <c r="A144" s="15" t="s">
        <v>124</v>
      </c>
      <c r="B144" s="16" t="s">
        <v>71</v>
      </c>
      <c r="C144" s="34"/>
      <c r="D144" s="26" t="s">
        <v>228</v>
      </c>
      <c r="E144" s="26"/>
      <c r="F144" s="26"/>
      <c r="G144" s="26"/>
      <c r="H144" s="21" t="s">
        <v>231</v>
      </c>
      <c r="I144" s="54" t="s">
        <v>226</v>
      </c>
      <c r="J144" s="54" t="s">
        <v>192</v>
      </c>
      <c r="K144" s="22">
        <f>1.33*2+1.9*2</f>
        <v>6.46</v>
      </c>
      <c r="L144" s="10">
        <f>1.665-0.565</f>
        <v>1.1000000000000001</v>
      </c>
      <c r="M144" s="10"/>
      <c r="N144" s="39"/>
      <c r="O144" s="10"/>
      <c r="P144" s="40"/>
      <c r="Q144" s="40"/>
      <c r="R144" s="40"/>
      <c r="S144" s="39"/>
      <c r="T144" s="40"/>
      <c r="U144" s="40"/>
      <c r="V144" s="40"/>
      <c r="W144" s="40"/>
      <c r="X144" s="40"/>
      <c r="Y144" s="40"/>
      <c r="Z144" s="40"/>
      <c r="AA144" s="40"/>
      <c r="AB144" s="24">
        <f t="shared" ref="AB144:AB148" si="186">IF(K144*L144+M144-O144*P144*R144-Q144*R144+T144*U144*W144+V144*W144&lt;&gt;0,K144*L144+M144-O144*P144*R144-Q144*R144+T144*U144*W144+V144*W144,"")</f>
        <v>7.1060000000000008</v>
      </c>
      <c r="AC144" s="24" t="str">
        <f t="shared" ref="AC144:AC148" si="187">IF(W144*SUM(Y144:AA144)&lt;&gt;0,W144*SUM(Y144:AA144),"")</f>
        <v/>
      </c>
      <c r="AD144" s="24" t="str">
        <f t="shared" ref="AD144:AD148" si="188">IF(W144*X144*SUM(Y144:AA144)&lt;&gt;0,W144*X144*SUM(Y144:AA144),"")</f>
        <v/>
      </c>
      <c r="AE144" s="24" t="str">
        <f t="shared" ref="AE144:AE148" si="189">IF(O144*P144*R144+Q144*R144&lt;&gt;0,O144*P144*R144+Q144*R144,"")</f>
        <v/>
      </c>
      <c r="AF144" s="24" t="str">
        <f t="shared" ref="AF144:AF148" si="190">IF(W144*X144*(Z144+AA144)&lt;&gt;0,W144*X144*(Z144+AA144),"")</f>
        <v/>
      </c>
      <c r="AG144" s="31" t="s">
        <v>224</v>
      </c>
      <c r="AH144" s="3"/>
    </row>
    <row r="145" spans="1:34" x14ac:dyDescent="0.25">
      <c r="A145" s="15" t="s">
        <v>124</v>
      </c>
      <c r="B145" s="16" t="s">
        <v>71</v>
      </c>
      <c r="C145" s="34"/>
      <c r="D145" s="26" t="s">
        <v>228</v>
      </c>
      <c r="E145" s="26"/>
      <c r="F145" s="26"/>
      <c r="G145" s="26"/>
      <c r="H145" s="21" t="s">
        <v>231</v>
      </c>
      <c r="I145" s="54" t="s">
        <v>227</v>
      </c>
      <c r="J145" s="54" t="s">
        <v>192</v>
      </c>
      <c r="K145" s="22">
        <f>4.93*2+3.58*2+0.15*4</f>
        <v>17.62</v>
      </c>
      <c r="L145" s="10">
        <f>1.515-0.565</f>
        <v>0.95</v>
      </c>
      <c r="M145" s="10"/>
      <c r="N145" s="39"/>
      <c r="O145" s="10"/>
      <c r="P145" s="40"/>
      <c r="Q145" s="40"/>
      <c r="R145" s="40"/>
      <c r="S145" s="39"/>
      <c r="T145" s="40"/>
      <c r="U145" s="40"/>
      <c r="V145" s="40"/>
      <c r="W145" s="40"/>
      <c r="X145" s="40"/>
      <c r="Y145" s="40"/>
      <c r="Z145" s="40"/>
      <c r="AA145" s="40"/>
      <c r="AB145" s="24">
        <f t="shared" si="186"/>
        <v>16.739000000000001</v>
      </c>
      <c r="AC145" s="24" t="str">
        <f t="shared" si="187"/>
        <v/>
      </c>
      <c r="AD145" s="24" t="str">
        <f t="shared" si="188"/>
        <v/>
      </c>
      <c r="AE145" s="24" t="str">
        <f t="shared" si="189"/>
        <v/>
      </c>
      <c r="AF145" s="24" t="str">
        <f t="shared" si="190"/>
        <v/>
      </c>
      <c r="AG145" s="31" t="s">
        <v>225</v>
      </c>
      <c r="AH145" s="3"/>
    </row>
    <row r="146" spans="1:34" x14ac:dyDescent="0.25">
      <c r="A146" s="15" t="s">
        <v>124</v>
      </c>
      <c r="B146" s="16" t="s">
        <v>71</v>
      </c>
      <c r="C146" s="34"/>
      <c r="D146" s="26" t="s">
        <v>228</v>
      </c>
      <c r="E146" s="26"/>
      <c r="F146" s="26"/>
      <c r="G146" s="26"/>
      <c r="H146" s="21" t="s">
        <v>231</v>
      </c>
      <c r="I146" s="54" t="s">
        <v>198</v>
      </c>
      <c r="J146" s="54" t="s">
        <v>233</v>
      </c>
      <c r="K146" s="22">
        <v>11.225</v>
      </c>
      <c r="L146" s="10">
        <f>3.135-2.235</f>
        <v>0.89999999999999991</v>
      </c>
      <c r="M146" s="10"/>
      <c r="N146" s="39"/>
      <c r="O146" s="10"/>
      <c r="P146" s="40"/>
      <c r="Q146" s="40"/>
      <c r="R146" s="40"/>
      <c r="S146" s="39"/>
      <c r="T146" s="40"/>
      <c r="U146" s="40"/>
      <c r="V146" s="40"/>
      <c r="W146" s="40"/>
      <c r="X146" s="40"/>
      <c r="Y146" s="40"/>
      <c r="Z146" s="40"/>
      <c r="AA146" s="40"/>
      <c r="AB146" s="24">
        <f t="shared" si="186"/>
        <v>10.102499999999999</v>
      </c>
      <c r="AC146" s="24" t="str">
        <f t="shared" si="187"/>
        <v/>
      </c>
      <c r="AD146" s="24" t="str">
        <f t="shared" si="188"/>
        <v/>
      </c>
      <c r="AE146" s="24" t="str">
        <f t="shared" si="189"/>
        <v/>
      </c>
      <c r="AF146" s="24" t="str">
        <f t="shared" si="190"/>
        <v/>
      </c>
      <c r="AG146" s="31" t="s">
        <v>232</v>
      </c>
      <c r="AH146" s="3"/>
    </row>
    <row r="147" spans="1:34" x14ac:dyDescent="0.25">
      <c r="A147" s="15" t="s">
        <v>124</v>
      </c>
      <c r="B147" s="16" t="s">
        <v>71</v>
      </c>
      <c r="C147" s="34"/>
      <c r="D147" s="26" t="s">
        <v>228</v>
      </c>
      <c r="E147" s="26"/>
      <c r="F147" s="26"/>
      <c r="G147" s="26"/>
      <c r="H147" s="21" t="s">
        <v>231</v>
      </c>
      <c r="I147" s="54" t="s">
        <v>196</v>
      </c>
      <c r="J147" s="54" t="s">
        <v>233</v>
      </c>
      <c r="K147" s="22">
        <f>16.325+10.75</f>
        <v>27.074999999999999</v>
      </c>
      <c r="L147" s="10">
        <f>3.135-2.735</f>
        <v>0.39999999999999991</v>
      </c>
      <c r="M147" s="10"/>
      <c r="N147" s="39"/>
      <c r="O147" s="10"/>
      <c r="P147" s="40"/>
      <c r="Q147" s="40"/>
      <c r="R147" s="40"/>
      <c r="S147" s="39"/>
      <c r="T147" s="40"/>
      <c r="U147" s="40"/>
      <c r="V147" s="40"/>
      <c r="W147" s="40"/>
      <c r="X147" s="40"/>
      <c r="Y147" s="40"/>
      <c r="Z147" s="40"/>
      <c r="AA147" s="40"/>
      <c r="AB147" s="24">
        <f t="shared" si="186"/>
        <v>10.829999999999997</v>
      </c>
      <c r="AC147" s="24" t="str">
        <f t="shared" si="187"/>
        <v/>
      </c>
      <c r="AD147" s="24" t="str">
        <f t="shared" si="188"/>
        <v/>
      </c>
      <c r="AE147" s="24" t="str">
        <f t="shared" si="189"/>
        <v/>
      </c>
      <c r="AF147" s="24" t="str">
        <f t="shared" si="190"/>
        <v/>
      </c>
      <c r="AG147" s="31" t="s">
        <v>232</v>
      </c>
      <c r="AH147" s="3"/>
    </row>
    <row r="148" spans="1:34" x14ac:dyDescent="0.25">
      <c r="A148" s="15" t="s">
        <v>124</v>
      </c>
      <c r="B148" s="16" t="s">
        <v>71</v>
      </c>
      <c r="C148" s="34"/>
      <c r="D148" s="26" t="s">
        <v>79</v>
      </c>
      <c r="E148" s="26"/>
      <c r="F148" s="26"/>
      <c r="G148" s="26"/>
      <c r="H148" s="21" t="s">
        <v>97</v>
      </c>
      <c r="I148" s="54" t="s">
        <v>93</v>
      </c>
      <c r="J148" s="54" t="s">
        <v>94</v>
      </c>
      <c r="K148" s="22">
        <v>19.774999999999999</v>
      </c>
      <c r="L148" s="10">
        <f>1.05/2</f>
        <v>0.52500000000000002</v>
      </c>
      <c r="M148" s="10"/>
      <c r="N148" s="39"/>
      <c r="O148" s="10"/>
      <c r="P148" s="40"/>
      <c r="Q148" s="40"/>
      <c r="R148" s="40"/>
      <c r="S148" s="39"/>
      <c r="T148" s="40"/>
      <c r="U148" s="40"/>
      <c r="V148" s="40"/>
      <c r="W148" s="40"/>
      <c r="X148" s="40"/>
      <c r="Y148" s="40"/>
      <c r="Z148" s="40"/>
      <c r="AA148" s="40"/>
      <c r="AB148" s="24">
        <f t="shared" si="186"/>
        <v>10.381874999999999</v>
      </c>
      <c r="AC148" s="24" t="str">
        <f t="shared" si="187"/>
        <v/>
      </c>
      <c r="AD148" s="24" t="str">
        <f t="shared" si="188"/>
        <v/>
      </c>
      <c r="AE148" s="24" t="str">
        <f t="shared" si="189"/>
        <v/>
      </c>
      <c r="AF148" s="24" t="str">
        <f t="shared" si="190"/>
        <v/>
      </c>
      <c r="AG148" s="31"/>
      <c r="AH148" s="3"/>
    </row>
    <row r="149" spans="1:34" x14ac:dyDescent="0.25">
      <c r="A149" s="15" t="s">
        <v>124</v>
      </c>
      <c r="B149" s="16" t="s">
        <v>71</v>
      </c>
      <c r="C149" s="34"/>
      <c r="D149" s="26" t="s">
        <v>79</v>
      </c>
      <c r="E149" s="26"/>
      <c r="F149" s="26"/>
      <c r="G149" s="26"/>
      <c r="H149" s="21"/>
      <c r="I149" s="54" t="s">
        <v>93</v>
      </c>
      <c r="J149" s="54" t="s">
        <v>95</v>
      </c>
      <c r="K149" s="22"/>
      <c r="L149" s="10"/>
      <c r="M149" s="10">
        <v>2.87</v>
      </c>
      <c r="N149" s="39"/>
      <c r="O149" s="10"/>
      <c r="P149" s="40"/>
      <c r="Q149" s="40"/>
      <c r="R149" s="40"/>
      <c r="S149" s="39"/>
      <c r="T149" s="40"/>
      <c r="U149" s="40"/>
      <c r="V149" s="40"/>
      <c r="W149" s="40"/>
      <c r="X149" s="40"/>
      <c r="Y149" s="40"/>
      <c r="Z149" s="40"/>
      <c r="AA149" s="40"/>
      <c r="AB149" s="24">
        <f t="shared" si="166"/>
        <v>2.87</v>
      </c>
      <c r="AC149" s="24" t="str">
        <f t="shared" si="167"/>
        <v/>
      </c>
      <c r="AD149" s="24" t="str">
        <f t="shared" si="168"/>
        <v/>
      </c>
      <c r="AE149" s="24" t="str">
        <f t="shared" si="169"/>
        <v/>
      </c>
      <c r="AF149" s="24" t="str">
        <f t="shared" si="170"/>
        <v/>
      </c>
      <c r="AG149" s="31"/>
      <c r="AH149" s="3"/>
    </row>
    <row r="150" spans="1:34" x14ac:dyDescent="0.25">
      <c r="A150" s="15" t="s">
        <v>124</v>
      </c>
      <c r="B150" s="16" t="s">
        <v>87</v>
      </c>
      <c r="C150" s="34"/>
      <c r="D150" s="26" t="s">
        <v>88</v>
      </c>
      <c r="E150" s="26"/>
      <c r="F150" s="26"/>
      <c r="G150" s="26"/>
      <c r="H150" s="21" t="s">
        <v>107</v>
      </c>
      <c r="I150" s="54" t="s">
        <v>98</v>
      </c>
      <c r="J150" s="54" t="s">
        <v>96</v>
      </c>
      <c r="K150" s="22">
        <v>19.774999999999999</v>
      </c>
      <c r="L150" s="10">
        <f>(3.45+0.26+0.3)-(3.45+0.05)</f>
        <v>0.50999999999999979</v>
      </c>
      <c r="M150" s="10"/>
      <c r="N150" s="39"/>
      <c r="O150" s="10">
        <v>2.04</v>
      </c>
      <c r="P150" s="40">
        <f>0.3-0.045</f>
        <v>0.255</v>
      </c>
      <c r="Q150" s="40"/>
      <c r="R150" s="40">
        <v>4</v>
      </c>
      <c r="S150" s="39"/>
      <c r="T150" s="40"/>
      <c r="U150" s="40"/>
      <c r="V150" s="40"/>
      <c r="W150" s="40"/>
      <c r="X150" s="40"/>
      <c r="Y150" s="40"/>
      <c r="Z150" s="40"/>
      <c r="AA150" s="40"/>
      <c r="AB150" s="24">
        <f t="shared" si="146"/>
        <v>8.004449999999995</v>
      </c>
      <c r="AC150" s="24" t="str">
        <f t="shared" si="147"/>
        <v/>
      </c>
      <c r="AD150" s="24" t="str">
        <f t="shared" si="148"/>
        <v/>
      </c>
      <c r="AE150" s="24">
        <f t="shared" si="149"/>
        <v>2.0808</v>
      </c>
      <c r="AF150" s="24" t="str">
        <f t="shared" si="150"/>
        <v/>
      </c>
      <c r="AG150" s="31"/>
      <c r="AH150" s="3"/>
    </row>
    <row r="151" spans="1:34" x14ac:dyDescent="0.25">
      <c r="A151" s="15" t="s">
        <v>124</v>
      </c>
      <c r="B151" s="16" t="s">
        <v>87</v>
      </c>
      <c r="C151" s="34"/>
      <c r="D151" s="26" t="s">
        <v>88</v>
      </c>
      <c r="E151" s="26"/>
      <c r="F151" s="26"/>
      <c r="G151" s="26"/>
      <c r="H151" s="21"/>
      <c r="I151" s="54"/>
      <c r="J151" s="54"/>
      <c r="K151" s="22"/>
      <c r="L151" s="10"/>
      <c r="M151" s="10"/>
      <c r="N151" s="39"/>
      <c r="O151" s="10">
        <v>0.54</v>
      </c>
      <c r="P151" s="40">
        <v>0.26</v>
      </c>
      <c r="Q151" s="40"/>
      <c r="R151" s="40">
        <v>1</v>
      </c>
      <c r="S151" s="39"/>
      <c r="T151" s="40"/>
      <c r="U151" s="40"/>
      <c r="V151" s="40"/>
      <c r="W151" s="40"/>
      <c r="X151" s="40"/>
      <c r="Y151" s="40"/>
      <c r="Z151" s="40"/>
      <c r="AA151" s="40"/>
      <c r="AB151" s="24">
        <f t="shared" ref="AB151:AB153" si="191">IF(K151*L151+M151-O151*P151*R151-Q151*R151+T151*U151*W151+V151*W151&lt;&gt;0,K151*L151+M151-O151*P151*R151-Q151*R151+T151*U151*W151+V151*W151,"")</f>
        <v>-0.14040000000000002</v>
      </c>
      <c r="AC151" s="24" t="str">
        <f t="shared" ref="AC151:AC153" si="192">IF(W151*SUM(Y151:AA151)&lt;&gt;0,W151*SUM(Y151:AA151),"")</f>
        <v/>
      </c>
      <c r="AD151" s="24" t="str">
        <f t="shared" ref="AD151:AD153" si="193">IF(W151*X151*SUM(Y151:AA151)&lt;&gt;0,W151*X151*SUM(Y151:AA151),"")</f>
        <v/>
      </c>
      <c r="AE151" s="24">
        <f t="shared" ref="AE151:AE153" si="194">IF(O151*P151*R151+Q151*R151&lt;&gt;0,O151*P151*R151+Q151*R151,"")</f>
        <v>0.14040000000000002</v>
      </c>
      <c r="AF151" s="24" t="str">
        <f t="shared" ref="AF151:AF153" si="195">IF(W151*X151*(Z151+AA151)&lt;&gt;0,W151*X151*(Z151+AA151),"")</f>
        <v/>
      </c>
      <c r="AG151" s="31"/>
      <c r="AH151" s="3"/>
    </row>
    <row r="152" spans="1:34" x14ac:dyDescent="0.25">
      <c r="A152" s="15" t="s">
        <v>124</v>
      </c>
      <c r="B152" s="16" t="s">
        <v>87</v>
      </c>
      <c r="C152" s="34"/>
      <c r="D152" s="26" t="s">
        <v>88</v>
      </c>
      <c r="E152" s="26"/>
      <c r="F152" s="26"/>
      <c r="G152" s="26"/>
      <c r="H152" s="21" t="s">
        <v>100</v>
      </c>
      <c r="I152" s="54" t="s">
        <v>95</v>
      </c>
      <c r="J152" s="54" t="s">
        <v>96</v>
      </c>
      <c r="K152" s="22">
        <v>8.8249999999999993</v>
      </c>
      <c r="L152" s="10">
        <f>4.01-3.7</f>
        <v>0.30999999999999961</v>
      </c>
      <c r="M152" s="10"/>
      <c r="N152" s="39"/>
      <c r="O152" s="10">
        <v>2.04</v>
      </c>
      <c r="P152" s="40">
        <f t="shared" ref="P152" si="196">0.3-0.045</f>
        <v>0.255</v>
      </c>
      <c r="Q152" s="40"/>
      <c r="R152" s="40">
        <v>2</v>
      </c>
      <c r="S152" s="39"/>
      <c r="T152" s="40"/>
      <c r="U152" s="40"/>
      <c r="V152" s="40"/>
      <c r="W152" s="40"/>
      <c r="X152" s="40"/>
      <c r="Y152" s="40"/>
      <c r="Z152" s="40"/>
      <c r="AA152" s="40"/>
      <c r="AB152" s="24">
        <f t="shared" si="191"/>
        <v>1.6953499999999964</v>
      </c>
      <c r="AC152" s="24" t="str">
        <f t="shared" si="192"/>
        <v/>
      </c>
      <c r="AD152" s="24" t="str">
        <f t="shared" si="193"/>
        <v/>
      </c>
      <c r="AE152" s="24">
        <f t="shared" si="194"/>
        <v>1.0404</v>
      </c>
      <c r="AF152" s="24" t="str">
        <f t="shared" si="195"/>
        <v/>
      </c>
      <c r="AG152" s="31"/>
      <c r="AH152" s="3"/>
    </row>
    <row r="153" spans="1:34" x14ac:dyDescent="0.25">
      <c r="A153" s="15" t="s">
        <v>124</v>
      </c>
      <c r="B153" s="16" t="s">
        <v>87</v>
      </c>
      <c r="C153" s="34"/>
      <c r="D153" s="26" t="s">
        <v>72</v>
      </c>
      <c r="E153" s="26"/>
      <c r="F153" s="26"/>
      <c r="G153" s="26"/>
      <c r="H153" s="21" t="s">
        <v>102</v>
      </c>
      <c r="I153" s="54" t="s">
        <v>96</v>
      </c>
      <c r="J153" s="54" t="s">
        <v>101</v>
      </c>
      <c r="K153" s="22">
        <v>28.6</v>
      </c>
      <c r="L153" s="10">
        <f>6.2-4.01</f>
        <v>2.1900000000000004</v>
      </c>
      <c r="M153" s="10"/>
      <c r="N153" s="39"/>
      <c r="O153" s="10">
        <v>2.04</v>
      </c>
      <c r="P153" s="40">
        <v>2.19</v>
      </c>
      <c r="Q153" s="40"/>
      <c r="R153" s="40">
        <v>6</v>
      </c>
      <c r="S153" s="39"/>
      <c r="T153" s="40"/>
      <c r="U153" s="40"/>
      <c r="V153" s="40"/>
      <c r="W153" s="40"/>
      <c r="X153" s="40"/>
      <c r="Y153" s="40"/>
      <c r="Z153" s="40"/>
      <c r="AA153" s="40"/>
      <c r="AB153" s="24">
        <f t="shared" si="191"/>
        <v>35.828400000000016</v>
      </c>
      <c r="AC153" s="24" t="str">
        <f t="shared" si="192"/>
        <v/>
      </c>
      <c r="AD153" s="24" t="str">
        <f t="shared" si="193"/>
        <v/>
      </c>
      <c r="AE153" s="24">
        <f t="shared" si="194"/>
        <v>26.805599999999998</v>
      </c>
      <c r="AF153" s="24" t="str">
        <f t="shared" si="195"/>
        <v/>
      </c>
      <c r="AG153" s="31"/>
      <c r="AH153" s="3"/>
    </row>
    <row r="154" spans="1:34" x14ac:dyDescent="0.25">
      <c r="A154" s="15" t="s">
        <v>124</v>
      </c>
      <c r="B154" s="16" t="s">
        <v>87</v>
      </c>
      <c r="C154" s="34"/>
      <c r="D154" s="26" t="s">
        <v>72</v>
      </c>
      <c r="E154" s="26"/>
      <c r="F154" s="26"/>
      <c r="G154" s="26"/>
      <c r="H154" s="21"/>
      <c r="I154" s="54"/>
      <c r="J154" s="54"/>
      <c r="K154" s="22"/>
      <c r="L154" s="10"/>
      <c r="M154" s="10"/>
      <c r="N154" s="39"/>
      <c r="O154" s="10">
        <v>0.54</v>
      </c>
      <c r="P154" s="40">
        <v>2.19</v>
      </c>
      <c r="Q154" s="40"/>
      <c r="R154" s="40">
        <v>1</v>
      </c>
      <c r="S154" s="39"/>
      <c r="T154" s="40"/>
      <c r="U154" s="40"/>
      <c r="V154" s="40"/>
      <c r="W154" s="40"/>
      <c r="X154" s="40"/>
      <c r="Y154" s="40"/>
      <c r="Z154" s="40"/>
      <c r="AA154" s="40"/>
      <c r="AB154" s="24">
        <f t="shared" ref="AB154" si="197">IF(K154*L154+M154-O154*P154*R154-Q154*R154+T154*U154*W154+V154*W154&lt;&gt;0,K154*L154+M154-O154*P154*R154-Q154*R154+T154*U154*W154+V154*W154,"")</f>
        <v>-1.1826000000000001</v>
      </c>
      <c r="AC154" s="24" t="str">
        <f t="shared" ref="AC154" si="198">IF(W154*SUM(Y154:AA154)&lt;&gt;0,W154*SUM(Y154:AA154),"")</f>
        <v/>
      </c>
      <c r="AD154" s="24" t="str">
        <f t="shared" ref="AD154" si="199">IF(W154*X154*SUM(Y154:AA154)&lt;&gt;0,W154*X154*SUM(Y154:AA154),"")</f>
        <v/>
      </c>
      <c r="AE154" s="24">
        <f t="shared" ref="AE154" si="200">IF(O154*P154*R154+Q154*R154&lt;&gt;0,O154*P154*R154+Q154*R154,"")</f>
        <v>1.1826000000000001</v>
      </c>
      <c r="AF154" s="24" t="str">
        <f t="shared" ref="AF154" si="201">IF(W154*X154*(Z154+AA154)&lt;&gt;0,W154*X154*(Z154+AA154),"")</f>
        <v/>
      </c>
      <c r="AG154" s="31"/>
      <c r="AH154" s="3"/>
    </row>
    <row r="155" spans="1:34" x14ac:dyDescent="0.25">
      <c r="A155" s="15" t="s">
        <v>124</v>
      </c>
      <c r="B155" s="16" t="s">
        <v>87</v>
      </c>
      <c r="C155" s="34"/>
      <c r="D155" s="26" t="s">
        <v>79</v>
      </c>
      <c r="E155" s="26"/>
      <c r="F155" s="26"/>
      <c r="G155" s="26"/>
      <c r="H155" s="21" t="s">
        <v>99</v>
      </c>
      <c r="I155" s="54" t="s">
        <v>93</v>
      </c>
      <c r="J155" s="54" t="s">
        <v>95</v>
      </c>
      <c r="K155" s="22">
        <v>10.6</v>
      </c>
      <c r="L155" s="10">
        <v>0.15</v>
      </c>
      <c r="M155" s="10"/>
      <c r="N155" s="39"/>
      <c r="O155" s="10"/>
      <c r="P155" s="40"/>
      <c r="Q155" s="40"/>
      <c r="R155" s="40"/>
      <c r="S155" s="39"/>
      <c r="T155" s="40"/>
      <c r="U155" s="40"/>
      <c r="V155" s="40"/>
      <c r="W155" s="40"/>
      <c r="X155" s="40"/>
      <c r="Y155" s="40"/>
      <c r="Z155" s="40"/>
      <c r="AA155" s="40"/>
      <c r="AB155" s="24">
        <f t="shared" si="134"/>
        <v>1.5899999999999999</v>
      </c>
      <c r="AC155" s="24" t="str">
        <f t="shared" si="135"/>
        <v/>
      </c>
      <c r="AD155" s="24" t="str">
        <f t="shared" si="136"/>
        <v/>
      </c>
      <c r="AE155" s="24" t="str">
        <f t="shared" si="137"/>
        <v/>
      </c>
      <c r="AF155" s="24" t="str">
        <f t="shared" si="138"/>
        <v/>
      </c>
      <c r="AG155" s="31"/>
      <c r="AH155" s="3"/>
    </row>
    <row r="156" spans="1:34" x14ac:dyDescent="0.25">
      <c r="A156" s="15" t="s">
        <v>124</v>
      </c>
      <c r="B156" s="16" t="s">
        <v>87</v>
      </c>
      <c r="C156" s="34"/>
      <c r="D156" s="26" t="s">
        <v>88</v>
      </c>
      <c r="E156" s="26"/>
      <c r="F156" s="26"/>
      <c r="G156" s="26"/>
      <c r="H156" s="21" t="s">
        <v>100</v>
      </c>
      <c r="I156" s="54" t="s">
        <v>95</v>
      </c>
      <c r="J156" s="54" t="s">
        <v>121</v>
      </c>
      <c r="K156" s="22">
        <v>10.6</v>
      </c>
      <c r="L156" s="10">
        <f>3.85-3.7</f>
        <v>0.14999999999999991</v>
      </c>
      <c r="M156" s="10"/>
      <c r="N156" s="39"/>
      <c r="O156" s="10">
        <v>2.04</v>
      </c>
      <c r="P156" s="40">
        <f>0.15-0.05</f>
        <v>9.9999999999999992E-2</v>
      </c>
      <c r="Q156" s="40"/>
      <c r="R156" s="40">
        <v>2</v>
      </c>
      <c r="S156" s="39"/>
      <c r="T156" s="40"/>
      <c r="U156" s="40"/>
      <c r="V156" s="40"/>
      <c r="W156" s="40"/>
      <c r="X156" s="40"/>
      <c r="Y156" s="40"/>
      <c r="Z156" s="40"/>
      <c r="AA156" s="40"/>
      <c r="AB156" s="24">
        <f t="shared" si="134"/>
        <v>1.1819999999999991</v>
      </c>
      <c r="AC156" s="24" t="str">
        <f t="shared" si="135"/>
        <v/>
      </c>
      <c r="AD156" s="24" t="str">
        <f t="shared" si="136"/>
        <v/>
      </c>
      <c r="AE156" s="24">
        <f t="shared" si="137"/>
        <v>0.40799999999999997</v>
      </c>
      <c r="AF156" s="24" t="str">
        <f t="shared" si="138"/>
        <v/>
      </c>
      <c r="AG156" s="31"/>
      <c r="AH156" s="3"/>
    </row>
    <row r="157" spans="1:34" x14ac:dyDescent="0.25">
      <c r="A157" s="15" t="s">
        <v>124</v>
      </c>
      <c r="B157" s="16" t="s">
        <v>87</v>
      </c>
      <c r="C157" s="34"/>
      <c r="D157" s="26" t="s">
        <v>88</v>
      </c>
      <c r="E157" s="26"/>
      <c r="F157" s="26"/>
      <c r="G157" s="26"/>
      <c r="H157" s="21" t="s">
        <v>103</v>
      </c>
      <c r="I157" s="54" t="s">
        <v>133</v>
      </c>
      <c r="J157" s="54" t="s">
        <v>121</v>
      </c>
      <c r="K157" s="22">
        <f>4.35*2</f>
        <v>8.6999999999999993</v>
      </c>
      <c r="L157" s="10">
        <f>3.85-3.52</f>
        <v>0.33000000000000007</v>
      </c>
      <c r="M157" s="10"/>
      <c r="N157" s="39"/>
      <c r="O157" s="10">
        <v>2</v>
      </c>
      <c r="P157" s="40">
        <v>0.33</v>
      </c>
      <c r="Q157" s="40"/>
      <c r="R157" s="40">
        <v>1</v>
      </c>
      <c r="S157" s="39"/>
      <c r="T157" s="40"/>
      <c r="U157" s="40"/>
      <c r="V157" s="40"/>
      <c r="W157" s="40"/>
      <c r="X157" s="40"/>
      <c r="Y157" s="40"/>
      <c r="Z157" s="40"/>
      <c r="AA157" s="40"/>
      <c r="AB157" s="24">
        <f t="shared" si="134"/>
        <v>2.2110000000000003</v>
      </c>
      <c r="AC157" s="24" t="str">
        <f t="shared" si="135"/>
        <v/>
      </c>
      <c r="AD157" s="24" t="str">
        <f t="shared" si="136"/>
        <v/>
      </c>
      <c r="AE157" s="24">
        <f t="shared" si="137"/>
        <v>0.66</v>
      </c>
      <c r="AF157" s="24" t="str">
        <f t="shared" si="138"/>
        <v/>
      </c>
      <c r="AG157" s="31"/>
      <c r="AH157" s="3"/>
    </row>
    <row r="158" spans="1:34" x14ac:dyDescent="0.25">
      <c r="A158" s="15" t="s">
        <v>124</v>
      </c>
      <c r="B158" s="16" t="s">
        <v>87</v>
      </c>
      <c r="C158" s="34"/>
      <c r="D158" s="26" t="s">
        <v>72</v>
      </c>
      <c r="E158" s="26"/>
      <c r="F158" s="26"/>
      <c r="G158" s="26"/>
      <c r="H158" s="21" t="s">
        <v>102</v>
      </c>
      <c r="I158" s="54" t="s">
        <v>121</v>
      </c>
      <c r="J158" s="54" t="s">
        <v>101</v>
      </c>
      <c r="K158" s="22">
        <v>10.6</v>
      </c>
      <c r="L158" s="10">
        <f>6.2-3.85</f>
        <v>2.35</v>
      </c>
      <c r="M158" s="10"/>
      <c r="N158" s="39"/>
      <c r="O158" s="10">
        <v>2.04</v>
      </c>
      <c r="P158" s="40">
        <v>2.35</v>
      </c>
      <c r="Q158" s="40"/>
      <c r="R158" s="40">
        <v>2</v>
      </c>
      <c r="S158" s="39"/>
      <c r="T158" s="40"/>
      <c r="U158" s="40"/>
      <c r="V158" s="40"/>
      <c r="W158" s="40"/>
      <c r="X158" s="40"/>
      <c r="Y158" s="40"/>
      <c r="Z158" s="40"/>
      <c r="AA158" s="40"/>
      <c r="AB158" s="24">
        <f t="shared" si="134"/>
        <v>15.321999999999999</v>
      </c>
      <c r="AC158" s="24" t="str">
        <f t="shared" si="135"/>
        <v/>
      </c>
      <c r="AD158" s="24" t="str">
        <f t="shared" si="136"/>
        <v/>
      </c>
      <c r="AE158" s="24">
        <f t="shared" si="137"/>
        <v>9.588000000000001</v>
      </c>
      <c r="AF158" s="24" t="str">
        <f t="shared" si="138"/>
        <v/>
      </c>
      <c r="AG158" s="31"/>
      <c r="AH158" s="3"/>
    </row>
    <row r="159" spans="1:34" x14ac:dyDescent="0.25">
      <c r="A159" s="15" t="s">
        <v>124</v>
      </c>
      <c r="B159" s="16" t="s">
        <v>87</v>
      </c>
      <c r="C159" s="34"/>
      <c r="D159" s="26" t="s">
        <v>72</v>
      </c>
      <c r="E159" s="26"/>
      <c r="F159" s="26"/>
      <c r="G159" s="26"/>
      <c r="H159" s="21" t="s">
        <v>105</v>
      </c>
      <c r="I159" s="54" t="s">
        <v>121</v>
      </c>
      <c r="J159" s="54" t="s">
        <v>101</v>
      </c>
      <c r="K159" s="22">
        <f>4.35*2</f>
        <v>8.6999999999999993</v>
      </c>
      <c r="L159" s="10">
        <f>6.2-3.85</f>
        <v>2.35</v>
      </c>
      <c r="M159" s="10"/>
      <c r="N159" s="39"/>
      <c r="O159" s="10">
        <v>2</v>
      </c>
      <c r="P159" s="40">
        <v>2.35</v>
      </c>
      <c r="Q159" s="40"/>
      <c r="R159" s="40">
        <v>1</v>
      </c>
      <c r="S159" s="39"/>
      <c r="T159" s="40"/>
      <c r="U159" s="40"/>
      <c r="V159" s="40"/>
      <c r="W159" s="40"/>
      <c r="X159" s="40"/>
      <c r="Y159" s="40"/>
      <c r="Z159" s="40"/>
      <c r="AA159" s="40"/>
      <c r="AB159" s="24">
        <f t="shared" si="134"/>
        <v>15.745000000000001</v>
      </c>
      <c r="AC159" s="24" t="str">
        <f t="shared" si="135"/>
        <v/>
      </c>
      <c r="AD159" s="24" t="str">
        <f t="shared" si="136"/>
        <v/>
      </c>
      <c r="AE159" s="24">
        <f t="shared" si="137"/>
        <v>4.7</v>
      </c>
      <c r="AF159" s="24" t="str">
        <f t="shared" si="138"/>
        <v/>
      </c>
      <c r="AG159" s="31"/>
      <c r="AH159" s="3"/>
    </row>
    <row r="160" spans="1:34" x14ac:dyDescent="0.25">
      <c r="A160" s="15" t="s">
        <v>124</v>
      </c>
      <c r="B160" s="16" t="s">
        <v>106</v>
      </c>
      <c r="C160" s="34"/>
      <c r="D160" s="26" t="s">
        <v>88</v>
      </c>
      <c r="E160" s="26"/>
      <c r="F160" s="26"/>
      <c r="G160" s="26"/>
      <c r="H160" s="21" t="s">
        <v>108</v>
      </c>
      <c r="I160" s="54" t="s">
        <v>113</v>
      </c>
      <c r="J160" s="54" t="s">
        <v>112</v>
      </c>
      <c r="K160" s="22">
        <f>10.6+28.6</f>
        <v>39.200000000000003</v>
      </c>
      <c r="L160" s="10">
        <f>(6.55+0.26+0.3)-(6.55+0.05)</f>
        <v>0.50999999999999979</v>
      </c>
      <c r="M160" s="10"/>
      <c r="N160" s="39"/>
      <c r="O160" s="10">
        <v>2.04</v>
      </c>
      <c r="P160" s="40">
        <f t="shared" ref="P160" si="202">0.3-0.045</f>
        <v>0.255</v>
      </c>
      <c r="Q160" s="40"/>
      <c r="R160" s="40">
        <v>8</v>
      </c>
      <c r="S160" s="39"/>
      <c r="T160" s="40"/>
      <c r="U160" s="40"/>
      <c r="V160" s="40"/>
      <c r="W160" s="40"/>
      <c r="X160" s="40"/>
      <c r="Y160" s="40"/>
      <c r="Z160" s="40"/>
      <c r="AA160" s="40"/>
      <c r="AB160" s="24">
        <f t="shared" si="134"/>
        <v>15.830399999999994</v>
      </c>
      <c r="AC160" s="24" t="str">
        <f t="shared" si="135"/>
        <v/>
      </c>
      <c r="AD160" s="24" t="str">
        <f t="shared" si="136"/>
        <v/>
      </c>
      <c r="AE160" s="24">
        <f t="shared" si="137"/>
        <v>4.1616</v>
      </c>
      <c r="AF160" s="24" t="str">
        <f t="shared" si="138"/>
        <v/>
      </c>
      <c r="AG160" s="31"/>
      <c r="AH160" s="3"/>
    </row>
    <row r="161" spans="1:34" x14ac:dyDescent="0.25">
      <c r="A161" s="15" t="s">
        <v>124</v>
      </c>
      <c r="B161" s="16" t="s">
        <v>106</v>
      </c>
      <c r="C161" s="34"/>
      <c r="D161" s="26" t="s">
        <v>88</v>
      </c>
      <c r="E161" s="26"/>
      <c r="F161" s="26"/>
      <c r="G161" s="26"/>
      <c r="H161" s="21"/>
      <c r="I161" s="54"/>
      <c r="J161" s="54"/>
      <c r="K161" s="22"/>
      <c r="L161" s="10"/>
      <c r="M161" s="10"/>
      <c r="N161" s="39"/>
      <c r="O161" s="10">
        <v>0.54</v>
      </c>
      <c r="P161" s="40">
        <v>0.26</v>
      </c>
      <c r="Q161" s="40"/>
      <c r="R161" s="40">
        <v>1</v>
      </c>
      <c r="S161" s="39"/>
      <c r="T161" s="40"/>
      <c r="U161" s="40"/>
      <c r="V161" s="40"/>
      <c r="W161" s="40"/>
      <c r="X161" s="40"/>
      <c r="Y161" s="40"/>
      <c r="Z161" s="40"/>
      <c r="AA161" s="40"/>
      <c r="AB161" s="24">
        <f t="shared" ref="AB161" si="203">IF(K161*L161+M161-O161*P161*R161-Q161*R161+T161*U161*W161+V161*W161&lt;&gt;0,K161*L161+M161-O161*P161*R161-Q161*R161+T161*U161*W161+V161*W161,"")</f>
        <v>-0.14040000000000002</v>
      </c>
      <c r="AC161" s="24" t="str">
        <f t="shared" ref="AC161" si="204">IF(W161*SUM(Y161:AA161)&lt;&gt;0,W161*SUM(Y161:AA161),"")</f>
        <v/>
      </c>
      <c r="AD161" s="24" t="str">
        <f t="shared" ref="AD161" si="205">IF(W161*X161*SUM(Y161:AA161)&lt;&gt;0,W161*X161*SUM(Y161:AA161),"")</f>
        <v/>
      </c>
      <c r="AE161" s="24">
        <f t="shared" ref="AE161" si="206">IF(O161*P161*R161+Q161*R161&lt;&gt;0,O161*P161*R161+Q161*R161,"")</f>
        <v>0.14040000000000002</v>
      </c>
      <c r="AF161" s="24" t="str">
        <f t="shared" ref="AF161" si="207">IF(W161*X161*(Z161+AA161)&lt;&gt;0,W161*X161*(Z161+AA161),"")</f>
        <v/>
      </c>
      <c r="AG161" s="31"/>
      <c r="AH161" s="3"/>
    </row>
    <row r="162" spans="1:34" x14ac:dyDescent="0.25">
      <c r="A162" s="15" t="s">
        <v>124</v>
      </c>
      <c r="B162" s="16" t="s">
        <v>106</v>
      </c>
      <c r="C162" s="34"/>
      <c r="D162" s="26" t="s">
        <v>88</v>
      </c>
      <c r="E162" s="26"/>
      <c r="F162" s="26"/>
      <c r="G162" s="26"/>
      <c r="H162" s="21" t="s">
        <v>109</v>
      </c>
      <c r="I162" s="54" t="s">
        <v>114</v>
      </c>
      <c r="J162" s="54" t="s">
        <v>112</v>
      </c>
      <c r="K162" s="22">
        <f>4.35*2</f>
        <v>8.6999999999999993</v>
      </c>
      <c r="L162" s="10">
        <f>7.11-6.7</f>
        <v>0.41000000000000014</v>
      </c>
      <c r="M162" s="10"/>
      <c r="N162" s="39"/>
      <c r="O162" s="10">
        <v>2</v>
      </c>
      <c r="P162" s="10">
        <f>0.41-0.05</f>
        <v>0.36</v>
      </c>
      <c r="Q162" s="40"/>
      <c r="R162" s="40">
        <v>1</v>
      </c>
      <c r="S162" s="39"/>
      <c r="T162" s="40"/>
      <c r="U162" s="40"/>
      <c r="V162" s="40"/>
      <c r="W162" s="40"/>
      <c r="X162" s="40"/>
      <c r="Y162" s="40"/>
      <c r="Z162" s="40"/>
      <c r="AA162" s="40"/>
      <c r="AB162" s="24">
        <f t="shared" si="134"/>
        <v>2.8470000000000013</v>
      </c>
      <c r="AC162" s="24" t="str">
        <f t="shared" si="135"/>
        <v/>
      </c>
      <c r="AD162" s="24" t="str">
        <f t="shared" si="136"/>
        <v/>
      </c>
      <c r="AE162" s="24">
        <f t="shared" si="137"/>
        <v>0.72</v>
      </c>
      <c r="AF162" s="24" t="str">
        <f t="shared" si="138"/>
        <v/>
      </c>
      <c r="AG162" s="31"/>
      <c r="AH162" s="3"/>
    </row>
    <row r="163" spans="1:34" x14ac:dyDescent="0.25">
      <c r="A163" s="15" t="s">
        <v>124</v>
      </c>
      <c r="B163" s="16" t="s">
        <v>106</v>
      </c>
      <c r="C163" s="34"/>
      <c r="D163" s="26" t="s">
        <v>72</v>
      </c>
      <c r="E163" s="26"/>
      <c r="F163" s="26"/>
      <c r="G163" s="26"/>
      <c r="H163" s="21" t="s">
        <v>110</v>
      </c>
      <c r="I163" s="54" t="s">
        <v>112</v>
      </c>
      <c r="J163" s="54" t="s">
        <v>115</v>
      </c>
      <c r="K163" s="22">
        <f>10.6+28.6</f>
        <v>39.200000000000003</v>
      </c>
      <c r="L163" s="10">
        <f>9.3-7.11</f>
        <v>2.1900000000000004</v>
      </c>
      <c r="M163" s="10"/>
      <c r="N163" s="39"/>
      <c r="O163" s="10">
        <v>2.04</v>
      </c>
      <c r="P163" s="40">
        <v>2.19</v>
      </c>
      <c r="Q163" s="40"/>
      <c r="R163" s="40">
        <v>8</v>
      </c>
      <c r="S163" s="39"/>
      <c r="T163" s="40"/>
      <c r="U163" s="40"/>
      <c r="V163" s="40"/>
      <c r="W163" s="40"/>
      <c r="X163" s="40"/>
      <c r="Y163" s="40"/>
      <c r="Z163" s="40"/>
      <c r="AA163" s="40"/>
      <c r="AB163" s="24">
        <f t="shared" si="134"/>
        <v>50.107200000000027</v>
      </c>
      <c r="AC163" s="24" t="str">
        <f t="shared" si="135"/>
        <v/>
      </c>
      <c r="AD163" s="24" t="str">
        <f t="shared" si="136"/>
        <v/>
      </c>
      <c r="AE163" s="24">
        <f t="shared" si="137"/>
        <v>35.7408</v>
      </c>
      <c r="AF163" s="24" t="str">
        <f t="shared" si="138"/>
        <v/>
      </c>
      <c r="AG163" s="31"/>
      <c r="AH163" s="3"/>
    </row>
    <row r="164" spans="1:34" x14ac:dyDescent="0.25">
      <c r="A164" s="15" t="s">
        <v>124</v>
      </c>
      <c r="B164" s="16" t="s">
        <v>106</v>
      </c>
      <c r="C164" s="34"/>
      <c r="D164" s="26" t="s">
        <v>72</v>
      </c>
      <c r="E164" s="26"/>
      <c r="F164" s="26"/>
      <c r="G164" s="26"/>
      <c r="H164" s="21"/>
      <c r="I164" s="54"/>
      <c r="J164" s="54"/>
      <c r="K164" s="22"/>
      <c r="L164" s="10"/>
      <c r="M164" s="10"/>
      <c r="N164" s="39"/>
      <c r="O164" s="10">
        <v>0.54</v>
      </c>
      <c r="P164" s="40">
        <v>2.19</v>
      </c>
      <c r="Q164" s="40"/>
      <c r="R164" s="40">
        <v>1</v>
      </c>
      <c r="S164" s="39"/>
      <c r="T164" s="40"/>
      <c r="U164" s="40"/>
      <c r="V164" s="40"/>
      <c r="W164" s="40"/>
      <c r="X164" s="40"/>
      <c r="Y164" s="40"/>
      <c r="Z164" s="40"/>
      <c r="AA164" s="40"/>
      <c r="AB164" s="24">
        <f t="shared" ref="AB164" si="208">IF(K164*L164+M164-O164*P164*R164-Q164*R164+T164*U164*W164+V164*W164&lt;&gt;0,K164*L164+M164-O164*P164*R164-Q164*R164+T164*U164*W164+V164*W164,"")</f>
        <v>-1.1826000000000001</v>
      </c>
      <c r="AC164" s="24" t="str">
        <f t="shared" ref="AC164" si="209">IF(W164*SUM(Y164:AA164)&lt;&gt;0,W164*SUM(Y164:AA164),"")</f>
        <v/>
      </c>
      <c r="AD164" s="24" t="str">
        <f t="shared" ref="AD164" si="210">IF(W164*X164*SUM(Y164:AA164)&lt;&gt;0,W164*X164*SUM(Y164:AA164),"")</f>
        <v/>
      </c>
      <c r="AE164" s="24">
        <f t="shared" ref="AE164" si="211">IF(O164*P164*R164+Q164*R164&lt;&gt;0,O164*P164*R164+Q164*R164,"")</f>
        <v>1.1826000000000001</v>
      </c>
      <c r="AF164" s="24" t="str">
        <f t="shared" ref="AF164" si="212">IF(W164*X164*(Z164+AA164)&lt;&gt;0,W164*X164*(Z164+AA164),"")</f>
        <v/>
      </c>
      <c r="AG164" s="31"/>
      <c r="AH164" s="3"/>
    </row>
    <row r="165" spans="1:34" x14ac:dyDescent="0.25">
      <c r="A165" s="15" t="s">
        <v>124</v>
      </c>
      <c r="B165" s="16" t="s">
        <v>106</v>
      </c>
      <c r="C165" s="34"/>
      <c r="D165" s="26" t="s">
        <v>72</v>
      </c>
      <c r="E165" s="26"/>
      <c r="F165" s="26"/>
      <c r="G165" s="26"/>
      <c r="H165" s="21" t="s">
        <v>111</v>
      </c>
      <c r="I165" s="54" t="s">
        <v>112</v>
      </c>
      <c r="J165" s="54" t="s">
        <v>115</v>
      </c>
      <c r="K165" s="22">
        <f>4.35*2</f>
        <v>8.6999999999999993</v>
      </c>
      <c r="L165" s="10">
        <f>9.3-7.11</f>
        <v>2.1900000000000004</v>
      </c>
      <c r="M165" s="10"/>
      <c r="N165" s="39"/>
      <c r="O165" s="10">
        <v>2</v>
      </c>
      <c r="P165" s="40">
        <v>2.19</v>
      </c>
      <c r="Q165" s="40"/>
      <c r="R165" s="40">
        <v>1</v>
      </c>
      <c r="S165" s="39"/>
      <c r="T165" s="40"/>
      <c r="U165" s="40"/>
      <c r="V165" s="40"/>
      <c r="W165" s="40"/>
      <c r="X165" s="40"/>
      <c r="Y165" s="40"/>
      <c r="Z165" s="40"/>
      <c r="AA165" s="40"/>
      <c r="AB165" s="24">
        <f t="shared" si="134"/>
        <v>14.673000000000002</v>
      </c>
      <c r="AC165" s="24" t="str">
        <f t="shared" si="135"/>
        <v/>
      </c>
      <c r="AD165" s="24" t="str">
        <f t="shared" si="136"/>
        <v/>
      </c>
      <c r="AE165" s="24">
        <f t="shared" si="137"/>
        <v>4.38</v>
      </c>
      <c r="AF165" s="24" t="str">
        <f t="shared" si="138"/>
        <v/>
      </c>
      <c r="AG165" s="31"/>
      <c r="AH165" s="3"/>
    </row>
    <row r="166" spans="1:34" x14ac:dyDescent="0.25">
      <c r="A166" s="15" t="s">
        <v>124</v>
      </c>
      <c r="B166" s="16" t="s">
        <v>106</v>
      </c>
      <c r="C166" s="34"/>
      <c r="D166" s="26" t="s">
        <v>79</v>
      </c>
      <c r="E166" s="26"/>
      <c r="F166" s="26"/>
      <c r="G166" s="26"/>
      <c r="H166" s="21" t="s">
        <v>116</v>
      </c>
      <c r="I166" s="54" t="s">
        <v>118</v>
      </c>
      <c r="J166" s="54" t="s">
        <v>117</v>
      </c>
      <c r="K166" s="22">
        <f>19+28.6</f>
        <v>47.6</v>
      </c>
      <c r="L166" s="10">
        <f>10.5-9.7</f>
        <v>0.80000000000000071</v>
      </c>
      <c r="M166" s="10"/>
      <c r="N166" s="39"/>
      <c r="O166" s="10"/>
      <c r="P166" s="40"/>
      <c r="Q166" s="40"/>
      <c r="R166" s="40"/>
      <c r="S166" s="39"/>
      <c r="T166" s="40"/>
      <c r="U166" s="40"/>
      <c r="V166" s="40"/>
      <c r="W166" s="40"/>
      <c r="X166" s="40"/>
      <c r="Y166" s="40"/>
      <c r="Z166" s="40"/>
      <c r="AA166" s="40"/>
      <c r="AB166" s="24">
        <f t="shared" si="134"/>
        <v>38.080000000000034</v>
      </c>
      <c r="AC166" s="24" t="str">
        <f t="shared" si="135"/>
        <v/>
      </c>
      <c r="AD166" s="24" t="str">
        <f t="shared" si="136"/>
        <v/>
      </c>
      <c r="AE166" s="24" t="str">
        <f t="shared" si="137"/>
        <v/>
      </c>
      <c r="AF166" s="24" t="str">
        <f t="shared" si="138"/>
        <v/>
      </c>
      <c r="AG166" s="31"/>
      <c r="AH166" s="3"/>
    </row>
    <row r="167" spans="1:34" x14ac:dyDescent="0.25">
      <c r="A167" s="15" t="s">
        <v>124</v>
      </c>
      <c r="B167" s="16" t="s">
        <v>87</v>
      </c>
      <c r="C167" s="34"/>
      <c r="D167" s="26" t="s">
        <v>139</v>
      </c>
      <c r="E167" s="26"/>
      <c r="F167" s="26"/>
      <c r="G167" s="26"/>
      <c r="H167" s="21" t="s">
        <v>145</v>
      </c>
      <c r="I167" s="54"/>
      <c r="J167" s="54"/>
      <c r="K167" s="22">
        <f>19.775+0.4</f>
        <v>20.174999999999997</v>
      </c>
      <c r="L167" s="10">
        <f>0.45+0.36</f>
        <v>0.81</v>
      </c>
      <c r="M167" s="10"/>
      <c r="N167" s="39"/>
      <c r="O167" s="10"/>
      <c r="P167" s="40"/>
      <c r="Q167" s="40"/>
      <c r="R167" s="40"/>
      <c r="S167" s="39"/>
      <c r="T167" s="40"/>
      <c r="U167" s="40"/>
      <c r="V167" s="40"/>
      <c r="W167" s="40"/>
      <c r="X167" s="40"/>
      <c r="Y167" s="40"/>
      <c r="Z167" s="40"/>
      <c r="AA167" s="40"/>
      <c r="AB167" s="24">
        <f t="shared" ref="AB167:AB175" si="213">IF(K167*L167+M167-O167*P167*R167-Q167*R167+T167*U167*W167+V167*W167&lt;&gt;0,K167*L167+M167-O167*P167*R167-Q167*R167+T167*U167*W167+V167*W167,"")</f>
        <v>16.341749999999998</v>
      </c>
      <c r="AC167" s="24" t="str">
        <f t="shared" ref="AC167:AC175" si="214">IF(W167*SUM(Y167:AA167)&lt;&gt;0,W167*SUM(Y167:AA167),"")</f>
        <v/>
      </c>
      <c r="AD167" s="24" t="str">
        <f t="shared" ref="AD167:AD175" si="215">IF(W167*X167*SUM(Y167:AA167)&lt;&gt;0,W167*X167*SUM(Y167:AA167),"")</f>
        <v/>
      </c>
      <c r="AE167" s="24" t="str">
        <f t="shared" ref="AE167:AE175" si="216">IF(O167*P167*R167+Q167*R167&lt;&gt;0,O167*P167*R167+Q167*R167,"")</f>
        <v/>
      </c>
      <c r="AF167" s="24" t="str">
        <f t="shared" ref="AF167:AF175" si="217">IF(W167*X167*(Z167+AA167)&lt;&gt;0,W167*X167*(Z167+AA167),"")</f>
        <v/>
      </c>
      <c r="AG167" s="31"/>
      <c r="AH167" s="3"/>
    </row>
    <row r="168" spans="1:34" x14ac:dyDescent="0.25">
      <c r="A168" s="15" t="s">
        <v>124</v>
      </c>
      <c r="B168" s="16" t="s">
        <v>106</v>
      </c>
      <c r="C168" s="34"/>
      <c r="D168" s="26" t="s">
        <v>139</v>
      </c>
      <c r="E168" s="26"/>
      <c r="F168" s="26"/>
      <c r="G168" s="26"/>
      <c r="H168" s="21"/>
      <c r="I168" s="54"/>
      <c r="J168" s="54"/>
      <c r="K168" s="22">
        <f>19-8.4+28.6+0.4*3</f>
        <v>40.400000000000006</v>
      </c>
      <c r="L168" s="10">
        <f t="shared" ref="L168:L169" si="218">0.45+0.36</f>
        <v>0.81</v>
      </c>
      <c r="M168" s="10"/>
      <c r="N168" s="39"/>
      <c r="O168" s="10"/>
      <c r="P168" s="40"/>
      <c r="Q168" s="40"/>
      <c r="R168" s="40"/>
      <c r="S168" s="39"/>
      <c r="T168" s="40"/>
      <c r="U168" s="40"/>
      <c r="V168" s="40"/>
      <c r="W168" s="40"/>
      <c r="X168" s="40"/>
      <c r="Y168" s="40"/>
      <c r="Z168" s="40"/>
      <c r="AA168" s="40"/>
      <c r="AB168" s="24">
        <f t="shared" si="213"/>
        <v>32.724000000000004</v>
      </c>
      <c r="AC168" s="24" t="str">
        <f t="shared" si="214"/>
        <v/>
      </c>
      <c r="AD168" s="24" t="str">
        <f t="shared" si="215"/>
        <v/>
      </c>
      <c r="AE168" s="24" t="str">
        <f t="shared" si="216"/>
        <v/>
      </c>
      <c r="AF168" s="24" t="str">
        <f t="shared" si="217"/>
        <v/>
      </c>
      <c r="AG168" s="31"/>
      <c r="AH168" s="3"/>
    </row>
    <row r="169" spans="1:34" x14ac:dyDescent="0.25">
      <c r="A169" s="15" t="s">
        <v>124</v>
      </c>
      <c r="B169" s="16" t="s">
        <v>142</v>
      </c>
      <c r="C169" s="34"/>
      <c r="D169" s="26" t="s">
        <v>139</v>
      </c>
      <c r="E169" s="26"/>
      <c r="F169" s="26"/>
      <c r="G169" s="26"/>
      <c r="H169" s="21"/>
      <c r="I169" s="54"/>
      <c r="J169" s="54"/>
      <c r="K169" s="22">
        <f>19+28.6+0.4*3</f>
        <v>48.800000000000004</v>
      </c>
      <c r="L169" s="10">
        <f t="shared" si="218"/>
        <v>0.81</v>
      </c>
      <c r="M169" s="10"/>
      <c r="N169" s="39"/>
      <c r="O169" s="10"/>
      <c r="P169" s="40"/>
      <c r="Q169" s="40"/>
      <c r="R169" s="40"/>
      <c r="S169" s="39"/>
      <c r="T169" s="40"/>
      <c r="U169" s="40"/>
      <c r="V169" s="40"/>
      <c r="W169" s="40"/>
      <c r="X169" s="40"/>
      <c r="Y169" s="40"/>
      <c r="Z169" s="40"/>
      <c r="AA169" s="40"/>
      <c r="AB169" s="24">
        <f t="shared" si="213"/>
        <v>39.528000000000006</v>
      </c>
      <c r="AC169" s="24" t="str">
        <f t="shared" si="214"/>
        <v/>
      </c>
      <c r="AD169" s="24" t="str">
        <f t="shared" si="215"/>
        <v/>
      </c>
      <c r="AE169" s="24" t="str">
        <f t="shared" si="216"/>
        <v/>
      </c>
      <c r="AF169" s="24" t="str">
        <f t="shared" si="217"/>
        <v/>
      </c>
      <c r="AG169" s="31"/>
      <c r="AH169" s="3"/>
    </row>
    <row r="170" spans="1:34" x14ac:dyDescent="0.25">
      <c r="A170" s="15" t="s">
        <v>124</v>
      </c>
      <c r="B170" s="16" t="s">
        <v>87</v>
      </c>
      <c r="C170" s="34"/>
      <c r="D170" s="26" t="s">
        <v>140</v>
      </c>
      <c r="E170" s="26"/>
      <c r="F170" s="26"/>
      <c r="G170" s="26"/>
      <c r="H170" s="21" t="s">
        <v>141</v>
      </c>
      <c r="I170" s="54"/>
      <c r="J170" s="54"/>
      <c r="K170" s="22">
        <f>19.775+0.4</f>
        <v>20.174999999999997</v>
      </c>
      <c r="L170" s="10">
        <v>0.4</v>
      </c>
      <c r="M170" s="10"/>
      <c r="N170" s="39"/>
      <c r="O170" s="10"/>
      <c r="P170" s="40"/>
      <c r="Q170" s="40"/>
      <c r="R170" s="40"/>
      <c r="S170" s="39"/>
      <c r="T170" s="40"/>
      <c r="U170" s="40"/>
      <c r="V170" s="40"/>
      <c r="W170" s="40"/>
      <c r="X170" s="40"/>
      <c r="Y170" s="40"/>
      <c r="Z170" s="40"/>
      <c r="AA170" s="40"/>
      <c r="AB170" s="24">
        <f t="shared" si="213"/>
        <v>8.0699999999999985</v>
      </c>
      <c r="AC170" s="24" t="str">
        <f t="shared" si="214"/>
        <v/>
      </c>
      <c r="AD170" s="24" t="str">
        <f t="shared" si="215"/>
        <v/>
      </c>
      <c r="AE170" s="24" t="str">
        <f t="shared" si="216"/>
        <v/>
      </c>
      <c r="AF170" s="24" t="str">
        <f t="shared" si="217"/>
        <v/>
      </c>
      <c r="AG170" s="31"/>
      <c r="AH170" s="3"/>
    </row>
    <row r="171" spans="1:34" x14ac:dyDescent="0.25">
      <c r="A171" s="15" t="s">
        <v>124</v>
      </c>
      <c r="B171" s="16" t="s">
        <v>106</v>
      </c>
      <c r="C171" s="34"/>
      <c r="D171" s="26" t="s">
        <v>140</v>
      </c>
      <c r="E171" s="26"/>
      <c r="F171" s="26"/>
      <c r="G171" s="26"/>
      <c r="H171" s="21"/>
      <c r="I171" s="54"/>
      <c r="J171" s="54"/>
      <c r="K171" s="22">
        <f>10.6+28.6+0.4*3</f>
        <v>40.400000000000006</v>
      </c>
      <c r="L171" s="10">
        <v>0.4</v>
      </c>
      <c r="M171" s="10"/>
      <c r="N171" s="39"/>
      <c r="O171" s="10"/>
      <c r="P171" s="40"/>
      <c r="Q171" s="40"/>
      <c r="R171" s="40"/>
      <c r="S171" s="39"/>
      <c r="T171" s="40"/>
      <c r="U171" s="40"/>
      <c r="V171" s="40"/>
      <c r="W171" s="40"/>
      <c r="X171" s="40"/>
      <c r="Y171" s="40"/>
      <c r="Z171" s="40"/>
      <c r="AA171" s="40"/>
      <c r="AB171" s="24">
        <f t="shared" si="213"/>
        <v>16.160000000000004</v>
      </c>
      <c r="AC171" s="24" t="str">
        <f t="shared" si="214"/>
        <v/>
      </c>
      <c r="AD171" s="24" t="str">
        <f t="shared" si="215"/>
        <v/>
      </c>
      <c r="AE171" s="24" t="str">
        <f t="shared" si="216"/>
        <v/>
      </c>
      <c r="AF171" s="24" t="str">
        <f t="shared" si="217"/>
        <v/>
      </c>
      <c r="AG171" s="31"/>
      <c r="AH171" s="3"/>
    </row>
    <row r="172" spans="1:34" x14ac:dyDescent="0.25">
      <c r="A172" s="15" t="s">
        <v>124</v>
      </c>
      <c r="B172" s="16" t="s">
        <v>142</v>
      </c>
      <c r="C172" s="34"/>
      <c r="D172" s="26" t="s">
        <v>140</v>
      </c>
      <c r="E172" s="26"/>
      <c r="F172" s="26"/>
      <c r="G172" s="26"/>
      <c r="H172" s="21"/>
      <c r="I172" s="54"/>
      <c r="J172" s="54"/>
      <c r="K172" s="22">
        <f>27.8+0.4*2+19.8+0.4</f>
        <v>48.800000000000004</v>
      </c>
      <c r="L172" s="10">
        <v>0.4</v>
      </c>
      <c r="M172" s="10"/>
      <c r="N172" s="39"/>
      <c r="O172" s="10"/>
      <c r="P172" s="40"/>
      <c r="Q172" s="40"/>
      <c r="R172" s="40"/>
      <c r="S172" s="39"/>
      <c r="T172" s="40"/>
      <c r="U172" s="40"/>
      <c r="V172" s="40"/>
      <c r="W172" s="40"/>
      <c r="X172" s="40"/>
      <c r="Y172" s="40"/>
      <c r="Z172" s="40"/>
      <c r="AA172" s="40"/>
      <c r="AB172" s="24">
        <f t="shared" si="213"/>
        <v>19.520000000000003</v>
      </c>
      <c r="AC172" s="24" t="str">
        <f t="shared" si="214"/>
        <v/>
      </c>
      <c r="AD172" s="24" t="str">
        <f t="shared" si="215"/>
        <v/>
      </c>
      <c r="AE172" s="24" t="str">
        <f t="shared" si="216"/>
        <v/>
      </c>
      <c r="AF172" s="24" t="str">
        <f t="shared" si="217"/>
        <v/>
      </c>
      <c r="AG172" s="31"/>
      <c r="AH172" s="3"/>
    </row>
    <row r="173" spans="1:34" x14ac:dyDescent="0.25">
      <c r="A173" s="15" t="s">
        <v>124</v>
      </c>
      <c r="B173" s="16" t="s">
        <v>87</v>
      </c>
      <c r="C173" s="34"/>
      <c r="D173" s="26" t="s">
        <v>147</v>
      </c>
      <c r="E173" s="26"/>
      <c r="F173" s="26"/>
      <c r="G173" s="26"/>
      <c r="H173" s="21" t="s">
        <v>146</v>
      </c>
      <c r="I173" s="54"/>
      <c r="J173" s="54"/>
      <c r="K173" s="22">
        <f>19.775+0.4</f>
        <v>20.174999999999997</v>
      </c>
      <c r="L173" s="10">
        <f>0.1+0.25+0.4+0.6</f>
        <v>1.35</v>
      </c>
      <c r="M173" s="10"/>
      <c r="N173" s="39"/>
      <c r="O173" s="10"/>
      <c r="P173" s="40"/>
      <c r="Q173" s="40"/>
      <c r="R173" s="40"/>
      <c r="S173" s="39"/>
      <c r="T173" s="40"/>
      <c r="U173" s="40"/>
      <c r="V173" s="40"/>
      <c r="W173" s="40"/>
      <c r="X173" s="40"/>
      <c r="Y173" s="40"/>
      <c r="Z173" s="40"/>
      <c r="AA173" s="40"/>
      <c r="AB173" s="24">
        <f t="shared" si="213"/>
        <v>27.236249999999998</v>
      </c>
      <c r="AC173" s="24" t="str">
        <f t="shared" si="214"/>
        <v/>
      </c>
      <c r="AD173" s="24" t="str">
        <f t="shared" si="215"/>
        <v/>
      </c>
      <c r="AE173" s="24" t="str">
        <f t="shared" si="216"/>
        <v/>
      </c>
      <c r="AF173" s="24" t="str">
        <f t="shared" si="217"/>
        <v/>
      </c>
      <c r="AG173" s="31"/>
      <c r="AH173" s="3"/>
    </row>
    <row r="174" spans="1:34" x14ac:dyDescent="0.25">
      <c r="A174" s="15" t="s">
        <v>124</v>
      </c>
      <c r="B174" s="16" t="s">
        <v>106</v>
      </c>
      <c r="C174" s="34"/>
      <c r="D174" s="26" t="s">
        <v>147</v>
      </c>
      <c r="E174" s="26"/>
      <c r="F174" s="26"/>
      <c r="G174" s="26"/>
      <c r="H174" s="21"/>
      <c r="I174" s="54"/>
      <c r="J174" s="54"/>
      <c r="K174" s="22">
        <f>19-8.4+28.6+0.4*3</f>
        <v>40.400000000000006</v>
      </c>
      <c r="L174" s="10">
        <f t="shared" ref="L174:L175" si="219">0.1+0.25+0.4+0.6</f>
        <v>1.35</v>
      </c>
      <c r="M174" s="10"/>
      <c r="N174" s="39"/>
      <c r="O174" s="10"/>
      <c r="P174" s="40"/>
      <c r="Q174" s="40"/>
      <c r="R174" s="40"/>
      <c r="S174" s="39"/>
      <c r="T174" s="40"/>
      <c r="U174" s="40"/>
      <c r="V174" s="40"/>
      <c r="W174" s="40"/>
      <c r="X174" s="40"/>
      <c r="Y174" s="40"/>
      <c r="Z174" s="40"/>
      <c r="AA174" s="40"/>
      <c r="AB174" s="24">
        <f t="shared" si="213"/>
        <v>54.540000000000013</v>
      </c>
      <c r="AC174" s="24" t="str">
        <f t="shared" si="214"/>
        <v/>
      </c>
      <c r="AD174" s="24" t="str">
        <f t="shared" si="215"/>
        <v/>
      </c>
      <c r="AE174" s="24" t="str">
        <f t="shared" si="216"/>
        <v/>
      </c>
      <c r="AF174" s="24" t="str">
        <f t="shared" si="217"/>
        <v/>
      </c>
      <c r="AG174" s="31"/>
      <c r="AH174" s="3"/>
    </row>
    <row r="175" spans="1:34" x14ac:dyDescent="0.25">
      <c r="A175" s="15" t="s">
        <v>124</v>
      </c>
      <c r="B175" s="16" t="s">
        <v>142</v>
      </c>
      <c r="C175" s="34"/>
      <c r="D175" s="26" t="s">
        <v>147</v>
      </c>
      <c r="E175" s="26"/>
      <c r="F175" s="26"/>
      <c r="G175" s="26"/>
      <c r="H175" s="21"/>
      <c r="I175" s="54"/>
      <c r="J175" s="54"/>
      <c r="K175" s="22">
        <f>19+28.6+0.4*3</f>
        <v>48.800000000000004</v>
      </c>
      <c r="L175" s="10">
        <f t="shared" si="219"/>
        <v>1.35</v>
      </c>
      <c r="M175" s="10"/>
      <c r="N175" s="39"/>
      <c r="O175" s="10"/>
      <c r="P175" s="40"/>
      <c r="Q175" s="40"/>
      <c r="R175" s="40"/>
      <c r="S175" s="39"/>
      <c r="T175" s="40"/>
      <c r="U175" s="40"/>
      <c r="V175" s="40"/>
      <c r="W175" s="40"/>
      <c r="X175" s="40"/>
      <c r="Y175" s="40"/>
      <c r="Z175" s="40"/>
      <c r="AA175" s="40"/>
      <c r="AB175" s="24">
        <f t="shared" si="213"/>
        <v>65.88000000000001</v>
      </c>
      <c r="AC175" s="24" t="str">
        <f t="shared" si="214"/>
        <v/>
      </c>
      <c r="AD175" s="24" t="str">
        <f t="shared" si="215"/>
        <v/>
      </c>
      <c r="AE175" s="24" t="str">
        <f t="shared" si="216"/>
        <v/>
      </c>
      <c r="AF175" s="24" t="str">
        <f t="shared" si="217"/>
        <v/>
      </c>
      <c r="AG175" s="31"/>
      <c r="AH175" s="3"/>
    </row>
    <row r="176" spans="1:34" x14ac:dyDescent="0.25">
      <c r="A176" s="15" t="s">
        <v>124</v>
      </c>
      <c r="B176" s="16" t="s">
        <v>87</v>
      </c>
      <c r="C176" s="34"/>
      <c r="D176" s="26" t="s">
        <v>148</v>
      </c>
      <c r="E176" s="26"/>
      <c r="F176" s="26"/>
      <c r="G176" s="26"/>
      <c r="H176" s="21" t="s">
        <v>149</v>
      </c>
      <c r="I176" s="54"/>
      <c r="J176" s="54"/>
      <c r="K176" s="22">
        <f>19.775+0.4</f>
        <v>20.174999999999997</v>
      </c>
      <c r="L176" s="10">
        <v>0.4</v>
      </c>
      <c r="M176" s="10"/>
      <c r="N176" s="39"/>
      <c r="O176" s="10"/>
      <c r="P176" s="40"/>
      <c r="Q176" s="40"/>
      <c r="R176" s="40"/>
      <c r="S176" s="39"/>
      <c r="T176" s="40"/>
      <c r="U176" s="40"/>
      <c r="V176" s="40"/>
      <c r="W176" s="40"/>
      <c r="X176" s="40"/>
      <c r="Y176" s="40"/>
      <c r="Z176" s="40"/>
      <c r="AA176" s="40"/>
      <c r="AB176" s="24">
        <f t="shared" ref="AB176:AB196" si="220">IF(K176*L176+M176-O176*P176*R176-Q176*R176+T176*U176*W176+V176*W176&lt;&gt;0,K176*L176+M176-O176*P176*R176-Q176*R176+T176*U176*W176+V176*W176,"")</f>
        <v>8.0699999999999985</v>
      </c>
      <c r="AC176" s="24" t="str">
        <f t="shared" ref="AC176:AC196" si="221">IF(W176*SUM(Y176:AA176)&lt;&gt;0,W176*SUM(Y176:AA176),"")</f>
        <v/>
      </c>
      <c r="AD176" s="24" t="str">
        <f t="shared" ref="AD176:AD196" si="222">IF(W176*X176*SUM(Y176:AA176)&lt;&gt;0,W176*X176*SUM(Y176:AA176),"")</f>
        <v/>
      </c>
      <c r="AE176" s="24" t="str">
        <f t="shared" ref="AE176:AE196" si="223">IF(O176*P176*R176+Q176*R176&lt;&gt;0,O176*P176*R176+Q176*R176,"")</f>
        <v/>
      </c>
      <c r="AF176" s="24" t="str">
        <f t="shared" ref="AF176:AF196" si="224">IF(W176*X176*(Z176+AA176)&lt;&gt;0,W176*X176*(Z176+AA176),"")</f>
        <v/>
      </c>
      <c r="AG176" s="31"/>
      <c r="AH176" s="3"/>
    </row>
    <row r="177" spans="1:34" x14ac:dyDescent="0.25">
      <c r="A177" s="15" t="s">
        <v>124</v>
      </c>
      <c r="B177" s="16" t="s">
        <v>106</v>
      </c>
      <c r="C177" s="34"/>
      <c r="D177" s="26" t="s">
        <v>148</v>
      </c>
      <c r="E177" s="26"/>
      <c r="F177" s="26"/>
      <c r="G177" s="26"/>
      <c r="H177" s="21"/>
      <c r="I177" s="54"/>
      <c r="J177" s="54"/>
      <c r="K177" s="22">
        <f>19-8.4+28.6+0.4*3</f>
        <v>40.400000000000006</v>
      </c>
      <c r="L177" s="10">
        <v>0.4</v>
      </c>
      <c r="M177" s="10"/>
      <c r="N177" s="39"/>
      <c r="O177" s="10"/>
      <c r="P177" s="40"/>
      <c r="Q177" s="40"/>
      <c r="R177" s="40"/>
      <c r="S177" s="39"/>
      <c r="T177" s="40"/>
      <c r="U177" s="40"/>
      <c r="V177" s="40"/>
      <c r="W177" s="40"/>
      <c r="X177" s="40"/>
      <c r="Y177" s="40"/>
      <c r="Z177" s="40"/>
      <c r="AA177" s="40"/>
      <c r="AB177" s="24">
        <f t="shared" si="220"/>
        <v>16.160000000000004</v>
      </c>
      <c r="AC177" s="24" t="str">
        <f t="shared" si="221"/>
        <v/>
      </c>
      <c r="AD177" s="24" t="str">
        <f t="shared" si="222"/>
        <v/>
      </c>
      <c r="AE177" s="24" t="str">
        <f t="shared" si="223"/>
        <v/>
      </c>
      <c r="AF177" s="24" t="str">
        <f t="shared" si="224"/>
        <v/>
      </c>
      <c r="AG177" s="31"/>
      <c r="AH177" s="3"/>
    </row>
    <row r="178" spans="1:34" x14ac:dyDescent="0.25">
      <c r="A178" s="15" t="s">
        <v>124</v>
      </c>
      <c r="B178" s="16" t="s">
        <v>142</v>
      </c>
      <c r="C178" s="34"/>
      <c r="D178" s="26" t="s">
        <v>148</v>
      </c>
      <c r="E178" s="26"/>
      <c r="F178" s="26"/>
      <c r="G178" s="26"/>
      <c r="H178" s="21"/>
      <c r="I178" s="54"/>
      <c r="J178" s="54"/>
      <c r="K178" s="22">
        <f>19+28.6+0.4*3</f>
        <v>48.800000000000004</v>
      </c>
      <c r="L178" s="10">
        <v>0.4</v>
      </c>
      <c r="M178" s="10"/>
      <c r="N178" s="39"/>
      <c r="O178" s="10"/>
      <c r="P178" s="40"/>
      <c r="Q178" s="40"/>
      <c r="R178" s="40"/>
      <c r="S178" s="39"/>
      <c r="T178" s="40"/>
      <c r="U178" s="40"/>
      <c r="V178" s="40"/>
      <c r="W178" s="40"/>
      <c r="X178" s="40"/>
      <c r="Y178" s="40"/>
      <c r="Z178" s="40"/>
      <c r="AA178" s="40"/>
      <c r="AB178" s="24">
        <f t="shared" si="220"/>
        <v>19.520000000000003</v>
      </c>
      <c r="AC178" s="24" t="str">
        <f t="shared" si="221"/>
        <v/>
      </c>
      <c r="AD178" s="24" t="str">
        <f t="shared" si="222"/>
        <v/>
      </c>
      <c r="AE178" s="24" t="str">
        <f t="shared" si="223"/>
        <v/>
      </c>
      <c r="AF178" s="24" t="str">
        <f t="shared" si="224"/>
        <v/>
      </c>
      <c r="AG178" s="31"/>
      <c r="AH178" s="3"/>
    </row>
    <row r="179" spans="1:34" x14ac:dyDescent="0.25">
      <c r="A179" s="15" t="s">
        <v>124</v>
      </c>
      <c r="B179" s="16" t="s">
        <v>71</v>
      </c>
      <c r="C179" s="34"/>
      <c r="D179" s="26" t="s">
        <v>157</v>
      </c>
      <c r="E179" s="26"/>
      <c r="F179" s="26"/>
      <c r="G179" s="26"/>
      <c r="H179" s="21" t="s">
        <v>97</v>
      </c>
      <c r="I179" s="54" t="s">
        <v>93</v>
      </c>
      <c r="J179" s="54" t="s">
        <v>94</v>
      </c>
      <c r="K179" s="22">
        <v>19.774999999999999</v>
      </c>
      <c r="L179" s="10">
        <f>1.05/2</f>
        <v>0.52500000000000002</v>
      </c>
      <c r="M179" s="10"/>
      <c r="N179" s="39"/>
      <c r="O179" s="10"/>
      <c r="P179" s="40"/>
      <c r="Q179" s="40"/>
      <c r="R179" s="40"/>
      <c r="S179" s="39"/>
      <c r="T179" s="40"/>
      <c r="U179" s="40"/>
      <c r="V179" s="40"/>
      <c r="W179" s="40"/>
      <c r="X179" s="40"/>
      <c r="Y179" s="40"/>
      <c r="Z179" s="40"/>
      <c r="AA179" s="40"/>
      <c r="AB179" s="24">
        <f t="shared" ref="AB179:AB186" si="225">IF(K179*L179+M179-O179*P179*R179-Q179*R179+T179*U179*W179+V179*W179&lt;&gt;0,K179*L179+M179-O179*P179*R179-Q179*R179+T179*U179*W179+V179*W179,"")</f>
        <v>10.381874999999999</v>
      </c>
      <c r="AC179" s="24" t="str">
        <f t="shared" ref="AC179:AC186" si="226">IF(W179*SUM(Y179:AA179)&lt;&gt;0,W179*SUM(Y179:AA179),"")</f>
        <v/>
      </c>
      <c r="AD179" s="24" t="str">
        <f t="shared" ref="AD179:AD186" si="227">IF(W179*X179*SUM(Y179:AA179)&lt;&gt;0,W179*X179*SUM(Y179:AA179),"")</f>
        <v/>
      </c>
      <c r="AE179" s="24" t="str">
        <f t="shared" ref="AE179:AE186" si="228">IF(O179*P179*R179+Q179*R179&lt;&gt;0,O179*P179*R179+Q179*R179,"")</f>
        <v/>
      </c>
      <c r="AF179" s="24" t="str">
        <f t="shared" ref="AF179:AF186" si="229">IF(W179*X179*(Z179+AA179)&lt;&gt;0,W179*X179*(Z179+AA179),"")</f>
        <v/>
      </c>
      <c r="AG179" s="31"/>
      <c r="AH179" s="3"/>
    </row>
    <row r="180" spans="1:34" x14ac:dyDescent="0.25">
      <c r="A180" s="15" t="s">
        <v>124</v>
      </c>
      <c r="B180" s="16" t="s">
        <v>71</v>
      </c>
      <c r="C180" s="34"/>
      <c r="D180" s="26" t="s">
        <v>157</v>
      </c>
      <c r="E180" s="26"/>
      <c r="F180" s="26"/>
      <c r="G180" s="26"/>
      <c r="H180" s="21"/>
      <c r="I180" s="54" t="s">
        <v>93</v>
      </c>
      <c r="J180" s="54" t="s">
        <v>95</v>
      </c>
      <c r="K180" s="22"/>
      <c r="L180" s="10"/>
      <c r="M180" s="10">
        <v>2.87</v>
      </c>
      <c r="N180" s="39"/>
      <c r="O180" s="10"/>
      <c r="P180" s="40"/>
      <c r="Q180" s="40"/>
      <c r="R180" s="40"/>
      <c r="S180" s="39"/>
      <c r="T180" s="40"/>
      <c r="U180" s="40"/>
      <c r="V180" s="40"/>
      <c r="W180" s="40"/>
      <c r="X180" s="40"/>
      <c r="Y180" s="40"/>
      <c r="Z180" s="40"/>
      <c r="AA180" s="40"/>
      <c r="AB180" s="24">
        <f t="shared" si="225"/>
        <v>2.87</v>
      </c>
      <c r="AC180" s="24" t="str">
        <f t="shared" si="226"/>
        <v/>
      </c>
      <c r="AD180" s="24" t="str">
        <f t="shared" si="227"/>
        <v/>
      </c>
      <c r="AE180" s="24" t="str">
        <f t="shared" si="228"/>
        <v/>
      </c>
      <c r="AF180" s="24" t="str">
        <f t="shared" si="229"/>
        <v/>
      </c>
      <c r="AG180" s="31"/>
      <c r="AH180" s="3"/>
    </row>
    <row r="181" spans="1:34" x14ac:dyDescent="0.25">
      <c r="A181" s="15" t="s">
        <v>124</v>
      </c>
      <c r="B181" s="16" t="s">
        <v>71</v>
      </c>
      <c r="C181" s="34"/>
      <c r="D181" s="26" t="s">
        <v>157</v>
      </c>
      <c r="E181" s="26"/>
      <c r="F181" s="26"/>
      <c r="G181" s="26"/>
      <c r="H181" s="21"/>
      <c r="I181" s="54"/>
      <c r="J181" s="54"/>
      <c r="K181" s="22"/>
      <c r="L181" s="10"/>
      <c r="M181" s="10"/>
      <c r="N181" s="39"/>
      <c r="O181" s="10"/>
      <c r="P181" s="40"/>
      <c r="Q181" s="40"/>
      <c r="R181" s="40"/>
      <c r="S181" s="39"/>
      <c r="T181" s="40"/>
      <c r="U181" s="40"/>
      <c r="V181" s="40"/>
      <c r="W181" s="40"/>
      <c r="X181" s="40"/>
      <c r="Y181" s="40"/>
      <c r="Z181" s="40"/>
      <c r="AA181" s="40"/>
      <c r="AB181" s="24" t="str">
        <f t="shared" si="225"/>
        <v/>
      </c>
      <c r="AC181" s="24" t="str">
        <f t="shared" si="226"/>
        <v/>
      </c>
      <c r="AD181" s="24" t="str">
        <f t="shared" si="227"/>
        <v/>
      </c>
      <c r="AE181" s="24" t="str">
        <f t="shared" si="228"/>
        <v/>
      </c>
      <c r="AF181" s="24" t="str">
        <f t="shared" si="229"/>
        <v/>
      </c>
      <c r="AG181" s="31"/>
      <c r="AH181" s="3"/>
    </row>
    <row r="182" spans="1:34" x14ac:dyDescent="0.25">
      <c r="A182" s="15" t="s">
        <v>124</v>
      </c>
      <c r="B182" s="16" t="s">
        <v>71</v>
      </c>
      <c r="C182" s="34"/>
      <c r="D182" s="26" t="s">
        <v>157</v>
      </c>
      <c r="E182" s="26"/>
      <c r="F182" s="26"/>
      <c r="G182" s="26"/>
      <c r="H182" s="21"/>
      <c r="I182" s="54"/>
      <c r="J182" s="54"/>
      <c r="K182" s="22"/>
      <c r="L182" s="10"/>
      <c r="M182" s="10"/>
      <c r="N182" s="39"/>
      <c r="O182" s="10"/>
      <c r="P182" s="40"/>
      <c r="Q182" s="40"/>
      <c r="R182" s="40"/>
      <c r="S182" s="39"/>
      <c r="T182" s="40"/>
      <c r="U182" s="40"/>
      <c r="V182" s="40"/>
      <c r="W182" s="40"/>
      <c r="X182" s="40"/>
      <c r="Y182" s="40"/>
      <c r="Z182" s="40"/>
      <c r="AA182" s="40"/>
      <c r="AB182" s="24" t="str">
        <f t="shared" si="225"/>
        <v/>
      </c>
      <c r="AC182" s="24" t="str">
        <f t="shared" si="226"/>
        <v/>
      </c>
      <c r="AD182" s="24" t="str">
        <f t="shared" si="227"/>
        <v/>
      </c>
      <c r="AE182" s="24" t="str">
        <f t="shared" si="228"/>
        <v/>
      </c>
      <c r="AF182" s="24" t="str">
        <f t="shared" si="229"/>
        <v/>
      </c>
      <c r="AG182" s="31"/>
      <c r="AH182" s="3"/>
    </row>
    <row r="183" spans="1:34" x14ac:dyDescent="0.25">
      <c r="A183" s="15" t="s">
        <v>124</v>
      </c>
      <c r="B183" s="16" t="s">
        <v>87</v>
      </c>
      <c r="C183" s="34"/>
      <c r="D183" s="26" t="s">
        <v>157</v>
      </c>
      <c r="E183" s="26"/>
      <c r="F183" s="26"/>
      <c r="G183" s="26"/>
      <c r="H183" s="21" t="s">
        <v>87</v>
      </c>
      <c r="I183" s="54" t="s">
        <v>93</v>
      </c>
      <c r="J183" s="54" t="s">
        <v>168</v>
      </c>
      <c r="K183" s="10">
        <f>10.6+4.15*2</f>
        <v>18.899999999999999</v>
      </c>
      <c r="L183" s="10">
        <v>1.5</v>
      </c>
      <c r="M183" s="10"/>
      <c r="N183" s="39"/>
      <c r="O183" s="10">
        <v>2.04</v>
      </c>
      <c r="P183" s="40">
        <f>1.5-0.15</f>
        <v>1.35</v>
      </c>
      <c r="Q183" s="40"/>
      <c r="R183" s="40">
        <v>2</v>
      </c>
      <c r="S183" s="39"/>
      <c r="T183" s="40"/>
      <c r="U183" s="40"/>
      <c r="V183" s="40"/>
      <c r="W183" s="40"/>
      <c r="X183" s="40"/>
      <c r="Y183" s="40"/>
      <c r="Z183" s="40"/>
      <c r="AA183" s="40"/>
      <c r="AB183" s="24">
        <f t="shared" si="225"/>
        <v>22.841999999999999</v>
      </c>
      <c r="AC183" s="24" t="str">
        <f t="shared" si="226"/>
        <v/>
      </c>
      <c r="AD183" s="24" t="str">
        <f t="shared" si="227"/>
        <v/>
      </c>
      <c r="AE183" s="24"/>
      <c r="AF183" s="24" t="str">
        <f t="shared" si="229"/>
        <v/>
      </c>
      <c r="AG183" s="31"/>
      <c r="AH183" s="3"/>
    </row>
    <row r="184" spans="1:34" x14ac:dyDescent="0.25">
      <c r="A184" s="15" t="s">
        <v>124</v>
      </c>
      <c r="B184" s="16" t="s">
        <v>87</v>
      </c>
      <c r="C184" s="34"/>
      <c r="D184" s="26" t="s">
        <v>157</v>
      </c>
      <c r="E184" s="26"/>
      <c r="F184" s="26"/>
      <c r="G184" s="26"/>
      <c r="H184" s="21" t="s">
        <v>87</v>
      </c>
      <c r="I184" s="54" t="s">
        <v>93</v>
      </c>
      <c r="J184" s="54" t="s">
        <v>168</v>
      </c>
      <c r="K184" s="22"/>
      <c r="L184" s="10"/>
      <c r="M184" s="10"/>
      <c r="N184" s="39"/>
      <c r="O184" s="10">
        <v>2</v>
      </c>
      <c r="P184" s="40">
        <f>1.5-0.15</f>
        <v>1.35</v>
      </c>
      <c r="Q184" s="40"/>
      <c r="R184" s="40">
        <v>1</v>
      </c>
      <c r="S184" s="39"/>
      <c r="T184" s="40"/>
      <c r="U184" s="40"/>
      <c r="V184" s="40"/>
      <c r="W184" s="40"/>
      <c r="X184" s="40"/>
      <c r="Y184" s="40"/>
      <c r="Z184" s="40"/>
      <c r="AA184" s="40"/>
      <c r="AB184" s="24">
        <f t="shared" si="225"/>
        <v>-2.7</v>
      </c>
      <c r="AC184" s="24" t="str">
        <f t="shared" si="226"/>
        <v/>
      </c>
      <c r="AD184" s="24" t="str">
        <f t="shared" si="227"/>
        <v/>
      </c>
      <c r="AE184" s="24"/>
      <c r="AF184" s="24" t="str">
        <f t="shared" si="229"/>
        <v/>
      </c>
      <c r="AG184" s="31"/>
      <c r="AH184" s="3"/>
    </row>
    <row r="185" spans="1:34" x14ac:dyDescent="0.25">
      <c r="A185" s="15" t="s">
        <v>124</v>
      </c>
      <c r="B185" s="16" t="s">
        <v>87</v>
      </c>
      <c r="C185" s="34"/>
      <c r="D185" s="26" t="s">
        <v>157</v>
      </c>
      <c r="E185" s="26"/>
      <c r="F185" s="26"/>
      <c r="G185" s="26"/>
      <c r="H185" s="21" t="s">
        <v>87</v>
      </c>
      <c r="I185" s="54" t="s">
        <v>95</v>
      </c>
      <c r="J185" s="54" t="s">
        <v>159</v>
      </c>
      <c r="K185" s="22">
        <v>1.43</v>
      </c>
      <c r="L185" s="10">
        <v>1.5</v>
      </c>
      <c r="M185" s="10"/>
      <c r="N185" s="39"/>
      <c r="O185" s="10"/>
      <c r="P185" s="40"/>
      <c r="Q185" s="40"/>
      <c r="R185" s="40"/>
      <c r="S185" s="39"/>
      <c r="T185" s="40"/>
      <c r="U185" s="40"/>
      <c r="V185" s="40"/>
      <c r="W185" s="40"/>
      <c r="X185" s="40"/>
      <c r="Y185" s="40"/>
      <c r="Z185" s="40"/>
      <c r="AA185" s="40"/>
      <c r="AB185" s="24">
        <f t="shared" si="225"/>
        <v>2.145</v>
      </c>
      <c r="AC185" s="24" t="str">
        <f t="shared" si="226"/>
        <v/>
      </c>
      <c r="AD185" s="24" t="str">
        <f t="shared" si="227"/>
        <v/>
      </c>
      <c r="AE185" s="24" t="str">
        <f t="shared" si="228"/>
        <v/>
      </c>
      <c r="AF185" s="24" t="str">
        <f t="shared" si="229"/>
        <v/>
      </c>
      <c r="AG185" s="31"/>
      <c r="AH185" s="3"/>
    </row>
    <row r="186" spans="1:34" x14ac:dyDescent="0.25">
      <c r="A186" s="15" t="s">
        <v>124</v>
      </c>
      <c r="B186" s="16" t="s">
        <v>87</v>
      </c>
      <c r="C186" s="34"/>
      <c r="D186" s="26" t="s">
        <v>157</v>
      </c>
      <c r="E186" s="26"/>
      <c r="F186" s="26"/>
      <c r="G186" s="26"/>
      <c r="H186" s="21" t="s">
        <v>87</v>
      </c>
      <c r="I186" s="54" t="s">
        <v>95</v>
      </c>
      <c r="J186" s="54" t="s">
        <v>169</v>
      </c>
      <c r="K186" s="22">
        <v>2.21</v>
      </c>
      <c r="L186" s="10">
        <v>1.4</v>
      </c>
      <c r="M186" s="10"/>
      <c r="N186" s="39"/>
      <c r="O186" s="10"/>
      <c r="P186" s="40"/>
      <c r="Q186" s="40"/>
      <c r="R186" s="40"/>
      <c r="S186" s="39"/>
      <c r="T186" s="40"/>
      <c r="U186" s="40"/>
      <c r="V186" s="40"/>
      <c r="W186" s="40"/>
      <c r="X186" s="40"/>
      <c r="Y186" s="40"/>
      <c r="Z186" s="40"/>
      <c r="AA186" s="40"/>
      <c r="AB186" s="24">
        <f t="shared" si="225"/>
        <v>3.0939999999999999</v>
      </c>
      <c r="AC186" s="24" t="str">
        <f t="shared" si="226"/>
        <v/>
      </c>
      <c r="AD186" s="24" t="str">
        <f t="shared" si="227"/>
        <v/>
      </c>
      <c r="AE186" s="24" t="str">
        <f t="shared" si="228"/>
        <v/>
      </c>
      <c r="AF186" s="24" t="str">
        <f t="shared" si="229"/>
        <v/>
      </c>
      <c r="AG186" s="31"/>
      <c r="AH186" s="3"/>
    </row>
    <row r="187" spans="1:34" x14ac:dyDescent="0.25">
      <c r="A187" s="15" t="s">
        <v>124</v>
      </c>
      <c r="B187" s="16" t="s">
        <v>87</v>
      </c>
      <c r="C187" s="34"/>
      <c r="D187" s="26" t="s">
        <v>157</v>
      </c>
      <c r="E187" s="26"/>
      <c r="F187" s="26"/>
      <c r="G187" s="26"/>
      <c r="H187" s="21" t="s">
        <v>87</v>
      </c>
      <c r="I187" s="54" t="s">
        <v>95</v>
      </c>
      <c r="J187" s="54" t="s">
        <v>170</v>
      </c>
      <c r="K187" s="22">
        <v>2.21</v>
      </c>
      <c r="L187" s="10">
        <v>1.1000000000000001</v>
      </c>
      <c r="M187" s="10"/>
      <c r="N187" s="39"/>
      <c r="O187" s="10"/>
      <c r="P187" s="40"/>
      <c r="Q187" s="40"/>
      <c r="R187" s="40"/>
      <c r="S187" s="39"/>
      <c r="T187" s="40"/>
      <c r="U187" s="40"/>
      <c r="V187" s="40"/>
      <c r="W187" s="40"/>
      <c r="X187" s="40"/>
      <c r="Y187" s="40"/>
      <c r="Z187" s="40"/>
      <c r="AA187" s="40"/>
      <c r="AB187" s="24">
        <f t="shared" ref="AB187:AB191" si="230">IF(K187*L187+M187-O187*P187*R187-Q187*R187+T187*U187*W187+V187*W187&lt;&gt;0,K187*L187+M187-O187*P187*R187-Q187*R187+T187*U187*W187+V187*W187,"")</f>
        <v>2.431</v>
      </c>
      <c r="AC187" s="24" t="str">
        <f t="shared" ref="AC187:AC191" si="231">IF(W187*SUM(Y187:AA187)&lt;&gt;0,W187*SUM(Y187:AA187),"")</f>
        <v/>
      </c>
      <c r="AD187" s="24" t="str">
        <f t="shared" ref="AD187:AD191" si="232">IF(W187*X187*SUM(Y187:AA187)&lt;&gt;0,W187*X187*SUM(Y187:AA187),"")</f>
        <v/>
      </c>
      <c r="AE187" s="24" t="str">
        <f t="shared" ref="AE187:AE191" si="233">IF(O187*P187*R187+Q187*R187&lt;&gt;0,O187*P187*R187+Q187*R187,"")</f>
        <v/>
      </c>
      <c r="AF187" s="24" t="str">
        <f t="shared" ref="AF187:AF191" si="234">IF(W187*X187*(Z187+AA187)&lt;&gt;0,W187*X187*(Z187+AA187),"")</f>
        <v/>
      </c>
      <c r="AG187" s="31"/>
      <c r="AH187" s="3"/>
    </row>
    <row r="188" spans="1:34" x14ac:dyDescent="0.25">
      <c r="A188" s="15" t="s">
        <v>124</v>
      </c>
      <c r="B188" s="16" t="s">
        <v>87</v>
      </c>
      <c r="C188" s="34"/>
      <c r="D188" s="26" t="s">
        <v>157</v>
      </c>
      <c r="E188" s="26"/>
      <c r="F188" s="26"/>
      <c r="G188" s="26"/>
      <c r="H188" s="21" t="s">
        <v>87</v>
      </c>
      <c r="I188" s="54" t="s">
        <v>95</v>
      </c>
      <c r="J188" s="54" t="s">
        <v>164</v>
      </c>
      <c r="K188" s="22">
        <v>2.21</v>
      </c>
      <c r="L188" s="10">
        <v>0.8</v>
      </c>
      <c r="M188" s="10"/>
      <c r="N188" s="39"/>
      <c r="O188" s="10"/>
      <c r="P188" s="40"/>
      <c r="Q188" s="40"/>
      <c r="R188" s="40"/>
      <c r="S188" s="39"/>
      <c r="T188" s="40"/>
      <c r="U188" s="40"/>
      <c r="V188" s="40"/>
      <c r="W188" s="40"/>
      <c r="X188" s="40"/>
      <c r="Y188" s="40"/>
      <c r="Z188" s="40"/>
      <c r="AA188" s="40"/>
      <c r="AB188" s="24">
        <f t="shared" si="230"/>
        <v>1.768</v>
      </c>
      <c r="AC188" s="24" t="str">
        <f t="shared" si="231"/>
        <v/>
      </c>
      <c r="AD188" s="24" t="str">
        <f t="shared" si="232"/>
        <v/>
      </c>
      <c r="AE188" s="24" t="str">
        <f t="shared" si="233"/>
        <v/>
      </c>
      <c r="AF188" s="24" t="str">
        <f t="shared" si="234"/>
        <v/>
      </c>
      <c r="AG188" s="31"/>
      <c r="AH188" s="3"/>
    </row>
    <row r="189" spans="1:34" x14ac:dyDescent="0.25">
      <c r="A189" s="15" t="s">
        <v>124</v>
      </c>
      <c r="B189" s="16" t="s">
        <v>87</v>
      </c>
      <c r="C189" s="34"/>
      <c r="D189" s="26" t="s">
        <v>157</v>
      </c>
      <c r="E189" s="26"/>
      <c r="F189" s="26"/>
      <c r="G189" s="26"/>
      <c r="H189" s="21" t="s">
        <v>87</v>
      </c>
      <c r="I189" s="54" t="s">
        <v>95</v>
      </c>
      <c r="J189" s="54" t="s">
        <v>165</v>
      </c>
      <c r="K189" s="22">
        <v>2.21</v>
      </c>
      <c r="L189" s="10">
        <v>0.6</v>
      </c>
      <c r="M189" s="10"/>
      <c r="N189" s="39"/>
      <c r="O189" s="10"/>
      <c r="P189" s="40"/>
      <c r="Q189" s="40"/>
      <c r="R189" s="40"/>
      <c r="S189" s="39"/>
      <c r="T189" s="40"/>
      <c r="U189" s="40"/>
      <c r="V189" s="40"/>
      <c r="W189" s="40"/>
      <c r="X189" s="40"/>
      <c r="Y189" s="40"/>
      <c r="Z189" s="40"/>
      <c r="AA189" s="40"/>
      <c r="AB189" s="24">
        <f t="shared" si="230"/>
        <v>1.3259999999999998</v>
      </c>
      <c r="AC189" s="24" t="str">
        <f t="shared" si="231"/>
        <v/>
      </c>
      <c r="AD189" s="24" t="str">
        <f t="shared" si="232"/>
        <v/>
      </c>
      <c r="AE189" s="24" t="str">
        <f t="shared" si="233"/>
        <v/>
      </c>
      <c r="AF189" s="24" t="str">
        <f t="shared" si="234"/>
        <v/>
      </c>
      <c r="AG189" s="31"/>
      <c r="AH189" s="3"/>
    </row>
    <row r="190" spans="1:34" x14ac:dyDescent="0.25">
      <c r="A190" s="15" t="s">
        <v>124</v>
      </c>
      <c r="B190" s="16" t="s">
        <v>87</v>
      </c>
      <c r="C190" s="34"/>
      <c r="D190" s="26" t="s">
        <v>157</v>
      </c>
      <c r="E190" s="26"/>
      <c r="F190" s="26"/>
      <c r="G190" s="26"/>
      <c r="H190" s="21" t="s">
        <v>87</v>
      </c>
      <c r="I190" s="54" t="s">
        <v>95</v>
      </c>
      <c r="J190" s="54" t="s">
        <v>166</v>
      </c>
      <c r="K190" s="22">
        <v>2.66</v>
      </c>
      <c r="L190" s="10">
        <v>0.4</v>
      </c>
      <c r="M190" s="10"/>
      <c r="N190" s="39"/>
      <c r="O190" s="10"/>
      <c r="P190" s="40"/>
      <c r="Q190" s="40"/>
      <c r="R190" s="40"/>
      <c r="S190" s="39"/>
      <c r="T190" s="40"/>
      <c r="U190" s="40"/>
      <c r="V190" s="40"/>
      <c r="W190" s="40"/>
      <c r="X190" s="40"/>
      <c r="Y190" s="40"/>
      <c r="Z190" s="40"/>
      <c r="AA190" s="40"/>
      <c r="AB190" s="24">
        <f t="shared" si="230"/>
        <v>1.0640000000000001</v>
      </c>
      <c r="AC190" s="24" t="str">
        <f t="shared" si="231"/>
        <v/>
      </c>
      <c r="AD190" s="24" t="str">
        <f t="shared" si="232"/>
        <v/>
      </c>
      <c r="AE190" s="24" t="str">
        <f t="shared" si="233"/>
        <v/>
      </c>
      <c r="AF190" s="24" t="str">
        <f t="shared" si="234"/>
        <v/>
      </c>
      <c r="AG190" s="31"/>
      <c r="AH190" s="3"/>
    </row>
    <row r="191" spans="1:34" x14ac:dyDescent="0.25">
      <c r="A191" s="15" t="s">
        <v>124</v>
      </c>
      <c r="B191" s="16" t="s">
        <v>87</v>
      </c>
      <c r="C191" s="34"/>
      <c r="D191" s="26" t="s">
        <v>157</v>
      </c>
      <c r="E191" s="26"/>
      <c r="F191" s="26"/>
      <c r="G191" s="26"/>
      <c r="H191" s="21" t="s">
        <v>87</v>
      </c>
      <c r="I191" s="54" t="s">
        <v>95</v>
      </c>
      <c r="J191" s="54" t="s">
        <v>171</v>
      </c>
      <c r="K191" s="22">
        <v>1.41</v>
      </c>
      <c r="L191" s="10">
        <v>0.3</v>
      </c>
      <c r="M191" s="10"/>
      <c r="N191" s="39"/>
      <c r="O191" s="10"/>
      <c r="P191" s="40"/>
      <c r="Q191" s="40"/>
      <c r="R191" s="40"/>
      <c r="S191" s="39"/>
      <c r="T191" s="40"/>
      <c r="U191" s="40"/>
      <c r="V191" s="40"/>
      <c r="W191" s="40"/>
      <c r="X191" s="40"/>
      <c r="Y191" s="40"/>
      <c r="Z191" s="40"/>
      <c r="AA191" s="40"/>
      <c r="AB191" s="24">
        <f t="shared" si="230"/>
        <v>0.42299999999999999</v>
      </c>
      <c r="AC191" s="24" t="str">
        <f t="shared" si="231"/>
        <v/>
      </c>
      <c r="AD191" s="24" t="str">
        <f t="shared" si="232"/>
        <v/>
      </c>
      <c r="AE191" s="24" t="str">
        <f t="shared" si="233"/>
        <v/>
      </c>
      <c r="AF191" s="24" t="str">
        <f t="shared" si="234"/>
        <v/>
      </c>
      <c r="AG191" s="31"/>
      <c r="AH191" s="3"/>
    </row>
    <row r="192" spans="1:34" x14ac:dyDescent="0.25">
      <c r="A192" s="15" t="s">
        <v>124</v>
      </c>
      <c r="B192" s="16"/>
      <c r="C192" s="34"/>
      <c r="D192" s="26"/>
      <c r="E192" s="26"/>
      <c r="F192" s="26"/>
      <c r="G192" s="26" t="s">
        <v>274</v>
      </c>
      <c r="H192" s="21" t="s">
        <v>273</v>
      </c>
      <c r="I192" s="54" t="s">
        <v>131</v>
      </c>
      <c r="J192" s="54" t="s">
        <v>117</v>
      </c>
      <c r="K192" s="22">
        <f>19+1*2</f>
        <v>21</v>
      </c>
      <c r="L192" s="10">
        <f>10.5+0.15-1.7</f>
        <v>8.9500000000000011</v>
      </c>
      <c r="M192" s="10"/>
      <c r="N192" s="39"/>
      <c r="O192" s="10"/>
      <c r="P192" s="40"/>
      <c r="Q192" s="40"/>
      <c r="R192" s="40"/>
      <c r="S192" s="39"/>
      <c r="T192" s="40"/>
      <c r="U192" s="40"/>
      <c r="V192" s="40"/>
      <c r="W192" s="40"/>
      <c r="X192" s="40"/>
      <c r="Y192" s="40"/>
      <c r="Z192" s="40"/>
      <c r="AA192" s="40"/>
      <c r="AB192" s="24">
        <f t="shared" ref="AB192:AB195" si="235">IF(K192*L192+M192-O192*P192*R192-Q192*R192+T192*U192*W192+V192*W192&lt;&gt;0,K192*L192+M192-O192*P192*R192-Q192*R192+T192*U192*W192+V192*W192,"")</f>
        <v>187.95000000000002</v>
      </c>
      <c r="AC192" s="24" t="str">
        <f t="shared" ref="AC192:AC195" si="236">IF(W192*SUM(Y192:AA192)&lt;&gt;0,W192*SUM(Y192:AA192),"")</f>
        <v/>
      </c>
      <c r="AD192" s="24" t="str">
        <f t="shared" ref="AD192:AD195" si="237">IF(W192*X192*SUM(Y192:AA192)&lt;&gt;0,W192*X192*SUM(Y192:AA192),"")</f>
        <v/>
      </c>
      <c r="AE192" s="24" t="str">
        <f t="shared" ref="AE192:AE195" si="238">IF(O192*P192*R192+Q192*R192&lt;&gt;0,O192*P192*R192+Q192*R192,"")</f>
        <v/>
      </c>
      <c r="AF192" s="24" t="str">
        <f t="shared" ref="AF192:AF195" si="239">IF(W192*X192*(Z192+AA192)&lt;&gt;0,W192*X192*(Z192+AA192),"")</f>
        <v/>
      </c>
      <c r="AG192" s="31"/>
      <c r="AH192" s="3"/>
    </row>
    <row r="193" spans="1:34" x14ac:dyDescent="0.25">
      <c r="A193" s="15" t="s">
        <v>124</v>
      </c>
      <c r="B193" s="16"/>
      <c r="C193" s="34"/>
      <c r="D193" s="26"/>
      <c r="E193" s="26"/>
      <c r="F193" s="26"/>
      <c r="G193" s="26" t="s">
        <v>274</v>
      </c>
      <c r="H193" s="21" t="s">
        <v>273</v>
      </c>
      <c r="I193" s="54" t="s">
        <v>277</v>
      </c>
      <c r="J193" s="54" t="s">
        <v>117</v>
      </c>
      <c r="K193" s="22">
        <f>28.6+1*2</f>
        <v>30.6</v>
      </c>
      <c r="L193" s="10">
        <f>10.5+1.6/2-1.7</f>
        <v>9.6000000000000014</v>
      </c>
      <c r="M193" s="10"/>
      <c r="N193" s="39"/>
      <c r="O193" s="10"/>
      <c r="P193" s="40"/>
      <c r="Q193" s="40"/>
      <c r="R193" s="40"/>
      <c r="S193" s="39"/>
      <c r="T193" s="40"/>
      <c r="U193" s="40"/>
      <c r="V193" s="40"/>
      <c r="W193" s="40"/>
      <c r="X193" s="40"/>
      <c r="Y193" s="40"/>
      <c r="Z193" s="40"/>
      <c r="AA193" s="40"/>
      <c r="AB193" s="24">
        <f t="shared" si="235"/>
        <v>293.76000000000005</v>
      </c>
      <c r="AC193" s="24" t="str">
        <f t="shared" si="236"/>
        <v/>
      </c>
      <c r="AD193" s="24" t="str">
        <f t="shared" si="237"/>
        <v/>
      </c>
      <c r="AE193" s="24" t="str">
        <f t="shared" si="238"/>
        <v/>
      </c>
      <c r="AF193" s="24" t="str">
        <f t="shared" si="239"/>
        <v/>
      </c>
      <c r="AG193" s="31"/>
      <c r="AH193" s="3"/>
    </row>
    <row r="194" spans="1:34" x14ac:dyDescent="0.25">
      <c r="A194" s="15"/>
      <c r="B194" s="16"/>
      <c r="C194" s="34"/>
      <c r="D194" s="26"/>
      <c r="E194" s="26"/>
      <c r="F194" s="26"/>
      <c r="G194" s="26"/>
      <c r="H194" s="21"/>
      <c r="I194" s="54"/>
      <c r="J194" s="54"/>
      <c r="K194" s="22"/>
      <c r="L194" s="10"/>
      <c r="M194" s="10"/>
      <c r="N194" s="39"/>
      <c r="O194" s="10"/>
      <c r="P194" s="40"/>
      <c r="Q194" s="40"/>
      <c r="R194" s="40"/>
      <c r="S194" s="39"/>
      <c r="T194" s="40"/>
      <c r="U194" s="40"/>
      <c r="V194" s="40"/>
      <c r="W194" s="40"/>
      <c r="X194" s="40"/>
      <c r="Y194" s="40"/>
      <c r="Z194" s="40"/>
      <c r="AA194" s="40"/>
      <c r="AB194" s="24" t="str">
        <f t="shared" si="235"/>
        <v/>
      </c>
      <c r="AC194" s="24" t="str">
        <f t="shared" si="236"/>
        <v/>
      </c>
      <c r="AD194" s="24" t="str">
        <f t="shared" si="237"/>
        <v/>
      </c>
      <c r="AE194" s="24" t="str">
        <f t="shared" si="238"/>
        <v/>
      </c>
      <c r="AF194" s="24" t="str">
        <f t="shared" si="239"/>
        <v/>
      </c>
      <c r="AG194" s="31"/>
      <c r="AH194" s="3"/>
    </row>
    <row r="195" spans="1:34" x14ac:dyDescent="0.25">
      <c r="A195" s="49" t="s">
        <v>125</v>
      </c>
      <c r="B195" s="16"/>
      <c r="C195" s="34"/>
      <c r="D195" s="26"/>
      <c r="E195" s="26"/>
      <c r="F195" s="26"/>
      <c r="G195" s="26"/>
      <c r="H195" s="21"/>
      <c r="I195" s="54"/>
      <c r="J195" s="54"/>
      <c r="K195" s="22"/>
      <c r="L195" s="10"/>
      <c r="M195" s="10"/>
      <c r="N195" s="39"/>
      <c r="O195" s="10"/>
      <c r="P195" s="40"/>
      <c r="Q195" s="40"/>
      <c r="R195" s="40"/>
      <c r="S195" s="39"/>
      <c r="T195" s="40"/>
      <c r="U195" s="40"/>
      <c r="V195" s="40"/>
      <c r="W195" s="40"/>
      <c r="X195" s="40"/>
      <c r="Y195" s="40"/>
      <c r="Z195" s="40"/>
      <c r="AA195" s="40"/>
      <c r="AB195" s="24" t="str">
        <f t="shared" si="235"/>
        <v/>
      </c>
      <c r="AC195" s="24" t="str">
        <f t="shared" si="236"/>
        <v/>
      </c>
      <c r="AD195" s="24" t="str">
        <f t="shared" si="237"/>
        <v/>
      </c>
      <c r="AE195" s="24" t="str">
        <f t="shared" si="238"/>
        <v/>
      </c>
      <c r="AF195" s="24" t="str">
        <f t="shared" si="239"/>
        <v/>
      </c>
      <c r="AG195" s="31"/>
      <c r="AH195" s="3"/>
    </row>
    <row r="196" spans="1:34" x14ac:dyDescent="0.25">
      <c r="A196" s="15" t="s">
        <v>126</v>
      </c>
      <c r="B196" s="16" t="s">
        <v>71</v>
      </c>
      <c r="C196" s="34"/>
      <c r="D196" s="26" t="s">
        <v>81</v>
      </c>
      <c r="E196" s="26"/>
      <c r="F196" s="26"/>
      <c r="G196" s="26"/>
      <c r="H196" s="21" t="s">
        <v>83</v>
      </c>
      <c r="I196" s="54"/>
      <c r="J196" s="54"/>
      <c r="K196" s="22">
        <f>1.1+2.8</f>
        <v>3.9</v>
      </c>
      <c r="L196" s="10">
        <f>3.35-0.3</f>
        <v>3.0500000000000003</v>
      </c>
      <c r="M196" s="10"/>
      <c r="N196" s="39"/>
      <c r="O196" s="10"/>
      <c r="P196" s="40"/>
      <c r="Q196" s="40"/>
      <c r="R196" s="40"/>
      <c r="S196" s="39"/>
      <c r="T196" s="40"/>
      <c r="U196" s="40"/>
      <c r="V196" s="40"/>
      <c r="W196" s="40"/>
      <c r="X196" s="40"/>
      <c r="Y196" s="40"/>
      <c r="Z196" s="40"/>
      <c r="AA196" s="40"/>
      <c r="AB196" s="24">
        <f t="shared" si="220"/>
        <v>11.895000000000001</v>
      </c>
      <c r="AC196" s="24" t="str">
        <f t="shared" si="221"/>
        <v/>
      </c>
      <c r="AD196" s="24" t="str">
        <f t="shared" si="222"/>
        <v/>
      </c>
      <c r="AE196" s="24" t="str">
        <f t="shared" si="223"/>
        <v/>
      </c>
      <c r="AF196" s="24" t="str">
        <f t="shared" si="224"/>
        <v/>
      </c>
      <c r="AG196" s="31"/>
      <c r="AH196" s="3"/>
    </row>
    <row r="197" spans="1:34" x14ac:dyDescent="0.25">
      <c r="A197" s="15" t="s">
        <v>126</v>
      </c>
      <c r="B197" s="16" t="s">
        <v>71</v>
      </c>
      <c r="C197" s="34"/>
      <c r="D197" s="26" t="s">
        <v>79</v>
      </c>
      <c r="E197" s="26"/>
      <c r="F197" s="26"/>
      <c r="G197" s="26"/>
      <c r="H197" s="21" t="s">
        <v>86</v>
      </c>
      <c r="I197" s="54"/>
      <c r="J197" s="54"/>
      <c r="K197" s="22">
        <v>3.9</v>
      </c>
      <c r="L197" s="10">
        <f>0.3+0.13</f>
        <v>0.43</v>
      </c>
      <c r="M197" s="10"/>
      <c r="N197" s="39"/>
      <c r="O197" s="10"/>
      <c r="P197" s="40"/>
      <c r="Q197" s="40"/>
      <c r="R197" s="40"/>
      <c r="S197" s="39"/>
      <c r="T197" s="40"/>
      <c r="U197" s="40"/>
      <c r="V197" s="40"/>
      <c r="W197" s="40"/>
      <c r="X197" s="40"/>
      <c r="Y197" s="40"/>
      <c r="Z197" s="40"/>
      <c r="AA197" s="40"/>
      <c r="AB197" s="24">
        <f t="shared" si="134"/>
        <v>1.677</v>
      </c>
      <c r="AC197" s="24" t="str">
        <f t="shared" si="135"/>
        <v/>
      </c>
      <c r="AD197" s="24" t="str">
        <f t="shared" si="136"/>
        <v/>
      </c>
      <c r="AE197" s="24" t="str">
        <f t="shared" si="137"/>
        <v/>
      </c>
      <c r="AF197" s="24" t="str">
        <f t="shared" si="138"/>
        <v/>
      </c>
      <c r="AG197" s="31"/>
      <c r="AH197" s="3"/>
    </row>
    <row r="198" spans="1:34" x14ac:dyDescent="0.25">
      <c r="A198" s="15" t="s">
        <v>126</v>
      </c>
      <c r="B198" s="16" t="s">
        <v>71</v>
      </c>
      <c r="C198" s="34"/>
      <c r="D198" s="26" t="s">
        <v>82</v>
      </c>
      <c r="E198" s="26"/>
      <c r="F198" s="26"/>
      <c r="G198" s="26"/>
      <c r="H198" s="21" t="s">
        <v>83</v>
      </c>
      <c r="I198" s="54"/>
      <c r="J198" s="54"/>
      <c r="K198" s="22">
        <f>0.55+1+1.9</f>
        <v>3.45</v>
      </c>
      <c r="L198" s="10">
        <f>3.35-0.3</f>
        <v>3.0500000000000003</v>
      </c>
      <c r="M198" s="10"/>
      <c r="N198" s="39"/>
      <c r="O198" s="10"/>
      <c r="P198" s="40"/>
      <c r="Q198" s="40"/>
      <c r="R198" s="40"/>
      <c r="S198" s="39"/>
      <c r="T198" s="40"/>
      <c r="U198" s="40"/>
      <c r="V198" s="40"/>
      <c r="W198" s="40"/>
      <c r="X198" s="40"/>
      <c r="Y198" s="40"/>
      <c r="Z198" s="40"/>
      <c r="AA198" s="40"/>
      <c r="AB198" s="24">
        <f t="shared" ref="AB198:AB200" si="240">IF(K198*L198+M198-O198*P198*R198-Q198*R198+T198*U198*W198+V198*W198&lt;&gt;0,K198*L198+M198-O198*P198*R198-Q198*R198+T198*U198*W198+V198*W198,"")</f>
        <v>10.522500000000001</v>
      </c>
      <c r="AC198" s="24" t="str">
        <f t="shared" ref="AC198:AC200" si="241">IF(W198*SUM(Y198:AA198)&lt;&gt;0,W198*SUM(Y198:AA198),"")</f>
        <v/>
      </c>
      <c r="AD198" s="24" t="str">
        <f t="shared" ref="AD198:AD200" si="242">IF(W198*X198*SUM(Y198:AA198)&lt;&gt;0,W198*X198*SUM(Y198:AA198),"")</f>
        <v/>
      </c>
      <c r="AE198" s="24" t="str">
        <f t="shared" ref="AE198:AE200" si="243">IF(O198*P198*R198+Q198*R198&lt;&gt;0,O198*P198*R198+Q198*R198,"")</f>
        <v/>
      </c>
      <c r="AF198" s="24" t="str">
        <f t="shared" ref="AF198:AF200" si="244">IF(W198*X198*(Z198+AA198)&lt;&gt;0,W198*X198*(Z198+AA198),"")</f>
        <v/>
      </c>
      <c r="AG198" s="31"/>
      <c r="AH198" s="3"/>
    </row>
    <row r="199" spans="1:34" x14ac:dyDescent="0.25">
      <c r="A199" s="15" t="s">
        <v>126</v>
      </c>
      <c r="B199" s="16" t="s">
        <v>71</v>
      </c>
      <c r="C199" s="34"/>
      <c r="D199" s="26" t="s">
        <v>80</v>
      </c>
      <c r="E199" s="26"/>
      <c r="F199" s="26"/>
      <c r="G199" s="26"/>
      <c r="H199" s="21" t="s">
        <v>86</v>
      </c>
      <c r="I199" s="54"/>
      <c r="J199" s="54"/>
      <c r="K199" s="22">
        <v>3.45</v>
      </c>
      <c r="L199" s="10">
        <f>0.3+0.13</f>
        <v>0.43</v>
      </c>
      <c r="M199" s="10"/>
      <c r="N199" s="39"/>
      <c r="O199" s="10"/>
      <c r="P199" s="40"/>
      <c r="Q199" s="40"/>
      <c r="R199" s="40"/>
      <c r="S199" s="39"/>
      <c r="T199" s="40"/>
      <c r="U199" s="40"/>
      <c r="V199" s="40"/>
      <c r="W199" s="40"/>
      <c r="X199" s="40"/>
      <c r="Y199" s="40"/>
      <c r="Z199" s="40"/>
      <c r="AA199" s="40"/>
      <c r="AB199" s="24">
        <f t="shared" si="240"/>
        <v>1.4835</v>
      </c>
      <c r="AC199" s="24" t="str">
        <f t="shared" si="241"/>
        <v/>
      </c>
      <c r="AD199" s="24" t="str">
        <f t="shared" si="242"/>
        <v/>
      </c>
      <c r="AE199" s="24" t="str">
        <f t="shared" si="243"/>
        <v/>
      </c>
      <c r="AF199" s="24" t="str">
        <f t="shared" si="244"/>
        <v/>
      </c>
      <c r="AG199" s="31"/>
      <c r="AH199" s="3"/>
    </row>
    <row r="200" spans="1:34" x14ac:dyDescent="0.25">
      <c r="A200" s="15" t="s">
        <v>126</v>
      </c>
      <c r="B200" s="16" t="s">
        <v>71</v>
      </c>
      <c r="C200" s="34"/>
      <c r="D200" s="26" t="s">
        <v>82</v>
      </c>
      <c r="E200" s="26"/>
      <c r="F200" s="26"/>
      <c r="G200" s="26"/>
      <c r="H200" s="21" t="s">
        <v>84</v>
      </c>
      <c r="I200" s="54"/>
      <c r="J200" s="54"/>
      <c r="K200" s="22">
        <f>0.5*4*4</f>
        <v>8</v>
      </c>
      <c r="L200" s="10">
        <f>3.35-0.3</f>
        <v>3.0500000000000003</v>
      </c>
      <c r="M200" s="10"/>
      <c r="N200" s="39"/>
      <c r="O200" s="10"/>
      <c r="P200" s="40"/>
      <c r="Q200" s="40"/>
      <c r="R200" s="40"/>
      <c r="S200" s="39"/>
      <c r="T200" s="40"/>
      <c r="U200" s="40"/>
      <c r="V200" s="40"/>
      <c r="W200" s="40"/>
      <c r="X200" s="40"/>
      <c r="Y200" s="40"/>
      <c r="Z200" s="40"/>
      <c r="AA200" s="40"/>
      <c r="AB200" s="24">
        <f t="shared" si="240"/>
        <v>24.400000000000002</v>
      </c>
      <c r="AC200" s="24" t="str">
        <f t="shared" si="241"/>
        <v/>
      </c>
      <c r="AD200" s="24" t="str">
        <f t="shared" si="242"/>
        <v/>
      </c>
      <c r="AE200" s="24" t="str">
        <f t="shared" si="243"/>
        <v/>
      </c>
      <c r="AF200" s="24" t="str">
        <f t="shared" si="244"/>
        <v/>
      </c>
      <c r="AG200" s="31"/>
      <c r="AH200" s="3"/>
    </row>
    <row r="201" spans="1:34" x14ac:dyDescent="0.25">
      <c r="A201" s="15" t="s">
        <v>126</v>
      </c>
      <c r="B201" s="16" t="s">
        <v>71</v>
      </c>
      <c r="C201" s="34"/>
      <c r="D201" s="26" t="s">
        <v>80</v>
      </c>
      <c r="E201" s="26"/>
      <c r="F201" s="26"/>
      <c r="G201" s="26"/>
      <c r="H201" s="21" t="s">
        <v>85</v>
      </c>
      <c r="I201" s="54"/>
      <c r="J201" s="54"/>
      <c r="K201" s="22">
        <f>0.5*4*4</f>
        <v>8</v>
      </c>
      <c r="L201" s="10">
        <f>0.3+0.17</f>
        <v>0.47</v>
      </c>
      <c r="M201" s="10"/>
      <c r="N201" s="39"/>
      <c r="O201" s="10"/>
      <c r="P201" s="40"/>
      <c r="Q201" s="40"/>
      <c r="R201" s="40"/>
      <c r="S201" s="39"/>
      <c r="T201" s="40">
        <f>0.3*4</f>
        <v>1.2</v>
      </c>
      <c r="U201" s="40">
        <f>0.565-0.2</f>
        <v>0.36499999999999994</v>
      </c>
      <c r="V201" s="40"/>
      <c r="W201" s="40"/>
      <c r="X201" s="40"/>
      <c r="Y201" s="40"/>
      <c r="Z201" s="40"/>
      <c r="AA201" s="40"/>
      <c r="AB201" s="24">
        <f t="shared" ref="AB201:AB227" si="245">IF(K201*L201+M201-O201*P201*R201-Q201*R201+T201*U201*W201+V201*W201&lt;&gt;0,K201*L201+M201-O201*P201*R201-Q201*R201+T201*U201*W201+V201*W201,"")</f>
        <v>3.76</v>
      </c>
      <c r="AC201" s="24" t="str">
        <f t="shared" ref="AC201:AC227" si="246">IF(W201*SUM(Y201:AA201)&lt;&gt;0,W201*SUM(Y201:AA201),"")</f>
        <v/>
      </c>
      <c r="AD201" s="24" t="str">
        <f t="shared" ref="AD201:AD227" si="247">IF(W201*X201*SUM(Y201:AA201)&lt;&gt;0,W201*X201*SUM(Y201:AA201),"")</f>
        <v/>
      </c>
      <c r="AE201" s="24" t="str">
        <f t="shared" ref="AE201:AE227" si="248">IF(O201*P201*R201+Q201*R201&lt;&gt;0,O201*P201*R201+Q201*R201,"")</f>
        <v/>
      </c>
      <c r="AF201" s="24" t="str">
        <f t="shared" ref="AF201:AF227" si="249">IF(W201*X201*(Z201+AA201)&lt;&gt;0,W201*X201*(Z201+AA201),"")</f>
        <v/>
      </c>
      <c r="AG201" s="31"/>
      <c r="AH201" s="3"/>
    </row>
    <row r="202" spans="1:34" x14ac:dyDescent="0.25">
      <c r="A202" s="15" t="s">
        <v>126</v>
      </c>
      <c r="B202" s="16" t="s">
        <v>71</v>
      </c>
      <c r="C202" s="34"/>
      <c r="D202" s="26" t="s">
        <v>191</v>
      </c>
      <c r="E202" s="26"/>
      <c r="F202" s="26"/>
      <c r="G202" s="26"/>
      <c r="H202" s="21" t="s">
        <v>197</v>
      </c>
      <c r="I202" s="54" t="s">
        <v>193</v>
      </c>
      <c r="J202" s="54" t="s">
        <v>211</v>
      </c>
      <c r="K202" s="22">
        <f>10.7-0.2+0.12</f>
        <v>10.62</v>
      </c>
      <c r="L202" s="10">
        <f>1.75/2+0.465</f>
        <v>1.34</v>
      </c>
      <c r="M202" s="10"/>
      <c r="N202" s="39"/>
      <c r="O202" s="10"/>
      <c r="P202" s="40"/>
      <c r="Q202" s="40"/>
      <c r="R202" s="40"/>
      <c r="S202" s="39"/>
      <c r="T202" s="40"/>
      <c r="U202" s="40"/>
      <c r="V202" s="40"/>
      <c r="W202" s="40"/>
      <c r="X202" s="40"/>
      <c r="Y202" s="40"/>
      <c r="Z202" s="40"/>
      <c r="AA202" s="40"/>
      <c r="AB202" s="24">
        <f t="shared" ref="AB202:AB206" si="250">IF(K202*L202+M202-O202*P202*R202-Q202*R202+T202*U202*W202+V202*W202&lt;&gt;0,K202*L202+M202-O202*P202*R202-Q202*R202+T202*U202*W202+V202*W202,"")</f>
        <v>14.2308</v>
      </c>
      <c r="AC202" s="24" t="str">
        <f t="shared" ref="AC202:AC206" si="251">IF(W202*SUM(Y202:AA202)&lt;&gt;0,W202*SUM(Y202:AA202),"")</f>
        <v/>
      </c>
      <c r="AD202" s="24" t="str">
        <f t="shared" ref="AD202:AD206" si="252">IF(W202*X202*SUM(Y202:AA202)&lt;&gt;0,W202*X202*SUM(Y202:AA202),"")</f>
        <v/>
      </c>
      <c r="AE202" s="24" t="str">
        <f t="shared" ref="AE202:AE206" si="253">IF(O202*P202*R202+Q202*R202&lt;&gt;0,O202*P202*R202+Q202*R202,"")</f>
        <v/>
      </c>
      <c r="AF202" s="24" t="str">
        <f t="shared" ref="AF202:AF206" si="254">IF(W202*X202*(Z202+AA202)&lt;&gt;0,W202*X202*(Z202+AA202),"")</f>
        <v/>
      </c>
      <c r="AG202" s="31" t="s">
        <v>212</v>
      </c>
      <c r="AH202" s="3"/>
    </row>
    <row r="203" spans="1:34" x14ac:dyDescent="0.25">
      <c r="A203" s="15" t="s">
        <v>126</v>
      </c>
      <c r="B203" s="16" t="s">
        <v>71</v>
      </c>
      <c r="C203" s="34"/>
      <c r="D203" s="26" t="s">
        <v>191</v>
      </c>
      <c r="E203" s="26"/>
      <c r="F203" s="26"/>
      <c r="G203" s="26"/>
      <c r="H203" s="21" t="s">
        <v>197</v>
      </c>
      <c r="I203" s="54" t="s">
        <v>193</v>
      </c>
      <c r="J203" s="54" t="s">
        <v>131</v>
      </c>
      <c r="K203" s="22">
        <f>36.55+0.12*2-K202+1.1*2-3.95</f>
        <v>24.42</v>
      </c>
      <c r="L203" s="10">
        <f>0.465-0.15</f>
        <v>0.31500000000000006</v>
      </c>
      <c r="M203" s="10"/>
      <c r="N203" s="39"/>
      <c r="O203" s="10"/>
      <c r="P203" s="40"/>
      <c r="Q203" s="40"/>
      <c r="R203" s="40"/>
      <c r="S203" s="39"/>
      <c r="T203" s="40"/>
      <c r="U203" s="40"/>
      <c r="V203" s="40"/>
      <c r="W203" s="40"/>
      <c r="X203" s="40"/>
      <c r="Y203" s="40"/>
      <c r="Z203" s="40"/>
      <c r="AA203" s="40"/>
      <c r="AB203" s="24">
        <f t="shared" si="250"/>
        <v>7.6923000000000021</v>
      </c>
      <c r="AC203" s="24" t="str">
        <f t="shared" si="251"/>
        <v/>
      </c>
      <c r="AD203" s="24" t="str">
        <f t="shared" si="252"/>
        <v/>
      </c>
      <c r="AE203" s="24" t="str">
        <f t="shared" si="253"/>
        <v/>
      </c>
      <c r="AF203" s="24" t="str">
        <f t="shared" si="254"/>
        <v/>
      </c>
      <c r="AG203" s="31"/>
      <c r="AH203" s="3"/>
    </row>
    <row r="204" spans="1:34" x14ac:dyDescent="0.25">
      <c r="A204" s="15" t="s">
        <v>126</v>
      </c>
      <c r="B204" s="16" t="s">
        <v>71</v>
      </c>
      <c r="C204" s="34"/>
      <c r="D204" s="26" t="s">
        <v>201</v>
      </c>
      <c r="E204" s="26"/>
      <c r="F204" s="26"/>
      <c r="G204" s="26"/>
      <c r="H204" s="21" t="s">
        <v>197</v>
      </c>
      <c r="I204" s="54" t="s">
        <v>192</v>
      </c>
      <c r="J204" s="54" t="s">
        <v>213</v>
      </c>
      <c r="K204" s="22">
        <f>3.95-0.3</f>
        <v>3.6500000000000004</v>
      </c>
      <c r="L204" s="10">
        <f>0.565-0.2</f>
        <v>0.36499999999999994</v>
      </c>
      <c r="M204" s="10"/>
      <c r="N204" s="39"/>
      <c r="O204" s="10"/>
      <c r="P204" s="40"/>
      <c r="Q204" s="40"/>
      <c r="R204" s="40"/>
      <c r="S204" s="39"/>
      <c r="T204" s="40"/>
      <c r="U204" s="40"/>
      <c r="V204" s="40"/>
      <c r="W204" s="40"/>
      <c r="X204" s="40"/>
      <c r="Y204" s="40"/>
      <c r="Z204" s="40"/>
      <c r="AA204" s="40"/>
      <c r="AB204" s="24">
        <f t="shared" si="250"/>
        <v>1.3322499999999999</v>
      </c>
      <c r="AC204" s="24" t="str">
        <f t="shared" si="251"/>
        <v/>
      </c>
      <c r="AD204" s="24" t="str">
        <f t="shared" si="252"/>
        <v/>
      </c>
      <c r="AE204" s="24" t="str">
        <f t="shared" si="253"/>
        <v/>
      </c>
      <c r="AF204" s="24" t="str">
        <f t="shared" si="254"/>
        <v/>
      </c>
      <c r="AG204" s="31"/>
      <c r="AH204" s="3"/>
    </row>
    <row r="205" spans="1:34" x14ac:dyDescent="0.25">
      <c r="A205" s="15" t="s">
        <v>126</v>
      </c>
      <c r="B205" s="16" t="s">
        <v>71</v>
      </c>
      <c r="C205" s="34"/>
      <c r="D205" s="26" t="s">
        <v>201</v>
      </c>
      <c r="E205" s="26"/>
      <c r="F205" s="26"/>
      <c r="G205" s="26"/>
      <c r="H205" s="21" t="s">
        <v>197</v>
      </c>
      <c r="I205" s="54" t="s">
        <v>192</v>
      </c>
      <c r="J205" s="54" t="s">
        <v>213</v>
      </c>
      <c r="K205" s="22">
        <f>28.12-0.3*4</f>
        <v>26.92</v>
      </c>
      <c r="L205" s="10">
        <f>0.565-0.2</f>
        <v>0.36499999999999994</v>
      </c>
      <c r="M205" s="10"/>
      <c r="N205" s="39"/>
      <c r="O205" s="10"/>
      <c r="P205" s="40"/>
      <c r="Q205" s="40"/>
      <c r="R205" s="40"/>
      <c r="S205" s="39"/>
      <c r="T205" s="40"/>
      <c r="U205" s="40"/>
      <c r="V205" s="40"/>
      <c r="W205" s="40"/>
      <c r="X205" s="40"/>
      <c r="Y205" s="40"/>
      <c r="Z205" s="40"/>
      <c r="AA205" s="40"/>
      <c r="AB205" s="24">
        <f t="shared" si="250"/>
        <v>9.8257999999999992</v>
      </c>
      <c r="AC205" s="24" t="str">
        <f t="shared" si="251"/>
        <v/>
      </c>
      <c r="AD205" s="24" t="str">
        <f t="shared" si="252"/>
        <v/>
      </c>
      <c r="AE205" s="24" t="str">
        <f t="shared" si="253"/>
        <v/>
      </c>
      <c r="AF205" s="24" t="str">
        <f t="shared" si="254"/>
        <v/>
      </c>
      <c r="AG205" s="31"/>
      <c r="AH205" s="3"/>
    </row>
    <row r="206" spans="1:34" x14ac:dyDescent="0.25">
      <c r="A206" s="15" t="s">
        <v>126</v>
      </c>
      <c r="B206" s="16" t="s">
        <v>71</v>
      </c>
      <c r="C206" s="34"/>
      <c r="D206" s="26" t="s">
        <v>191</v>
      </c>
      <c r="E206" s="26"/>
      <c r="F206" s="26"/>
      <c r="G206" s="26"/>
      <c r="H206" s="21" t="s">
        <v>197</v>
      </c>
      <c r="I206" s="54" t="s">
        <v>192</v>
      </c>
      <c r="J206" s="54" t="s">
        <v>214</v>
      </c>
      <c r="K206" s="22">
        <f>1.23+0.12</f>
        <v>1.35</v>
      </c>
      <c r="L206" s="10">
        <f>0.65/2+0.565</f>
        <v>0.8899999999999999</v>
      </c>
      <c r="M206" s="10"/>
      <c r="N206" s="39"/>
      <c r="O206" s="10"/>
      <c r="P206" s="40"/>
      <c r="Q206" s="40"/>
      <c r="R206" s="40"/>
      <c r="S206" s="39"/>
      <c r="T206" s="40"/>
      <c r="U206" s="40"/>
      <c r="V206" s="40"/>
      <c r="W206" s="40"/>
      <c r="X206" s="40"/>
      <c r="Y206" s="40"/>
      <c r="Z206" s="40"/>
      <c r="AA206" s="40"/>
      <c r="AB206" s="24">
        <f t="shared" si="250"/>
        <v>1.2015</v>
      </c>
      <c r="AC206" s="24" t="str">
        <f t="shared" si="251"/>
        <v/>
      </c>
      <c r="AD206" s="24" t="str">
        <f t="shared" si="252"/>
        <v/>
      </c>
      <c r="AE206" s="24" t="str">
        <f t="shared" si="253"/>
        <v/>
      </c>
      <c r="AF206" s="24" t="str">
        <f t="shared" si="254"/>
        <v/>
      </c>
      <c r="AG206" s="31" t="s">
        <v>172</v>
      </c>
      <c r="AH206" s="3"/>
    </row>
    <row r="207" spans="1:34" x14ac:dyDescent="0.25">
      <c r="A207" s="15" t="s">
        <v>126</v>
      </c>
      <c r="B207" s="16" t="s">
        <v>71</v>
      </c>
      <c r="C207" s="34"/>
      <c r="D207" s="26" t="s">
        <v>79</v>
      </c>
      <c r="E207" s="26"/>
      <c r="F207" s="26"/>
      <c r="G207" s="26"/>
      <c r="H207" s="21" t="s">
        <v>128</v>
      </c>
      <c r="I207" s="54" t="s">
        <v>93</v>
      </c>
      <c r="J207" s="54"/>
      <c r="K207" s="22">
        <v>1.73</v>
      </c>
      <c r="L207" s="10">
        <v>0.3</v>
      </c>
      <c r="M207" s="10"/>
      <c r="N207" s="39"/>
      <c r="O207" s="10"/>
      <c r="P207" s="40"/>
      <c r="Q207" s="40"/>
      <c r="R207" s="40"/>
      <c r="S207" s="39"/>
      <c r="T207" s="40"/>
      <c r="U207" s="40"/>
      <c r="V207" s="40"/>
      <c r="W207" s="40"/>
      <c r="X207" s="40"/>
      <c r="Y207" s="40"/>
      <c r="Z207" s="40"/>
      <c r="AA207" s="40"/>
      <c r="AB207" s="24">
        <f t="shared" ref="AB207" si="255">IF(K207*L207+M207-O207*P207*R207-Q207*R207+T207*U207*W207+V207*W207&lt;&gt;0,K207*L207+M207-O207*P207*R207-Q207*R207+T207*U207*W207+V207*W207,"")</f>
        <v>0.51900000000000002</v>
      </c>
      <c r="AC207" s="24" t="str">
        <f t="shared" ref="AC207" si="256">IF(W207*SUM(Y207:AA207)&lt;&gt;0,W207*SUM(Y207:AA207),"")</f>
        <v/>
      </c>
      <c r="AD207" s="24" t="str">
        <f t="shared" ref="AD207" si="257">IF(W207*X207*SUM(Y207:AA207)&lt;&gt;0,W207*X207*SUM(Y207:AA207),"")</f>
        <v/>
      </c>
      <c r="AE207" s="24" t="str">
        <f t="shared" ref="AE207" si="258">IF(O207*P207*R207+Q207*R207&lt;&gt;0,O207*P207*R207+Q207*R207,"")</f>
        <v/>
      </c>
      <c r="AF207" s="24" t="str">
        <f t="shared" ref="AF207" si="259">IF(W207*X207*(Z207+AA207)&lt;&gt;0,W207*X207*(Z207+AA207),"")</f>
        <v/>
      </c>
      <c r="AG207" s="31"/>
      <c r="AH207" s="3"/>
    </row>
    <row r="208" spans="1:34" x14ac:dyDescent="0.25">
      <c r="A208" s="15" t="s">
        <v>126</v>
      </c>
      <c r="B208" s="16" t="s">
        <v>71</v>
      </c>
      <c r="C208" s="34"/>
      <c r="D208" s="26" t="s">
        <v>79</v>
      </c>
      <c r="E208" s="26"/>
      <c r="F208" s="26"/>
      <c r="G208" s="26"/>
      <c r="H208" s="21" t="s">
        <v>129</v>
      </c>
      <c r="I208" s="54" t="s">
        <v>131</v>
      </c>
      <c r="J208" s="54" t="s">
        <v>130</v>
      </c>
      <c r="K208" s="22">
        <f>17.82-7.1</f>
        <v>10.72</v>
      </c>
      <c r="L208" s="10">
        <v>0.3</v>
      </c>
      <c r="M208" s="10"/>
      <c r="N208" s="39"/>
      <c r="O208" s="10">
        <f>4.3+0.4+1.65</f>
        <v>6.35</v>
      </c>
      <c r="P208" s="40">
        <f>0.15-0.05</f>
        <v>9.9999999999999992E-2</v>
      </c>
      <c r="Q208" s="40"/>
      <c r="R208" s="40">
        <v>1</v>
      </c>
      <c r="S208" s="39"/>
      <c r="T208" s="40"/>
      <c r="U208" s="40"/>
      <c r="V208" s="40"/>
      <c r="W208" s="40"/>
      <c r="X208" s="40"/>
      <c r="Y208" s="40"/>
      <c r="Z208" s="40"/>
      <c r="AA208" s="40"/>
      <c r="AB208" s="24">
        <f t="shared" si="245"/>
        <v>2.5810000000000004</v>
      </c>
      <c r="AC208" s="24" t="str">
        <f t="shared" si="246"/>
        <v/>
      </c>
      <c r="AD208" s="24" t="str">
        <f t="shared" si="247"/>
        <v/>
      </c>
      <c r="AE208" s="24">
        <f t="shared" si="248"/>
        <v>0.6349999999999999</v>
      </c>
      <c r="AF208" s="24" t="str">
        <f t="shared" si="249"/>
        <v/>
      </c>
      <c r="AG208" s="31"/>
      <c r="AH208" s="3"/>
    </row>
    <row r="209" spans="1:34" x14ac:dyDescent="0.25">
      <c r="A209" s="15" t="s">
        <v>126</v>
      </c>
      <c r="B209" s="16" t="s">
        <v>71</v>
      </c>
      <c r="C209" s="34"/>
      <c r="D209" s="26" t="s">
        <v>79</v>
      </c>
      <c r="E209" s="26"/>
      <c r="F209" s="26"/>
      <c r="G209" s="26"/>
      <c r="H209" s="21"/>
      <c r="I209" s="54"/>
      <c r="J209" s="54"/>
      <c r="K209" s="22"/>
      <c r="L209" s="10"/>
      <c r="M209" s="10"/>
      <c r="N209" s="39"/>
      <c r="O209" s="10">
        <v>2.04</v>
      </c>
      <c r="P209" s="40">
        <v>0.1</v>
      </c>
      <c r="Q209" s="40"/>
      <c r="R209" s="40">
        <v>2</v>
      </c>
      <c r="S209" s="39"/>
      <c r="T209" s="40"/>
      <c r="U209" s="40"/>
      <c r="V209" s="40"/>
      <c r="W209" s="40"/>
      <c r="X209" s="40"/>
      <c r="Y209" s="40"/>
      <c r="Z209" s="40"/>
      <c r="AA209" s="40"/>
      <c r="AB209" s="24">
        <f t="shared" si="245"/>
        <v>-0.40800000000000003</v>
      </c>
      <c r="AC209" s="24" t="str">
        <f t="shared" si="246"/>
        <v/>
      </c>
      <c r="AD209" s="24" t="str">
        <f t="shared" si="247"/>
        <v/>
      </c>
      <c r="AE209" s="24">
        <f t="shared" si="248"/>
        <v>0.40800000000000003</v>
      </c>
      <c r="AF209" s="24" t="str">
        <f t="shared" si="249"/>
        <v/>
      </c>
      <c r="AG209" s="31"/>
      <c r="AH209" s="3"/>
    </row>
    <row r="210" spans="1:34" x14ac:dyDescent="0.25">
      <c r="A210" s="15" t="s">
        <v>126</v>
      </c>
      <c r="B210" s="16" t="s">
        <v>71</v>
      </c>
      <c r="C210" s="34"/>
      <c r="D210" s="26" t="s">
        <v>79</v>
      </c>
      <c r="E210" s="26"/>
      <c r="F210" s="26"/>
      <c r="G210" s="26"/>
      <c r="H210" s="21" t="s">
        <v>127</v>
      </c>
      <c r="I210" s="54" t="s">
        <v>93</v>
      </c>
      <c r="J210" s="54"/>
      <c r="K210" s="22">
        <v>11.41</v>
      </c>
      <c r="L210" s="10">
        <v>0.3</v>
      </c>
      <c r="M210" s="10"/>
      <c r="N210" s="39"/>
      <c r="O210" s="10"/>
      <c r="P210" s="40"/>
      <c r="Q210" s="40"/>
      <c r="R210" s="40"/>
      <c r="S210" s="39"/>
      <c r="T210" s="40"/>
      <c r="U210" s="40"/>
      <c r="V210" s="40"/>
      <c r="W210" s="40"/>
      <c r="X210" s="40"/>
      <c r="Y210" s="40"/>
      <c r="Z210" s="40"/>
      <c r="AA210" s="40"/>
      <c r="AB210" s="24">
        <f t="shared" si="245"/>
        <v>3.423</v>
      </c>
      <c r="AC210" s="24" t="str">
        <f t="shared" si="246"/>
        <v/>
      </c>
      <c r="AD210" s="24" t="str">
        <f t="shared" si="247"/>
        <v/>
      </c>
      <c r="AE210" s="24" t="str">
        <f t="shared" si="248"/>
        <v/>
      </c>
      <c r="AF210" s="24" t="str">
        <f t="shared" si="249"/>
        <v/>
      </c>
      <c r="AG210" s="31"/>
      <c r="AH210" s="3"/>
    </row>
    <row r="211" spans="1:34" x14ac:dyDescent="0.25">
      <c r="A211" s="15" t="s">
        <v>126</v>
      </c>
      <c r="B211" s="16" t="s">
        <v>71</v>
      </c>
      <c r="C211" s="34"/>
      <c r="D211" s="26" t="s">
        <v>81</v>
      </c>
      <c r="E211" s="26"/>
      <c r="F211" s="26"/>
      <c r="G211" s="26"/>
      <c r="H211" s="21" t="s">
        <v>128</v>
      </c>
      <c r="I211" s="54"/>
      <c r="J211" s="54"/>
      <c r="K211" s="22">
        <v>1.47</v>
      </c>
      <c r="L211" s="10">
        <f>(2.055+2.825)/2</f>
        <v>2.4400000000000004</v>
      </c>
      <c r="M211" s="10"/>
      <c r="N211" s="39"/>
      <c r="O211" s="10"/>
      <c r="P211" s="40"/>
      <c r="Q211" s="40"/>
      <c r="R211" s="40"/>
      <c r="S211" s="39"/>
      <c r="T211" s="40"/>
      <c r="U211" s="40"/>
      <c r="V211" s="40"/>
      <c r="W211" s="40"/>
      <c r="X211" s="40"/>
      <c r="Y211" s="40"/>
      <c r="Z211" s="40"/>
      <c r="AA211" s="40"/>
      <c r="AB211" s="24">
        <f t="shared" si="245"/>
        <v>3.5868000000000007</v>
      </c>
      <c r="AC211" s="24" t="str">
        <f t="shared" si="246"/>
        <v/>
      </c>
      <c r="AD211" s="24" t="str">
        <f t="shared" si="247"/>
        <v/>
      </c>
      <c r="AE211" s="24" t="str">
        <f t="shared" si="248"/>
        <v/>
      </c>
      <c r="AF211" s="24" t="str">
        <f t="shared" si="249"/>
        <v/>
      </c>
      <c r="AG211" s="31"/>
      <c r="AH211" s="3"/>
    </row>
    <row r="212" spans="1:34" x14ac:dyDescent="0.25">
      <c r="A212" s="15" t="s">
        <v>126</v>
      </c>
      <c r="B212" s="16" t="s">
        <v>71</v>
      </c>
      <c r="C212" s="34"/>
      <c r="D212" s="26" t="s">
        <v>81</v>
      </c>
      <c r="E212" s="26"/>
      <c r="F212" s="26"/>
      <c r="G212" s="26"/>
      <c r="H212" s="21" t="s">
        <v>129</v>
      </c>
      <c r="I212" s="54" t="s">
        <v>130</v>
      </c>
      <c r="J212" s="54" t="s">
        <v>94</v>
      </c>
      <c r="K212" s="22">
        <f>17.82-7.1</f>
        <v>10.72</v>
      </c>
      <c r="L212" s="10">
        <f>3.1-0.15</f>
        <v>2.95</v>
      </c>
      <c r="M212" s="10"/>
      <c r="N212" s="39"/>
      <c r="O212" s="10">
        <f>4.3+0.4+1.65</f>
        <v>6.35</v>
      </c>
      <c r="P212" s="40">
        <v>2.95</v>
      </c>
      <c r="Q212" s="40"/>
      <c r="R212" s="40">
        <v>1</v>
      </c>
      <c r="S212" s="39"/>
      <c r="T212" s="40"/>
      <c r="U212" s="40"/>
      <c r="V212" s="40"/>
      <c r="W212" s="40"/>
      <c r="X212" s="40"/>
      <c r="Y212" s="40"/>
      <c r="Z212" s="40"/>
      <c r="AA212" s="40"/>
      <c r="AB212" s="24">
        <f t="shared" si="245"/>
        <v>12.891500000000001</v>
      </c>
      <c r="AC212" s="24" t="str">
        <f t="shared" si="246"/>
        <v/>
      </c>
      <c r="AD212" s="24" t="str">
        <f t="shared" si="247"/>
        <v/>
      </c>
      <c r="AE212" s="24">
        <f t="shared" si="248"/>
        <v>18.732500000000002</v>
      </c>
      <c r="AF212" s="24" t="str">
        <f t="shared" si="249"/>
        <v/>
      </c>
      <c r="AG212" s="31"/>
      <c r="AH212" s="3"/>
    </row>
    <row r="213" spans="1:34" x14ac:dyDescent="0.25">
      <c r="A213" s="15" t="s">
        <v>126</v>
      </c>
      <c r="B213" s="16" t="s">
        <v>71</v>
      </c>
      <c r="C213" s="34"/>
      <c r="D213" s="26" t="s">
        <v>81</v>
      </c>
      <c r="E213" s="26"/>
      <c r="F213" s="26"/>
      <c r="G213" s="26"/>
      <c r="H213" s="21"/>
      <c r="I213" s="54"/>
      <c r="J213" s="54"/>
      <c r="K213" s="22"/>
      <c r="L213" s="10"/>
      <c r="M213" s="10"/>
      <c r="N213" s="39"/>
      <c r="O213" s="10">
        <v>2.04</v>
      </c>
      <c r="P213" s="40">
        <v>2.95</v>
      </c>
      <c r="Q213" s="40"/>
      <c r="R213" s="40">
        <v>2</v>
      </c>
      <c r="S213" s="39"/>
      <c r="T213" s="40"/>
      <c r="U213" s="40"/>
      <c r="V213" s="40"/>
      <c r="W213" s="40"/>
      <c r="X213" s="40"/>
      <c r="Y213" s="40"/>
      <c r="Z213" s="40"/>
      <c r="AA213" s="40"/>
      <c r="AB213" s="24">
        <f t="shared" si="245"/>
        <v>-12.036000000000001</v>
      </c>
      <c r="AC213" s="24" t="str">
        <f t="shared" si="246"/>
        <v/>
      </c>
      <c r="AD213" s="24" t="str">
        <f t="shared" si="247"/>
        <v/>
      </c>
      <c r="AE213" s="24">
        <f t="shared" si="248"/>
        <v>12.036000000000001</v>
      </c>
      <c r="AF213" s="24" t="str">
        <f t="shared" si="249"/>
        <v/>
      </c>
      <c r="AG213" s="31"/>
      <c r="AH213" s="3"/>
    </row>
    <row r="214" spans="1:34" x14ac:dyDescent="0.25">
      <c r="A214" s="15" t="s">
        <v>126</v>
      </c>
      <c r="B214" s="16" t="s">
        <v>71</v>
      </c>
      <c r="C214" s="34"/>
      <c r="D214" s="26" t="s">
        <v>81</v>
      </c>
      <c r="E214" s="26"/>
      <c r="F214" s="26"/>
      <c r="G214" s="26"/>
      <c r="H214" s="21" t="s">
        <v>132</v>
      </c>
      <c r="I214" s="54" t="s">
        <v>93</v>
      </c>
      <c r="J214" s="54" t="s">
        <v>94</v>
      </c>
      <c r="K214" s="22"/>
      <c r="L214" s="10"/>
      <c r="M214" s="10">
        <v>19.5</v>
      </c>
      <c r="N214" s="39"/>
      <c r="O214" s="10"/>
      <c r="P214" s="40"/>
      <c r="Q214" s="40"/>
      <c r="R214" s="40"/>
      <c r="S214" s="39"/>
      <c r="T214" s="40"/>
      <c r="U214" s="40"/>
      <c r="V214" s="40"/>
      <c r="W214" s="40"/>
      <c r="X214" s="40"/>
      <c r="Y214" s="40"/>
      <c r="Z214" s="40"/>
      <c r="AA214" s="40"/>
      <c r="AB214" s="24">
        <f t="shared" si="245"/>
        <v>19.5</v>
      </c>
      <c r="AC214" s="24" t="str">
        <f t="shared" si="246"/>
        <v/>
      </c>
      <c r="AD214" s="24" t="str">
        <f t="shared" si="247"/>
        <v/>
      </c>
      <c r="AE214" s="24" t="str">
        <f t="shared" si="248"/>
        <v/>
      </c>
      <c r="AF214" s="24" t="str">
        <f t="shared" si="249"/>
        <v/>
      </c>
      <c r="AG214" s="31"/>
      <c r="AH214" s="3"/>
    </row>
    <row r="215" spans="1:34" x14ac:dyDescent="0.25">
      <c r="A215" s="15" t="s">
        <v>126</v>
      </c>
      <c r="B215" s="16" t="s">
        <v>71</v>
      </c>
      <c r="C215" s="34"/>
      <c r="D215" s="26" t="s">
        <v>72</v>
      </c>
      <c r="E215" s="26"/>
      <c r="F215" s="26"/>
      <c r="G215" s="26"/>
      <c r="H215" s="21" t="s">
        <v>132</v>
      </c>
      <c r="I215" s="54" t="s">
        <v>93</v>
      </c>
      <c r="J215" s="54" t="s">
        <v>94</v>
      </c>
      <c r="K215" s="22"/>
      <c r="L215" s="10"/>
      <c r="M215" s="10">
        <v>2.78</v>
      </c>
      <c r="N215" s="39"/>
      <c r="O215" s="10"/>
      <c r="P215" s="40"/>
      <c r="Q215" s="40"/>
      <c r="R215" s="40"/>
      <c r="S215" s="39"/>
      <c r="T215" s="40"/>
      <c r="U215" s="40"/>
      <c r="V215" s="40"/>
      <c r="W215" s="40"/>
      <c r="X215" s="40"/>
      <c r="Y215" s="40"/>
      <c r="Z215" s="40"/>
      <c r="AA215" s="40"/>
      <c r="AB215" s="24">
        <f t="shared" si="245"/>
        <v>2.78</v>
      </c>
      <c r="AC215" s="24" t="str">
        <f t="shared" si="246"/>
        <v/>
      </c>
      <c r="AD215" s="24" t="str">
        <f t="shared" si="247"/>
        <v/>
      </c>
      <c r="AE215" s="24" t="str">
        <f t="shared" si="248"/>
        <v/>
      </c>
      <c r="AF215" s="24" t="str">
        <f t="shared" si="249"/>
        <v/>
      </c>
      <c r="AG215" s="31"/>
      <c r="AH215" s="3"/>
    </row>
    <row r="216" spans="1:34" x14ac:dyDescent="0.25">
      <c r="A216" s="15" t="s">
        <v>126</v>
      </c>
      <c r="B216" s="16" t="s">
        <v>87</v>
      </c>
      <c r="C216" s="34"/>
      <c r="D216" s="26" t="s">
        <v>88</v>
      </c>
      <c r="E216" s="26"/>
      <c r="F216" s="26"/>
      <c r="G216" s="26"/>
      <c r="H216" s="21" t="s">
        <v>107</v>
      </c>
      <c r="I216" s="54" t="s">
        <v>98</v>
      </c>
      <c r="J216" s="54" t="s">
        <v>96</v>
      </c>
      <c r="K216" s="22">
        <f>20.25+40.25</f>
        <v>60.5</v>
      </c>
      <c r="L216" s="10">
        <f>(3.45+0.26+0.3)-(3.45+0.05)</f>
        <v>0.50999999999999979</v>
      </c>
      <c r="M216" s="10"/>
      <c r="N216" s="39"/>
      <c r="O216" s="10">
        <v>2.04</v>
      </c>
      <c r="P216" s="40">
        <f>0.3-0.045</f>
        <v>0.255</v>
      </c>
      <c r="Q216" s="40"/>
      <c r="R216" s="40">
        <v>11</v>
      </c>
      <c r="S216" s="39"/>
      <c r="T216" s="40"/>
      <c r="U216" s="40"/>
      <c r="V216" s="40"/>
      <c r="W216" s="40"/>
      <c r="X216" s="40"/>
      <c r="Y216" s="40"/>
      <c r="Z216" s="40"/>
      <c r="AA216" s="40"/>
      <c r="AB216" s="24">
        <f t="shared" si="245"/>
        <v>25.132799999999985</v>
      </c>
      <c r="AC216" s="24" t="str">
        <f t="shared" si="246"/>
        <v/>
      </c>
      <c r="AD216" s="24" t="str">
        <f t="shared" si="247"/>
        <v/>
      </c>
      <c r="AE216" s="24">
        <f t="shared" si="248"/>
        <v>5.7222</v>
      </c>
      <c r="AF216" s="24" t="str">
        <f t="shared" si="249"/>
        <v/>
      </c>
      <c r="AG216" s="31"/>
      <c r="AH216" s="3"/>
    </row>
    <row r="217" spans="1:34" x14ac:dyDescent="0.25">
      <c r="A217" s="15" t="s">
        <v>126</v>
      </c>
      <c r="B217" s="16" t="s">
        <v>87</v>
      </c>
      <c r="C217" s="34"/>
      <c r="D217" s="26" t="s">
        <v>88</v>
      </c>
      <c r="E217" s="26"/>
      <c r="F217" s="26"/>
      <c r="G217" s="26"/>
      <c r="H217" s="21"/>
      <c r="I217" s="54"/>
      <c r="J217" s="54"/>
      <c r="K217" s="22"/>
      <c r="L217" s="10"/>
      <c r="M217" s="10"/>
      <c r="N217" s="39"/>
      <c r="O217" s="10">
        <v>0.54</v>
      </c>
      <c r="P217" s="40">
        <f>0.3-0.045</f>
        <v>0.255</v>
      </c>
      <c r="Q217" s="40"/>
      <c r="R217" s="40">
        <v>2</v>
      </c>
      <c r="S217" s="39"/>
      <c r="T217" s="40"/>
      <c r="U217" s="40"/>
      <c r="V217" s="40"/>
      <c r="W217" s="40"/>
      <c r="X217" s="40"/>
      <c r="Y217" s="40"/>
      <c r="Z217" s="40"/>
      <c r="AA217" s="40"/>
      <c r="AB217" s="24">
        <f t="shared" si="245"/>
        <v>-0.27540000000000003</v>
      </c>
      <c r="AC217" s="24" t="str">
        <f t="shared" si="246"/>
        <v/>
      </c>
      <c r="AD217" s="24" t="str">
        <f t="shared" si="247"/>
        <v/>
      </c>
      <c r="AE217" s="24">
        <f t="shared" si="248"/>
        <v>0.27540000000000003</v>
      </c>
      <c r="AF217" s="24" t="str">
        <f t="shared" si="249"/>
        <v/>
      </c>
      <c r="AG217" s="31"/>
      <c r="AH217" s="3"/>
    </row>
    <row r="218" spans="1:34" x14ac:dyDescent="0.25">
      <c r="A218" s="15" t="s">
        <v>126</v>
      </c>
      <c r="B218" s="16" t="s">
        <v>87</v>
      </c>
      <c r="C218" s="34"/>
      <c r="D218" s="26" t="s">
        <v>88</v>
      </c>
      <c r="E218" s="26"/>
      <c r="F218" s="26"/>
      <c r="G218" s="26"/>
      <c r="H218" s="21"/>
      <c r="I218" s="54"/>
      <c r="J218" s="54"/>
      <c r="K218" s="22"/>
      <c r="L218" s="10"/>
      <c r="M218" s="10"/>
      <c r="N218" s="39"/>
      <c r="O218" s="10">
        <v>2.5</v>
      </c>
      <c r="P218" s="40">
        <v>0.51</v>
      </c>
      <c r="Q218" s="40"/>
      <c r="R218" s="40">
        <v>1</v>
      </c>
      <c r="S218" s="39"/>
      <c r="T218" s="40"/>
      <c r="U218" s="40"/>
      <c r="V218" s="40"/>
      <c r="W218" s="40"/>
      <c r="X218" s="40"/>
      <c r="Y218" s="40"/>
      <c r="Z218" s="40"/>
      <c r="AA218" s="40"/>
      <c r="AB218" s="24">
        <f t="shared" si="245"/>
        <v>-1.2749999999999999</v>
      </c>
      <c r="AC218" s="24" t="str">
        <f t="shared" si="246"/>
        <v/>
      </c>
      <c r="AD218" s="24" t="str">
        <f t="shared" si="247"/>
        <v/>
      </c>
      <c r="AE218" s="24">
        <f t="shared" si="248"/>
        <v>1.2749999999999999</v>
      </c>
      <c r="AF218" s="24" t="str">
        <f t="shared" si="249"/>
        <v/>
      </c>
      <c r="AG218" s="31"/>
      <c r="AH218" s="3"/>
    </row>
    <row r="219" spans="1:34" x14ac:dyDescent="0.25">
      <c r="A219" s="15" t="s">
        <v>126</v>
      </c>
      <c r="B219" s="16" t="s">
        <v>87</v>
      </c>
      <c r="C219" s="34"/>
      <c r="D219" s="26" t="s">
        <v>72</v>
      </c>
      <c r="E219" s="26"/>
      <c r="F219" s="26"/>
      <c r="G219" s="26"/>
      <c r="H219" s="21" t="s">
        <v>102</v>
      </c>
      <c r="I219" s="54" t="s">
        <v>96</v>
      </c>
      <c r="J219" s="54" t="s">
        <v>101</v>
      </c>
      <c r="K219" s="22">
        <f>20.25+40.25</f>
        <v>60.5</v>
      </c>
      <c r="L219" s="10">
        <f>6.2-4.01</f>
        <v>2.1900000000000004</v>
      </c>
      <c r="M219" s="10"/>
      <c r="N219" s="39"/>
      <c r="O219" s="10">
        <v>2.04</v>
      </c>
      <c r="P219" s="40">
        <v>2.19</v>
      </c>
      <c r="Q219" s="40"/>
      <c r="R219" s="40">
        <v>11</v>
      </c>
      <c r="S219" s="39"/>
      <c r="T219" s="40"/>
      <c r="U219" s="40"/>
      <c r="V219" s="40"/>
      <c r="W219" s="40"/>
      <c r="X219" s="40"/>
      <c r="Y219" s="40"/>
      <c r="Z219" s="40"/>
      <c r="AA219" s="40"/>
      <c r="AB219" s="24">
        <f t="shared" si="245"/>
        <v>83.351400000000041</v>
      </c>
      <c r="AC219" s="24" t="str">
        <f t="shared" si="246"/>
        <v/>
      </c>
      <c r="AD219" s="24" t="str">
        <f t="shared" si="247"/>
        <v/>
      </c>
      <c r="AE219" s="24">
        <f t="shared" si="248"/>
        <v>49.143599999999999</v>
      </c>
      <c r="AF219" s="24" t="str">
        <f t="shared" si="249"/>
        <v/>
      </c>
      <c r="AG219" s="31"/>
      <c r="AH219" s="3"/>
    </row>
    <row r="220" spans="1:34" x14ac:dyDescent="0.25">
      <c r="A220" s="15" t="s">
        <v>126</v>
      </c>
      <c r="B220" s="16" t="s">
        <v>87</v>
      </c>
      <c r="C220" s="34"/>
      <c r="D220" s="26" t="s">
        <v>72</v>
      </c>
      <c r="E220" s="26"/>
      <c r="F220" s="26"/>
      <c r="G220" s="26"/>
      <c r="H220" s="21"/>
      <c r="I220" s="54"/>
      <c r="J220" s="54"/>
      <c r="K220" s="22"/>
      <c r="L220" s="10"/>
      <c r="M220" s="10"/>
      <c r="N220" s="39"/>
      <c r="O220" s="10">
        <v>0.54</v>
      </c>
      <c r="P220" s="40">
        <v>2.19</v>
      </c>
      <c r="Q220" s="40"/>
      <c r="R220" s="40">
        <v>2</v>
      </c>
      <c r="S220" s="39"/>
      <c r="T220" s="40"/>
      <c r="U220" s="40"/>
      <c r="V220" s="40"/>
      <c r="W220" s="40"/>
      <c r="X220" s="40"/>
      <c r="Y220" s="40"/>
      <c r="Z220" s="40"/>
      <c r="AA220" s="40"/>
      <c r="AB220" s="24">
        <f t="shared" si="245"/>
        <v>-2.3652000000000002</v>
      </c>
      <c r="AC220" s="24" t="str">
        <f t="shared" si="246"/>
        <v/>
      </c>
      <c r="AD220" s="24" t="str">
        <f t="shared" si="247"/>
        <v/>
      </c>
      <c r="AE220" s="24">
        <f t="shared" si="248"/>
        <v>2.3652000000000002</v>
      </c>
      <c r="AF220" s="24" t="str">
        <f t="shared" si="249"/>
        <v/>
      </c>
      <c r="AG220" s="31"/>
      <c r="AH220" s="3"/>
    </row>
    <row r="221" spans="1:34" x14ac:dyDescent="0.25">
      <c r="A221" s="15" t="s">
        <v>126</v>
      </c>
      <c r="B221" s="16" t="s">
        <v>87</v>
      </c>
      <c r="C221" s="34"/>
      <c r="D221" s="26" t="s">
        <v>72</v>
      </c>
      <c r="E221" s="26"/>
      <c r="F221" s="26"/>
      <c r="G221" s="26"/>
      <c r="H221" s="21"/>
      <c r="I221" s="54"/>
      <c r="J221" s="54"/>
      <c r="K221" s="22"/>
      <c r="L221" s="10"/>
      <c r="M221" s="10"/>
      <c r="N221" s="39"/>
      <c r="O221" s="10">
        <v>2.5</v>
      </c>
      <c r="P221" s="40">
        <v>2.19</v>
      </c>
      <c r="Q221" s="40"/>
      <c r="R221" s="40">
        <v>1</v>
      </c>
      <c r="S221" s="39"/>
      <c r="T221" s="40"/>
      <c r="U221" s="40"/>
      <c r="V221" s="40"/>
      <c r="W221" s="40"/>
      <c r="X221" s="40"/>
      <c r="Y221" s="40"/>
      <c r="Z221" s="40"/>
      <c r="AA221" s="40"/>
      <c r="AB221" s="24">
        <f t="shared" si="245"/>
        <v>-5.4749999999999996</v>
      </c>
      <c r="AC221" s="24" t="str">
        <f t="shared" si="246"/>
        <v/>
      </c>
      <c r="AD221" s="24" t="str">
        <f t="shared" si="247"/>
        <v/>
      </c>
      <c r="AE221" s="24">
        <f t="shared" si="248"/>
        <v>5.4749999999999996</v>
      </c>
      <c r="AF221" s="24" t="str">
        <f t="shared" si="249"/>
        <v/>
      </c>
      <c r="AG221" s="31"/>
      <c r="AH221" s="3"/>
    </row>
    <row r="222" spans="1:34" x14ac:dyDescent="0.25">
      <c r="A222" s="15" t="s">
        <v>126</v>
      </c>
      <c r="B222" s="16" t="s">
        <v>87</v>
      </c>
      <c r="C222" s="34"/>
      <c r="D222" s="26" t="s">
        <v>88</v>
      </c>
      <c r="E222" s="26"/>
      <c r="F222" s="26"/>
      <c r="G222" s="26"/>
      <c r="H222" s="21" t="s">
        <v>103</v>
      </c>
      <c r="I222" s="54" t="s">
        <v>104</v>
      </c>
      <c r="J222" s="54" t="s">
        <v>96</v>
      </c>
      <c r="K222" s="22">
        <f>4.8*2</f>
        <v>9.6</v>
      </c>
      <c r="L222" s="10">
        <f>(3.45+0.26+0.3)-(3.5+0.1)</f>
        <v>0.4099999999999997</v>
      </c>
      <c r="M222" s="10"/>
      <c r="N222" s="39"/>
      <c r="O222" s="10">
        <v>1</v>
      </c>
      <c r="P222" s="10">
        <f>0.41-0.05</f>
        <v>0.36</v>
      </c>
      <c r="Q222" s="40"/>
      <c r="R222" s="40">
        <v>1</v>
      </c>
      <c r="S222" s="39"/>
      <c r="T222" s="40"/>
      <c r="U222" s="40"/>
      <c r="V222" s="40"/>
      <c r="W222" s="40"/>
      <c r="X222" s="40"/>
      <c r="Y222" s="40"/>
      <c r="Z222" s="40"/>
      <c r="AA222" s="40"/>
      <c r="AB222" s="24">
        <f t="shared" si="245"/>
        <v>3.575999999999997</v>
      </c>
      <c r="AC222" s="24" t="str">
        <f t="shared" si="246"/>
        <v/>
      </c>
      <c r="AD222" s="24" t="str">
        <f t="shared" si="247"/>
        <v/>
      </c>
      <c r="AE222" s="24">
        <f t="shared" si="248"/>
        <v>0.36</v>
      </c>
      <c r="AF222" s="24" t="str">
        <f t="shared" si="249"/>
        <v/>
      </c>
      <c r="AG222" s="31"/>
      <c r="AH222" s="3"/>
    </row>
    <row r="223" spans="1:34" x14ac:dyDescent="0.25">
      <c r="A223" s="15" t="s">
        <v>126</v>
      </c>
      <c r="B223" s="16" t="s">
        <v>87</v>
      </c>
      <c r="C223" s="34"/>
      <c r="D223" s="26" t="s">
        <v>72</v>
      </c>
      <c r="E223" s="26"/>
      <c r="F223" s="26"/>
      <c r="G223" s="26"/>
      <c r="H223" s="21" t="s">
        <v>105</v>
      </c>
      <c r="I223" s="54" t="s">
        <v>96</v>
      </c>
      <c r="J223" s="54" t="s">
        <v>101</v>
      </c>
      <c r="K223" s="22">
        <f>4.8*2</f>
        <v>9.6</v>
      </c>
      <c r="L223" s="10">
        <f>6.2-4.01</f>
        <v>2.1900000000000004</v>
      </c>
      <c r="M223" s="10"/>
      <c r="N223" s="39"/>
      <c r="O223" s="10">
        <v>1</v>
      </c>
      <c r="P223" s="40">
        <v>2.19</v>
      </c>
      <c r="Q223" s="40"/>
      <c r="R223" s="40">
        <v>1</v>
      </c>
      <c r="S223" s="39"/>
      <c r="T223" s="40"/>
      <c r="U223" s="40"/>
      <c r="V223" s="40"/>
      <c r="W223" s="40"/>
      <c r="X223" s="40"/>
      <c r="Y223" s="40"/>
      <c r="Z223" s="40"/>
      <c r="AA223" s="40"/>
      <c r="AB223" s="24">
        <f t="shared" si="245"/>
        <v>18.834000000000003</v>
      </c>
      <c r="AC223" s="24" t="str">
        <f t="shared" si="246"/>
        <v/>
      </c>
      <c r="AD223" s="24" t="str">
        <f t="shared" si="247"/>
        <v/>
      </c>
      <c r="AE223" s="24">
        <f t="shared" si="248"/>
        <v>2.19</v>
      </c>
      <c r="AF223" s="24" t="str">
        <f t="shared" si="249"/>
        <v/>
      </c>
      <c r="AG223" s="31"/>
      <c r="AH223" s="3"/>
    </row>
    <row r="224" spans="1:34" x14ac:dyDescent="0.25">
      <c r="A224" s="15" t="s">
        <v>126</v>
      </c>
      <c r="B224" s="16" t="s">
        <v>106</v>
      </c>
      <c r="C224" s="34"/>
      <c r="D224" s="26" t="s">
        <v>88</v>
      </c>
      <c r="E224" s="26"/>
      <c r="F224" s="26"/>
      <c r="G224" s="26"/>
      <c r="H224" s="21" t="s">
        <v>108</v>
      </c>
      <c r="I224" s="54" t="s">
        <v>113</v>
      </c>
      <c r="J224" s="54" t="s">
        <v>112</v>
      </c>
      <c r="K224" s="22">
        <f>20.25+40.25</f>
        <v>60.5</v>
      </c>
      <c r="L224" s="10">
        <f>(6.55+0.26+0.3)-(6.55+0.05)</f>
        <v>0.50999999999999979</v>
      </c>
      <c r="M224" s="10"/>
      <c r="N224" s="39"/>
      <c r="O224" s="10">
        <v>2.04</v>
      </c>
      <c r="P224" s="40">
        <f t="shared" ref="P224:P226" si="260">0.3-0.045</f>
        <v>0.255</v>
      </c>
      <c r="Q224" s="40"/>
      <c r="R224" s="40">
        <v>11</v>
      </c>
      <c r="S224" s="39"/>
      <c r="T224" s="40"/>
      <c r="U224" s="40"/>
      <c r="V224" s="40"/>
      <c r="W224" s="40"/>
      <c r="X224" s="40"/>
      <c r="Y224" s="40"/>
      <c r="Z224" s="40"/>
      <c r="AA224" s="40"/>
      <c r="AB224" s="24">
        <f t="shared" si="245"/>
        <v>25.132799999999985</v>
      </c>
      <c r="AC224" s="24" t="str">
        <f t="shared" si="246"/>
        <v/>
      </c>
      <c r="AD224" s="24" t="str">
        <f t="shared" si="247"/>
        <v/>
      </c>
      <c r="AE224" s="24">
        <f t="shared" si="248"/>
        <v>5.7222</v>
      </c>
      <c r="AF224" s="24" t="str">
        <f t="shared" si="249"/>
        <v/>
      </c>
      <c r="AG224" s="31"/>
      <c r="AH224" s="3"/>
    </row>
    <row r="225" spans="1:34" x14ac:dyDescent="0.25">
      <c r="A225" s="15" t="s">
        <v>126</v>
      </c>
      <c r="B225" s="16" t="s">
        <v>106</v>
      </c>
      <c r="C225" s="34"/>
      <c r="D225" s="26" t="s">
        <v>88</v>
      </c>
      <c r="E225" s="26"/>
      <c r="F225" s="26"/>
      <c r="G225" s="26"/>
      <c r="H225" s="21"/>
      <c r="I225" s="54"/>
      <c r="J225" s="54"/>
      <c r="K225" s="22"/>
      <c r="L225" s="10"/>
      <c r="M225" s="10"/>
      <c r="N225" s="39"/>
      <c r="O225" s="10">
        <v>0.54</v>
      </c>
      <c r="P225" s="40">
        <f t="shared" si="260"/>
        <v>0.255</v>
      </c>
      <c r="Q225" s="40"/>
      <c r="R225" s="40">
        <v>2</v>
      </c>
      <c r="S225" s="39"/>
      <c r="T225" s="40"/>
      <c r="U225" s="40"/>
      <c r="V225" s="40"/>
      <c r="W225" s="40"/>
      <c r="X225" s="40"/>
      <c r="Y225" s="40"/>
      <c r="Z225" s="40"/>
      <c r="AA225" s="40"/>
      <c r="AB225" s="24">
        <f t="shared" si="245"/>
        <v>-0.27540000000000003</v>
      </c>
      <c r="AC225" s="24" t="str">
        <f t="shared" si="246"/>
        <v/>
      </c>
      <c r="AD225" s="24" t="str">
        <f t="shared" si="247"/>
        <v/>
      </c>
      <c r="AE225" s="24">
        <f t="shared" si="248"/>
        <v>0.27540000000000003</v>
      </c>
      <c r="AF225" s="24" t="str">
        <f t="shared" si="249"/>
        <v/>
      </c>
      <c r="AG225" s="31"/>
      <c r="AH225" s="3"/>
    </row>
    <row r="226" spans="1:34" x14ac:dyDescent="0.25">
      <c r="A226" s="15" t="s">
        <v>126</v>
      </c>
      <c r="B226" s="16" t="s">
        <v>106</v>
      </c>
      <c r="C226" s="34"/>
      <c r="D226" s="26" t="s">
        <v>88</v>
      </c>
      <c r="E226" s="26"/>
      <c r="F226" s="26"/>
      <c r="G226" s="26"/>
      <c r="H226" s="21"/>
      <c r="I226" s="54"/>
      <c r="J226" s="54"/>
      <c r="K226" s="22"/>
      <c r="L226" s="10"/>
      <c r="M226" s="10"/>
      <c r="N226" s="39"/>
      <c r="O226" s="10">
        <v>2.5</v>
      </c>
      <c r="P226" s="40">
        <f t="shared" si="260"/>
        <v>0.255</v>
      </c>
      <c r="Q226" s="40"/>
      <c r="R226" s="40">
        <v>1</v>
      </c>
      <c r="S226" s="39"/>
      <c r="T226" s="40"/>
      <c r="U226" s="40"/>
      <c r="V226" s="40"/>
      <c r="W226" s="40"/>
      <c r="X226" s="40"/>
      <c r="Y226" s="40"/>
      <c r="Z226" s="40"/>
      <c r="AA226" s="40"/>
      <c r="AB226" s="24">
        <f t="shared" si="245"/>
        <v>-0.63749999999999996</v>
      </c>
      <c r="AC226" s="24" t="str">
        <f t="shared" si="246"/>
        <v/>
      </c>
      <c r="AD226" s="24" t="str">
        <f t="shared" si="247"/>
        <v/>
      </c>
      <c r="AE226" s="24">
        <f t="shared" si="248"/>
        <v>0.63749999999999996</v>
      </c>
      <c r="AF226" s="24" t="str">
        <f t="shared" si="249"/>
        <v/>
      </c>
      <c r="AG226" s="31"/>
      <c r="AH226" s="3"/>
    </row>
    <row r="227" spans="1:34" x14ac:dyDescent="0.25">
      <c r="A227" s="15" t="s">
        <v>126</v>
      </c>
      <c r="B227" s="16" t="s">
        <v>106</v>
      </c>
      <c r="C227" s="34"/>
      <c r="D227" s="26" t="s">
        <v>72</v>
      </c>
      <c r="E227" s="26"/>
      <c r="F227" s="26"/>
      <c r="G227" s="26"/>
      <c r="H227" s="21" t="s">
        <v>110</v>
      </c>
      <c r="I227" s="54" t="s">
        <v>112</v>
      </c>
      <c r="J227" s="54" t="s">
        <v>115</v>
      </c>
      <c r="K227" s="22">
        <f>20.25+40.25</f>
        <v>60.5</v>
      </c>
      <c r="L227" s="10">
        <f>9.3-7.11</f>
        <v>2.1900000000000004</v>
      </c>
      <c r="M227" s="10"/>
      <c r="N227" s="39"/>
      <c r="O227" s="10">
        <v>2.04</v>
      </c>
      <c r="P227" s="40">
        <v>2.19</v>
      </c>
      <c r="Q227" s="40"/>
      <c r="R227" s="40">
        <v>11</v>
      </c>
      <c r="S227" s="39"/>
      <c r="T227" s="40"/>
      <c r="U227" s="40"/>
      <c r="V227" s="40"/>
      <c r="W227" s="40"/>
      <c r="X227" s="40"/>
      <c r="Y227" s="40"/>
      <c r="Z227" s="40"/>
      <c r="AA227" s="40"/>
      <c r="AB227" s="24">
        <f t="shared" si="245"/>
        <v>83.351400000000041</v>
      </c>
      <c r="AC227" s="24" t="str">
        <f t="shared" si="246"/>
        <v/>
      </c>
      <c r="AD227" s="24" t="str">
        <f t="shared" si="247"/>
        <v/>
      </c>
      <c r="AE227" s="24">
        <f t="shared" si="248"/>
        <v>49.143599999999999</v>
      </c>
      <c r="AF227" s="24" t="str">
        <f t="shared" si="249"/>
        <v/>
      </c>
      <c r="AG227" s="31"/>
      <c r="AH227" s="3"/>
    </row>
    <row r="228" spans="1:34" x14ac:dyDescent="0.25">
      <c r="A228" s="15" t="s">
        <v>126</v>
      </c>
      <c r="B228" s="16" t="s">
        <v>106</v>
      </c>
      <c r="C228" s="34"/>
      <c r="D228" s="26" t="s">
        <v>72</v>
      </c>
      <c r="E228" s="26"/>
      <c r="F228" s="26"/>
      <c r="G228" s="26"/>
      <c r="H228" s="21"/>
      <c r="I228" s="54"/>
      <c r="J228" s="54"/>
      <c r="K228" s="22"/>
      <c r="L228" s="10"/>
      <c r="M228" s="10"/>
      <c r="N228" s="39"/>
      <c r="O228" s="10">
        <v>0.54</v>
      </c>
      <c r="P228" s="40">
        <v>2.19</v>
      </c>
      <c r="Q228" s="40"/>
      <c r="R228" s="40">
        <v>2</v>
      </c>
      <c r="S228" s="39"/>
      <c r="T228" s="40"/>
      <c r="U228" s="40"/>
      <c r="V228" s="40"/>
      <c r="W228" s="40"/>
      <c r="X228" s="40"/>
      <c r="Y228" s="40"/>
      <c r="Z228" s="40"/>
      <c r="AA228" s="40"/>
      <c r="AB228" s="24">
        <f t="shared" ref="AB228:AB272" si="261">IF(K228*L228+M228-O228*P228*R228-Q228*R228+T228*U228*W228+V228*W228&lt;&gt;0,K228*L228+M228-O228*P228*R228-Q228*R228+T228*U228*W228+V228*W228,"")</f>
        <v>-2.3652000000000002</v>
      </c>
      <c r="AC228" s="24" t="str">
        <f t="shared" ref="AC228:AC272" si="262">IF(W228*SUM(Y228:AA228)&lt;&gt;0,W228*SUM(Y228:AA228),"")</f>
        <v/>
      </c>
      <c r="AD228" s="24" t="str">
        <f t="shared" ref="AD228:AD272" si="263">IF(W228*X228*SUM(Y228:AA228)&lt;&gt;0,W228*X228*SUM(Y228:AA228),"")</f>
        <v/>
      </c>
      <c r="AE228" s="24">
        <f t="shared" ref="AE228:AE272" si="264">IF(O228*P228*R228+Q228*R228&lt;&gt;0,O228*P228*R228+Q228*R228,"")</f>
        <v>2.3652000000000002</v>
      </c>
      <c r="AF228" s="24" t="str">
        <f t="shared" ref="AF228:AF272" si="265">IF(W228*X228*(Z228+AA228)&lt;&gt;0,W228*X228*(Z228+AA228),"")</f>
        <v/>
      </c>
      <c r="AG228" s="31"/>
      <c r="AH228" s="3"/>
    </row>
    <row r="229" spans="1:34" x14ac:dyDescent="0.25">
      <c r="A229" s="15" t="s">
        <v>126</v>
      </c>
      <c r="B229" s="16" t="s">
        <v>106</v>
      </c>
      <c r="C229" s="34"/>
      <c r="D229" s="26" t="s">
        <v>72</v>
      </c>
      <c r="E229" s="26"/>
      <c r="F229" s="26"/>
      <c r="G229" s="26"/>
      <c r="H229" s="21"/>
      <c r="I229" s="54"/>
      <c r="J229" s="54"/>
      <c r="K229" s="22"/>
      <c r="L229" s="10"/>
      <c r="M229" s="10"/>
      <c r="N229" s="39"/>
      <c r="O229" s="10">
        <v>2.5</v>
      </c>
      <c r="P229" s="40">
        <v>2.19</v>
      </c>
      <c r="Q229" s="40"/>
      <c r="R229" s="40">
        <v>1</v>
      </c>
      <c r="S229" s="39"/>
      <c r="T229" s="40"/>
      <c r="U229" s="40"/>
      <c r="V229" s="40"/>
      <c r="W229" s="40"/>
      <c r="X229" s="40"/>
      <c r="Y229" s="40"/>
      <c r="Z229" s="40"/>
      <c r="AA229" s="40"/>
      <c r="AB229" s="24">
        <f t="shared" si="261"/>
        <v>-5.4749999999999996</v>
      </c>
      <c r="AC229" s="24" t="str">
        <f t="shared" si="262"/>
        <v/>
      </c>
      <c r="AD229" s="24" t="str">
        <f t="shared" si="263"/>
        <v/>
      </c>
      <c r="AE229" s="24">
        <f t="shared" si="264"/>
        <v>5.4749999999999996</v>
      </c>
      <c r="AF229" s="24" t="str">
        <f t="shared" si="265"/>
        <v/>
      </c>
      <c r="AG229" s="31"/>
      <c r="AH229" s="3"/>
    </row>
    <row r="230" spans="1:34" x14ac:dyDescent="0.25">
      <c r="A230" s="15" t="s">
        <v>126</v>
      </c>
      <c r="B230" s="16" t="s">
        <v>106</v>
      </c>
      <c r="C230" s="34"/>
      <c r="D230" s="26" t="s">
        <v>88</v>
      </c>
      <c r="E230" s="26"/>
      <c r="F230" s="26"/>
      <c r="G230" s="26"/>
      <c r="H230" s="21" t="s">
        <v>109</v>
      </c>
      <c r="I230" s="54" t="s">
        <v>114</v>
      </c>
      <c r="J230" s="54" t="s">
        <v>112</v>
      </c>
      <c r="K230" s="22">
        <f>4.8*2</f>
        <v>9.6</v>
      </c>
      <c r="L230" s="10">
        <f>7.11-6.7</f>
        <v>0.41000000000000014</v>
      </c>
      <c r="M230" s="10"/>
      <c r="N230" s="39"/>
      <c r="O230" s="10">
        <v>1</v>
      </c>
      <c r="P230" s="10">
        <f>0.41-0.05</f>
        <v>0.36</v>
      </c>
      <c r="Q230" s="40"/>
      <c r="R230" s="40">
        <v>1</v>
      </c>
      <c r="S230" s="39"/>
      <c r="T230" s="40"/>
      <c r="U230" s="40"/>
      <c r="V230" s="40"/>
      <c r="W230" s="40"/>
      <c r="X230" s="40"/>
      <c r="Y230" s="40"/>
      <c r="Z230" s="40"/>
      <c r="AA230" s="40"/>
      <c r="AB230" s="24">
        <f t="shared" si="261"/>
        <v>3.5760000000000014</v>
      </c>
      <c r="AC230" s="24" t="str">
        <f t="shared" si="262"/>
        <v/>
      </c>
      <c r="AD230" s="24" t="str">
        <f t="shared" si="263"/>
        <v/>
      </c>
      <c r="AE230" s="24">
        <f t="shared" si="264"/>
        <v>0.36</v>
      </c>
      <c r="AF230" s="24" t="str">
        <f t="shared" si="265"/>
        <v/>
      </c>
      <c r="AG230" s="31"/>
      <c r="AH230" s="3"/>
    </row>
    <row r="231" spans="1:34" x14ac:dyDescent="0.25">
      <c r="A231" s="15" t="s">
        <v>126</v>
      </c>
      <c r="B231" s="16" t="s">
        <v>106</v>
      </c>
      <c r="C231" s="34"/>
      <c r="D231" s="26" t="s">
        <v>72</v>
      </c>
      <c r="E231" s="26"/>
      <c r="F231" s="26"/>
      <c r="G231" s="26"/>
      <c r="H231" s="21" t="s">
        <v>111</v>
      </c>
      <c r="I231" s="54" t="s">
        <v>112</v>
      </c>
      <c r="J231" s="54" t="s">
        <v>115</v>
      </c>
      <c r="K231" s="22">
        <f>4.8*2</f>
        <v>9.6</v>
      </c>
      <c r="L231" s="10">
        <f>9.3-7.11</f>
        <v>2.1900000000000004</v>
      </c>
      <c r="M231" s="10"/>
      <c r="N231" s="39"/>
      <c r="O231" s="10">
        <v>1</v>
      </c>
      <c r="P231" s="40">
        <v>2.19</v>
      </c>
      <c r="Q231" s="40"/>
      <c r="R231" s="40">
        <v>1</v>
      </c>
      <c r="S231" s="39"/>
      <c r="T231" s="40"/>
      <c r="U231" s="40"/>
      <c r="V231" s="40"/>
      <c r="W231" s="40"/>
      <c r="X231" s="40"/>
      <c r="Y231" s="40"/>
      <c r="Z231" s="40"/>
      <c r="AA231" s="40"/>
      <c r="AB231" s="24">
        <f t="shared" si="261"/>
        <v>18.834000000000003</v>
      </c>
      <c r="AC231" s="24" t="str">
        <f t="shared" si="262"/>
        <v/>
      </c>
      <c r="AD231" s="24" t="str">
        <f t="shared" si="263"/>
        <v/>
      </c>
      <c r="AE231" s="24">
        <f t="shared" si="264"/>
        <v>2.19</v>
      </c>
      <c r="AF231" s="24" t="str">
        <f t="shared" si="265"/>
        <v/>
      </c>
      <c r="AG231" s="31"/>
      <c r="AH231" s="3"/>
    </row>
    <row r="232" spans="1:34" x14ac:dyDescent="0.25">
      <c r="A232" s="15" t="s">
        <v>126</v>
      </c>
      <c r="B232" s="16" t="s">
        <v>87</v>
      </c>
      <c r="C232" s="34"/>
      <c r="D232" s="26" t="s">
        <v>139</v>
      </c>
      <c r="E232" s="26"/>
      <c r="F232" s="26"/>
      <c r="G232" s="26"/>
      <c r="H232" s="21" t="s">
        <v>145</v>
      </c>
      <c r="I232" s="54"/>
      <c r="J232" s="54"/>
      <c r="K232" s="22">
        <f>29.4-9.15+40.25</f>
        <v>60.5</v>
      </c>
      <c r="L232" s="10">
        <f>0.45+0.36</f>
        <v>0.81</v>
      </c>
      <c r="M232" s="10"/>
      <c r="N232" s="39"/>
      <c r="O232" s="10"/>
      <c r="P232" s="40"/>
      <c r="Q232" s="40"/>
      <c r="R232" s="40"/>
      <c r="S232" s="39"/>
      <c r="T232" s="40"/>
      <c r="U232" s="40"/>
      <c r="V232" s="40"/>
      <c r="W232" s="40"/>
      <c r="X232" s="40"/>
      <c r="Y232" s="40"/>
      <c r="Z232" s="40"/>
      <c r="AA232" s="40"/>
      <c r="AB232" s="24">
        <f t="shared" ref="AB232:AB250" si="266">IF(K232*L232+M232-O232*P232*R232-Q232*R232+T232*U232*W232+V232*W232&lt;&gt;0,K232*L232+M232-O232*P232*R232-Q232*R232+T232*U232*W232+V232*W232,"")</f>
        <v>49.005000000000003</v>
      </c>
      <c r="AC232" s="24" t="str">
        <f t="shared" ref="AC232:AC250" si="267">IF(W232*SUM(Y232:AA232)&lt;&gt;0,W232*SUM(Y232:AA232),"")</f>
        <v/>
      </c>
      <c r="AD232" s="24" t="str">
        <f t="shared" ref="AD232:AD250" si="268">IF(W232*X232*SUM(Y232:AA232)&lt;&gt;0,W232*X232*SUM(Y232:AA232),"")</f>
        <v/>
      </c>
      <c r="AE232" s="24" t="str">
        <f t="shared" ref="AE232:AE243" si="269">IF(O232*P232*R232+Q232*R232&lt;&gt;0,O232*P232*R232+Q232*R232,"")</f>
        <v/>
      </c>
      <c r="AF232" s="24" t="str">
        <f t="shared" ref="AF232:AF250" si="270">IF(W232*X232*(Z232+AA232)&lt;&gt;0,W232*X232*(Z232+AA232),"")</f>
        <v/>
      </c>
      <c r="AG232" s="31"/>
      <c r="AH232" s="3"/>
    </row>
    <row r="233" spans="1:34" x14ac:dyDescent="0.25">
      <c r="A233" s="15" t="s">
        <v>126</v>
      </c>
      <c r="B233" s="16" t="s">
        <v>106</v>
      </c>
      <c r="C233" s="34"/>
      <c r="D233" s="26" t="s">
        <v>139</v>
      </c>
      <c r="E233" s="26"/>
      <c r="F233" s="26"/>
      <c r="G233" s="26"/>
      <c r="H233" s="21"/>
      <c r="I233" s="54"/>
      <c r="J233" s="54"/>
      <c r="K233" s="22">
        <f>29.4-9.15+40.25</f>
        <v>60.5</v>
      </c>
      <c r="L233" s="10">
        <f t="shared" ref="L233:L234" si="271">0.45+0.36</f>
        <v>0.81</v>
      </c>
      <c r="M233" s="10"/>
      <c r="N233" s="39"/>
      <c r="O233" s="10"/>
      <c r="P233" s="40"/>
      <c r="Q233" s="40"/>
      <c r="R233" s="40"/>
      <c r="S233" s="39"/>
      <c r="T233" s="40"/>
      <c r="U233" s="40"/>
      <c r="V233" s="40"/>
      <c r="W233" s="40"/>
      <c r="X233" s="40"/>
      <c r="Y233" s="40"/>
      <c r="Z233" s="40"/>
      <c r="AA233" s="40"/>
      <c r="AB233" s="24">
        <f t="shared" si="266"/>
        <v>49.005000000000003</v>
      </c>
      <c r="AC233" s="24" t="str">
        <f t="shared" si="267"/>
        <v/>
      </c>
      <c r="AD233" s="24" t="str">
        <f t="shared" si="268"/>
        <v/>
      </c>
      <c r="AE233" s="24" t="str">
        <f t="shared" si="269"/>
        <v/>
      </c>
      <c r="AF233" s="24" t="str">
        <f t="shared" si="270"/>
        <v/>
      </c>
      <c r="AG233" s="31"/>
      <c r="AH233" s="3"/>
    </row>
    <row r="234" spans="1:34" x14ac:dyDescent="0.25">
      <c r="A234" s="15" t="s">
        <v>126</v>
      </c>
      <c r="B234" s="16" t="s">
        <v>142</v>
      </c>
      <c r="C234" s="34"/>
      <c r="D234" s="26" t="s">
        <v>139</v>
      </c>
      <c r="E234" s="26"/>
      <c r="F234" s="26"/>
      <c r="G234" s="26"/>
      <c r="H234" s="21"/>
      <c r="I234" s="54"/>
      <c r="J234" s="54"/>
      <c r="K234" s="22">
        <f>29.4+40.25</f>
        <v>69.650000000000006</v>
      </c>
      <c r="L234" s="10">
        <f t="shared" si="271"/>
        <v>0.81</v>
      </c>
      <c r="M234" s="10"/>
      <c r="N234" s="39"/>
      <c r="O234" s="10"/>
      <c r="P234" s="40"/>
      <c r="Q234" s="40"/>
      <c r="R234" s="40"/>
      <c r="S234" s="39"/>
      <c r="T234" s="40"/>
      <c r="U234" s="40"/>
      <c r="V234" s="40"/>
      <c r="W234" s="40"/>
      <c r="X234" s="40"/>
      <c r="Y234" s="40"/>
      <c r="Z234" s="40"/>
      <c r="AA234" s="40"/>
      <c r="AB234" s="24">
        <f t="shared" si="266"/>
        <v>56.416500000000006</v>
      </c>
      <c r="AC234" s="24" t="str">
        <f t="shared" si="267"/>
        <v/>
      </c>
      <c r="AD234" s="24" t="str">
        <f t="shared" si="268"/>
        <v/>
      </c>
      <c r="AE234" s="24" t="str">
        <f t="shared" si="269"/>
        <v/>
      </c>
      <c r="AF234" s="24" t="str">
        <f t="shared" si="270"/>
        <v/>
      </c>
      <c r="AG234" s="31"/>
      <c r="AH234" s="3"/>
    </row>
    <row r="235" spans="1:34" x14ac:dyDescent="0.25">
      <c r="A235" s="15" t="s">
        <v>126</v>
      </c>
      <c r="B235" s="16" t="s">
        <v>87</v>
      </c>
      <c r="C235" s="34"/>
      <c r="D235" s="26" t="s">
        <v>140</v>
      </c>
      <c r="E235" s="26"/>
      <c r="F235" s="26"/>
      <c r="G235" s="26"/>
      <c r="H235" s="21" t="s">
        <v>141</v>
      </c>
      <c r="I235" s="54"/>
      <c r="J235" s="54"/>
      <c r="K235" s="22">
        <f>29.4-9.15+40.25</f>
        <v>60.5</v>
      </c>
      <c r="L235" s="10">
        <v>0.4</v>
      </c>
      <c r="M235" s="10"/>
      <c r="N235" s="39"/>
      <c r="O235" s="10"/>
      <c r="P235" s="40"/>
      <c r="Q235" s="40"/>
      <c r="R235" s="40"/>
      <c r="S235" s="39"/>
      <c r="T235" s="40"/>
      <c r="U235" s="40"/>
      <c r="V235" s="40"/>
      <c r="W235" s="40"/>
      <c r="X235" s="40"/>
      <c r="Y235" s="40"/>
      <c r="Z235" s="40"/>
      <c r="AA235" s="40"/>
      <c r="AB235" s="24">
        <f t="shared" si="266"/>
        <v>24.200000000000003</v>
      </c>
      <c r="AC235" s="24" t="str">
        <f t="shared" si="267"/>
        <v/>
      </c>
      <c r="AD235" s="24" t="str">
        <f t="shared" si="268"/>
        <v/>
      </c>
      <c r="AE235" s="24" t="str">
        <f t="shared" si="269"/>
        <v/>
      </c>
      <c r="AF235" s="24" t="str">
        <f t="shared" si="270"/>
        <v/>
      </c>
      <c r="AG235" s="31"/>
      <c r="AH235" s="3"/>
    </row>
    <row r="236" spans="1:34" x14ac:dyDescent="0.25">
      <c r="A236" s="15" t="s">
        <v>126</v>
      </c>
      <c r="B236" s="16" t="s">
        <v>106</v>
      </c>
      <c r="C236" s="34"/>
      <c r="D236" s="26" t="s">
        <v>140</v>
      </c>
      <c r="E236" s="26"/>
      <c r="F236" s="26"/>
      <c r="G236" s="26"/>
      <c r="H236" s="21"/>
      <c r="I236" s="54"/>
      <c r="J236" s="54"/>
      <c r="K236" s="22">
        <f>29.4-9.15+40.25</f>
        <v>60.5</v>
      </c>
      <c r="L236" s="10">
        <v>0.4</v>
      </c>
      <c r="M236" s="10"/>
      <c r="N236" s="39"/>
      <c r="O236" s="10"/>
      <c r="P236" s="40"/>
      <c r="Q236" s="40"/>
      <c r="R236" s="40"/>
      <c r="S236" s="39"/>
      <c r="T236" s="40"/>
      <c r="U236" s="40"/>
      <c r="V236" s="40"/>
      <c r="W236" s="40"/>
      <c r="X236" s="40"/>
      <c r="Y236" s="40"/>
      <c r="Z236" s="40"/>
      <c r="AA236" s="40"/>
      <c r="AB236" s="24">
        <f t="shared" si="266"/>
        <v>24.200000000000003</v>
      </c>
      <c r="AC236" s="24" t="str">
        <f t="shared" si="267"/>
        <v/>
      </c>
      <c r="AD236" s="24" t="str">
        <f t="shared" si="268"/>
        <v/>
      </c>
      <c r="AE236" s="24" t="str">
        <f t="shared" si="269"/>
        <v/>
      </c>
      <c r="AF236" s="24" t="str">
        <f t="shared" si="270"/>
        <v/>
      </c>
      <c r="AG236" s="31"/>
      <c r="AH236" s="3"/>
    </row>
    <row r="237" spans="1:34" x14ac:dyDescent="0.25">
      <c r="A237" s="15" t="s">
        <v>126</v>
      </c>
      <c r="B237" s="16" t="s">
        <v>142</v>
      </c>
      <c r="C237" s="34"/>
      <c r="D237" s="26" t="s">
        <v>140</v>
      </c>
      <c r="E237" s="26"/>
      <c r="F237" s="26"/>
      <c r="G237" s="26"/>
      <c r="H237" s="21"/>
      <c r="I237" s="54"/>
      <c r="J237" s="54"/>
      <c r="K237" s="22">
        <f>29.4+40.25</f>
        <v>69.650000000000006</v>
      </c>
      <c r="L237" s="10">
        <v>0.4</v>
      </c>
      <c r="M237" s="10"/>
      <c r="N237" s="39"/>
      <c r="O237" s="10"/>
      <c r="P237" s="40"/>
      <c r="Q237" s="40"/>
      <c r="R237" s="40"/>
      <c r="S237" s="39"/>
      <c r="T237" s="40"/>
      <c r="U237" s="40"/>
      <c r="V237" s="40"/>
      <c r="W237" s="40"/>
      <c r="X237" s="40"/>
      <c r="Y237" s="40"/>
      <c r="Z237" s="40"/>
      <c r="AA237" s="40"/>
      <c r="AB237" s="24">
        <f t="shared" si="266"/>
        <v>27.860000000000003</v>
      </c>
      <c r="AC237" s="24" t="str">
        <f t="shared" si="267"/>
        <v/>
      </c>
      <c r="AD237" s="24" t="str">
        <f t="shared" si="268"/>
        <v/>
      </c>
      <c r="AE237" s="24" t="str">
        <f t="shared" si="269"/>
        <v/>
      </c>
      <c r="AF237" s="24" t="str">
        <f t="shared" si="270"/>
        <v/>
      </c>
      <c r="AG237" s="31"/>
      <c r="AH237" s="3"/>
    </row>
    <row r="238" spans="1:34" x14ac:dyDescent="0.25">
      <c r="A238" s="15" t="s">
        <v>126</v>
      </c>
      <c r="B238" s="16" t="s">
        <v>87</v>
      </c>
      <c r="C238" s="34"/>
      <c r="D238" s="26" t="s">
        <v>147</v>
      </c>
      <c r="E238" s="26"/>
      <c r="F238" s="26"/>
      <c r="G238" s="26"/>
      <c r="H238" s="21" t="s">
        <v>146</v>
      </c>
      <c r="I238" s="54"/>
      <c r="J238" s="54"/>
      <c r="K238" s="22">
        <f>29.4-9.15+40.25</f>
        <v>60.5</v>
      </c>
      <c r="L238" s="10">
        <f>0.1+0.25+0.4+0.6</f>
        <v>1.35</v>
      </c>
      <c r="M238" s="10"/>
      <c r="N238" s="39"/>
      <c r="O238" s="10"/>
      <c r="P238" s="40"/>
      <c r="Q238" s="40"/>
      <c r="R238" s="40"/>
      <c r="S238" s="39"/>
      <c r="T238" s="40"/>
      <c r="U238" s="40"/>
      <c r="V238" s="40"/>
      <c r="W238" s="40"/>
      <c r="X238" s="40"/>
      <c r="Y238" s="40"/>
      <c r="Z238" s="40"/>
      <c r="AA238" s="40"/>
      <c r="AB238" s="24">
        <f t="shared" si="266"/>
        <v>81.675000000000011</v>
      </c>
      <c r="AC238" s="24" t="str">
        <f t="shared" si="267"/>
        <v/>
      </c>
      <c r="AD238" s="24" t="str">
        <f t="shared" si="268"/>
        <v/>
      </c>
      <c r="AE238" s="24" t="str">
        <f t="shared" si="269"/>
        <v/>
      </c>
      <c r="AF238" s="24" t="str">
        <f t="shared" si="270"/>
        <v/>
      </c>
      <c r="AG238" s="31"/>
      <c r="AH238" s="3"/>
    </row>
    <row r="239" spans="1:34" x14ac:dyDescent="0.25">
      <c r="A239" s="15" t="s">
        <v>126</v>
      </c>
      <c r="B239" s="16" t="s">
        <v>106</v>
      </c>
      <c r="C239" s="34"/>
      <c r="D239" s="26" t="s">
        <v>147</v>
      </c>
      <c r="E239" s="26"/>
      <c r="F239" s="26"/>
      <c r="G239" s="26"/>
      <c r="H239" s="21"/>
      <c r="I239" s="54"/>
      <c r="J239" s="54"/>
      <c r="K239" s="22">
        <f>29.4-9.15+40.25</f>
        <v>60.5</v>
      </c>
      <c r="L239" s="10">
        <f t="shared" ref="L239:L240" si="272">0.1+0.25+0.4+0.6</f>
        <v>1.35</v>
      </c>
      <c r="M239" s="10"/>
      <c r="N239" s="39"/>
      <c r="O239" s="10"/>
      <c r="P239" s="40"/>
      <c r="Q239" s="40"/>
      <c r="R239" s="40"/>
      <c r="S239" s="39"/>
      <c r="T239" s="40"/>
      <c r="U239" s="40"/>
      <c r="V239" s="40"/>
      <c r="W239" s="40"/>
      <c r="X239" s="40"/>
      <c r="Y239" s="40"/>
      <c r="Z239" s="40"/>
      <c r="AA239" s="40"/>
      <c r="AB239" s="24">
        <f t="shared" si="266"/>
        <v>81.675000000000011</v>
      </c>
      <c r="AC239" s="24" t="str">
        <f t="shared" si="267"/>
        <v/>
      </c>
      <c r="AD239" s="24" t="str">
        <f t="shared" si="268"/>
        <v/>
      </c>
      <c r="AE239" s="24" t="str">
        <f t="shared" si="269"/>
        <v/>
      </c>
      <c r="AF239" s="24" t="str">
        <f t="shared" si="270"/>
        <v/>
      </c>
      <c r="AG239" s="31"/>
      <c r="AH239" s="3"/>
    </row>
    <row r="240" spans="1:34" x14ac:dyDescent="0.25">
      <c r="A240" s="15" t="s">
        <v>126</v>
      </c>
      <c r="B240" s="16" t="s">
        <v>142</v>
      </c>
      <c r="C240" s="34"/>
      <c r="D240" s="26" t="s">
        <v>147</v>
      </c>
      <c r="E240" s="26"/>
      <c r="F240" s="26"/>
      <c r="G240" s="26"/>
      <c r="H240" s="21"/>
      <c r="I240" s="54"/>
      <c r="J240" s="54"/>
      <c r="K240" s="22">
        <f>29.4+40.25</f>
        <v>69.650000000000006</v>
      </c>
      <c r="L240" s="10">
        <f t="shared" si="272"/>
        <v>1.35</v>
      </c>
      <c r="M240" s="10"/>
      <c r="N240" s="39"/>
      <c r="O240" s="10"/>
      <c r="P240" s="40"/>
      <c r="Q240" s="40"/>
      <c r="R240" s="40"/>
      <c r="S240" s="39"/>
      <c r="T240" s="40"/>
      <c r="U240" s="40"/>
      <c r="V240" s="40"/>
      <c r="W240" s="40"/>
      <c r="X240" s="40"/>
      <c r="Y240" s="40"/>
      <c r="Z240" s="40"/>
      <c r="AA240" s="40"/>
      <c r="AB240" s="24">
        <f t="shared" si="266"/>
        <v>94.027500000000018</v>
      </c>
      <c r="AC240" s="24" t="str">
        <f t="shared" si="267"/>
        <v/>
      </c>
      <c r="AD240" s="24" t="str">
        <f t="shared" si="268"/>
        <v/>
      </c>
      <c r="AE240" s="24" t="str">
        <f t="shared" si="269"/>
        <v/>
      </c>
      <c r="AF240" s="24" t="str">
        <f t="shared" si="270"/>
        <v/>
      </c>
      <c r="AG240" s="31"/>
      <c r="AH240" s="3"/>
    </row>
    <row r="241" spans="1:34" x14ac:dyDescent="0.25">
      <c r="A241" s="15" t="s">
        <v>126</v>
      </c>
      <c r="B241" s="16" t="s">
        <v>87</v>
      </c>
      <c r="C241" s="34"/>
      <c r="D241" s="26" t="s">
        <v>148</v>
      </c>
      <c r="E241" s="26"/>
      <c r="F241" s="26"/>
      <c r="G241" s="26"/>
      <c r="H241" s="21" t="s">
        <v>149</v>
      </c>
      <c r="I241" s="54"/>
      <c r="J241" s="54"/>
      <c r="K241" s="22">
        <f>29.4-9.15+40.25</f>
        <v>60.5</v>
      </c>
      <c r="L241" s="10">
        <v>0.4</v>
      </c>
      <c r="M241" s="10"/>
      <c r="N241" s="39"/>
      <c r="O241" s="10"/>
      <c r="P241" s="40"/>
      <c r="Q241" s="40"/>
      <c r="R241" s="40"/>
      <c r="S241" s="39"/>
      <c r="T241" s="40"/>
      <c r="U241" s="40"/>
      <c r="V241" s="40"/>
      <c r="W241" s="40"/>
      <c r="X241" s="40"/>
      <c r="Y241" s="40"/>
      <c r="Z241" s="40"/>
      <c r="AA241" s="40"/>
      <c r="AB241" s="24">
        <f t="shared" si="266"/>
        <v>24.200000000000003</v>
      </c>
      <c r="AC241" s="24" t="str">
        <f t="shared" si="267"/>
        <v/>
      </c>
      <c r="AD241" s="24" t="str">
        <f t="shared" si="268"/>
        <v/>
      </c>
      <c r="AE241" s="24" t="str">
        <f t="shared" si="269"/>
        <v/>
      </c>
      <c r="AF241" s="24" t="str">
        <f t="shared" si="270"/>
        <v/>
      </c>
      <c r="AG241" s="31"/>
      <c r="AH241" s="3"/>
    </row>
    <row r="242" spans="1:34" x14ac:dyDescent="0.25">
      <c r="A242" s="15" t="s">
        <v>126</v>
      </c>
      <c r="B242" s="16" t="s">
        <v>106</v>
      </c>
      <c r="C242" s="34"/>
      <c r="D242" s="26" t="s">
        <v>148</v>
      </c>
      <c r="E242" s="26"/>
      <c r="F242" s="26"/>
      <c r="G242" s="26"/>
      <c r="H242" s="21"/>
      <c r="I242" s="54"/>
      <c r="J242" s="54"/>
      <c r="K242" s="22">
        <f>29.4-9.15+40.25</f>
        <v>60.5</v>
      </c>
      <c r="L242" s="10">
        <v>0.4</v>
      </c>
      <c r="M242" s="10"/>
      <c r="N242" s="39"/>
      <c r="O242" s="10"/>
      <c r="P242" s="40"/>
      <c r="Q242" s="40"/>
      <c r="R242" s="40"/>
      <c r="S242" s="39"/>
      <c r="T242" s="40"/>
      <c r="U242" s="40"/>
      <c r="V242" s="40"/>
      <c r="W242" s="40"/>
      <c r="X242" s="40"/>
      <c r="Y242" s="40"/>
      <c r="Z242" s="40"/>
      <c r="AA242" s="40"/>
      <c r="AB242" s="24">
        <f t="shared" si="266"/>
        <v>24.200000000000003</v>
      </c>
      <c r="AC242" s="24" t="str">
        <f t="shared" si="267"/>
        <v/>
      </c>
      <c r="AD242" s="24" t="str">
        <f t="shared" si="268"/>
        <v/>
      </c>
      <c r="AE242" s="24" t="str">
        <f t="shared" si="269"/>
        <v/>
      </c>
      <c r="AF242" s="24" t="str">
        <f t="shared" si="270"/>
        <v/>
      </c>
      <c r="AG242" s="31"/>
      <c r="AH242" s="3"/>
    </row>
    <row r="243" spans="1:34" x14ac:dyDescent="0.25">
      <c r="A243" s="15" t="s">
        <v>126</v>
      </c>
      <c r="B243" s="16" t="s">
        <v>142</v>
      </c>
      <c r="C243" s="34"/>
      <c r="D243" s="26" t="s">
        <v>148</v>
      </c>
      <c r="E243" s="26"/>
      <c r="F243" s="26"/>
      <c r="G243" s="26"/>
      <c r="H243" s="21"/>
      <c r="I243" s="54"/>
      <c r="J243" s="54"/>
      <c r="K243" s="22">
        <f>29.4+40.25</f>
        <v>69.650000000000006</v>
      </c>
      <c r="L243" s="10">
        <v>0.4</v>
      </c>
      <c r="M243" s="10"/>
      <c r="N243" s="39"/>
      <c r="O243" s="10"/>
      <c r="P243" s="40"/>
      <c r="Q243" s="40"/>
      <c r="R243" s="40"/>
      <c r="S243" s="39"/>
      <c r="T243" s="40"/>
      <c r="U243" s="40"/>
      <c r="V243" s="40"/>
      <c r="W243" s="40"/>
      <c r="X243" s="40"/>
      <c r="Y243" s="40"/>
      <c r="Z243" s="40"/>
      <c r="AA243" s="40"/>
      <c r="AB243" s="24">
        <f t="shared" si="266"/>
        <v>27.860000000000003</v>
      </c>
      <c r="AC243" s="24" t="str">
        <f t="shared" si="267"/>
        <v/>
      </c>
      <c r="AD243" s="24" t="str">
        <f t="shared" si="268"/>
        <v/>
      </c>
      <c r="AE243" s="24" t="str">
        <f t="shared" si="269"/>
        <v/>
      </c>
      <c r="AF243" s="24" t="str">
        <f t="shared" si="270"/>
        <v/>
      </c>
      <c r="AG243" s="31"/>
      <c r="AH243" s="3"/>
    </row>
    <row r="244" spans="1:34" x14ac:dyDescent="0.25">
      <c r="A244" s="15" t="s">
        <v>126</v>
      </c>
      <c r="B244" s="16" t="s">
        <v>71</v>
      </c>
      <c r="C244" s="34"/>
      <c r="D244" s="26" t="s">
        <v>157</v>
      </c>
      <c r="E244" s="26"/>
      <c r="F244" s="26"/>
      <c r="G244" s="26"/>
      <c r="H244" s="21" t="s">
        <v>161</v>
      </c>
      <c r="I244" s="54" t="s">
        <v>160</v>
      </c>
      <c r="J244" s="54" t="s">
        <v>158</v>
      </c>
      <c r="K244" s="10">
        <f>0.55+1*2+1.8+2.8</f>
        <v>7.1499999999999995</v>
      </c>
      <c r="L244" s="10">
        <v>1.5</v>
      </c>
      <c r="M244" s="10"/>
      <c r="N244" s="39"/>
      <c r="O244" s="10"/>
      <c r="P244" s="40"/>
      <c r="Q244" s="40"/>
      <c r="R244" s="40"/>
      <c r="S244" s="39"/>
      <c r="T244" s="40"/>
      <c r="U244" s="40"/>
      <c r="V244" s="40"/>
      <c r="W244" s="40"/>
      <c r="X244" s="40"/>
      <c r="Y244" s="40"/>
      <c r="Z244" s="40"/>
      <c r="AA244" s="40"/>
      <c r="AB244" s="24">
        <f t="shared" ref="AB244:AB249" si="273">IF(K244*L244+M244-O244*P244*R244-Q244*R244+T244*U244*W244+V244*W244&lt;&gt;0,K244*L244+M244-O244*P244*R244-Q244*R244+T244*U244*W244+V244*W244,"")</f>
        <v>10.725</v>
      </c>
      <c r="AC244" s="24" t="str">
        <f t="shared" ref="AC244:AC249" si="274">IF(W244*SUM(Y244:AA244)&lt;&gt;0,W244*SUM(Y244:AA244),"")</f>
        <v/>
      </c>
      <c r="AD244" s="24" t="str">
        <f t="shared" ref="AD244:AD249" si="275">IF(W244*X244*SUM(Y244:AA244)&lt;&gt;0,W244*X244*SUM(Y244:AA244),"")</f>
        <v/>
      </c>
      <c r="AE244" s="24" t="str">
        <f t="shared" ref="AE244:AE246" si="276">IF(O244*P244*R244+Q244*R244&lt;&gt;0,O244*P244*R244+Q244*R244,"")</f>
        <v/>
      </c>
      <c r="AF244" s="24" t="str">
        <f t="shared" ref="AF244:AF249" si="277">IF(W244*X244*(Z244+AA244)&lt;&gt;0,W244*X244*(Z244+AA244),"")</f>
        <v/>
      </c>
      <c r="AG244" s="31"/>
      <c r="AH244" s="3"/>
    </row>
    <row r="245" spans="1:34" x14ac:dyDescent="0.25">
      <c r="A245" s="15" t="s">
        <v>126</v>
      </c>
      <c r="B245" s="16" t="s">
        <v>71</v>
      </c>
      <c r="C245" s="34"/>
      <c r="D245" s="26" t="s">
        <v>157</v>
      </c>
      <c r="E245" s="26"/>
      <c r="F245" s="26"/>
      <c r="G245" s="26"/>
      <c r="H245" s="21" t="s">
        <v>162</v>
      </c>
      <c r="I245" s="54" t="s">
        <v>160</v>
      </c>
      <c r="J245" s="54" t="s">
        <v>158</v>
      </c>
      <c r="K245" s="22">
        <f>0.5*4*4</f>
        <v>8</v>
      </c>
      <c r="L245" s="10">
        <v>1.5</v>
      </c>
      <c r="M245" s="10"/>
      <c r="N245" s="39"/>
      <c r="O245" s="10"/>
      <c r="P245" s="40"/>
      <c r="Q245" s="40"/>
      <c r="R245" s="40"/>
      <c r="S245" s="39"/>
      <c r="T245" s="40"/>
      <c r="U245" s="40"/>
      <c r="V245" s="40"/>
      <c r="W245" s="40"/>
      <c r="X245" s="40"/>
      <c r="Y245" s="40"/>
      <c r="Z245" s="40"/>
      <c r="AA245" s="40"/>
      <c r="AB245" s="24">
        <f t="shared" si="273"/>
        <v>12</v>
      </c>
      <c r="AC245" s="24" t="str">
        <f t="shared" si="274"/>
        <v/>
      </c>
      <c r="AD245" s="24" t="str">
        <f t="shared" si="275"/>
        <v/>
      </c>
      <c r="AE245" s="24" t="str">
        <f t="shared" si="276"/>
        <v/>
      </c>
      <c r="AF245" s="24" t="str">
        <f t="shared" si="277"/>
        <v/>
      </c>
      <c r="AG245" s="31"/>
      <c r="AH245" s="3"/>
    </row>
    <row r="246" spans="1:34" x14ac:dyDescent="0.25">
      <c r="A246" s="15" t="s">
        <v>126</v>
      </c>
      <c r="B246" s="16" t="s">
        <v>71</v>
      </c>
      <c r="C246" s="34"/>
      <c r="D246" s="26" t="s">
        <v>157</v>
      </c>
      <c r="E246" s="26"/>
      <c r="F246" s="26"/>
      <c r="G246" s="26"/>
      <c r="H246" s="21" t="s">
        <v>172</v>
      </c>
      <c r="I246" s="54"/>
      <c r="J246" s="54"/>
      <c r="K246" s="22">
        <v>1.73</v>
      </c>
      <c r="L246" s="10">
        <f>1.5+0.2</f>
        <v>1.7</v>
      </c>
      <c r="M246" s="10"/>
      <c r="N246" s="39"/>
      <c r="O246" s="10"/>
      <c r="P246" s="40"/>
      <c r="Q246" s="40"/>
      <c r="R246" s="40"/>
      <c r="S246" s="39"/>
      <c r="T246" s="40"/>
      <c r="U246" s="40"/>
      <c r="V246" s="40"/>
      <c r="W246" s="40"/>
      <c r="X246" s="40"/>
      <c r="Y246" s="40"/>
      <c r="Z246" s="40"/>
      <c r="AA246" s="40"/>
      <c r="AB246" s="24">
        <f t="shared" si="273"/>
        <v>2.9409999999999998</v>
      </c>
      <c r="AC246" s="24" t="str">
        <f t="shared" si="274"/>
        <v/>
      </c>
      <c r="AD246" s="24" t="str">
        <f t="shared" si="275"/>
        <v/>
      </c>
      <c r="AE246" s="24" t="str">
        <f t="shared" si="276"/>
        <v/>
      </c>
      <c r="AF246" s="24" t="str">
        <f t="shared" si="277"/>
        <v/>
      </c>
      <c r="AG246" s="31"/>
      <c r="AH246" s="3"/>
    </row>
    <row r="247" spans="1:34" x14ac:dyDescent="0.25">
      <c r="A247" s="15" t="s">
        <v>126</v>
      </c>
      <c r="B247" s="16" t="s">
        <v>71</v>
      </c>
      <c r="C247" s="34"/>
      <c r="D247" s="26" t="s">
        <v>157</v>
      </c>
      <c r="E247" s="26"/>
      <c r="F247" s="26"/>
      <c r="G247" s="26"/>
      <c r="H247" s="21" t="s">
        <v>71</v>
      </c>
      <c r="I247" s="54" t="s">
        <v>93</v>
      </c>
      <c r="J247" s="54"/>
      <c r="K247" s="22">
        <f>25.47-7.25</f>
        <v>18.22</v>
      </c>
      <c r="L247" s="10">
        <v>1.5</v>
      </c>
      <c r="M247" s="10"/>
      <c r="N247" s="39"/>
      <c r="O247" s="10">
        <v>4.3</v>
      </c>
      <c r="P247" s="40">
        <v>1.4</v>
      </c>
      <c r="Q247" s="40"/>
      <c r="R247" s="40">
        <v>1</v>
      </c>
      <c r="S247" s="39"/>
      <c r="T247" s="40"/>
      <c r="U247" s="40"/>
      <c r="V247" s="40"/>
      <c r="W247" s="40"/>
      <c r="X247" s="40"/>
      <c r="Y247" s="40"/>
      <c r="Z247" s="40"/>
      <c r="AA247" s="40"/>
      <c r="AB247" s="24">
        <f t="shared" si="273"/>
        <v>21.31</v>
      </c>
      <c r="AC247" s="24" t="str">
        <f t="shared" si="274"/>
        <v/>
      </c>
      <c r="AD247" s="24" t="str">
        <f t="shared" si="275"/>
        <v/>
      </c>
      <c r="AE247" s="24"/>
      <c r="AF247" s="24" t="str">
        <f t="shared" si="277"/>
        <v/>
      </c>
      <c r="AG247" s="31"/>
      <c r="AH247" s="3"/>
    </row>
    <row r="248" spans="1:34" x14ac:dyDescent="0.25">
      <c r="A248" s="15" t="s">
        <v>126</v>
      </c>
      <c r="B248" s="16" t="s">
        <v>71</v>
      </c>
      <c r="C248" s="34"/>
      <c r="D248" s="26" t="s">
        <v>157</v>
      </c>
      <c r="E248" s="26"/>
      <c r="F248" s="26"/>
      <c r="G248" s="26"/>
      <c r="H248" s="21"/>
      <c r="I248" s="54"/>
      <c r="J248" s="54"/>
      <c r="K248" s="22"/>
      <c r="L248" s="10"/>
      <c r="M248" s="10"/>
      <c r="N248" s="39"/>
      <c r="O248" s="10">
        <v>1.65</v>
      </c>
      <c r="P248" s="40">
        <v>1.4</v>
      </c>
      <c r="Q248" s="40"/>
      <c r="R248" s="40">
        <v>1</v>
      </c>
      <c r="S248" s="39"/>
      <c r="T248" s="40"/>
      <c r="U248" s="40"/>
      <c r="V248" s="40"/>
      <c r="W248" s="40"/>
      <c r="X248" s="40"/>
      <c r="Y248" s="40"/>
      <c r="Z248" s="40"/>
      <c r="AA248" s="40"/>
      <c r="AB248" s="24">
        <f t="shared" si="273"/>
        <v>-2.3099999999999996</v>
      </c>
      <c r="AC248" s="24" t="str">
        <f t="shared" si="274"/>
        <v/>
      </c>
      <c r="AD248" s="24" t="str">
        <f t="shared" si="275"/>
        <v/>
      </c>
      <c r="AE248" s="24"/>
      <c r="AF248" s="24" t="str">
        <f t="shared" si="277"/>
        <v/>
      </c>
      <c r="AG248" s="31"/>
      <c r="AH248" s="3"/>
    </row>
    <row r="249" spans="1:34" x14ac:dyDescent="0.25">
      <c r="A249" s="15" t="s">
        <v>126</v>
      </c>
      <c r="B249" s="16" t="s">
        <v>71</v>
      </c>
      <c r="C249" s="34"/>
      <c r="D249" s="26" t="s">
        <v>157</v>
      </c>
      <c r="E249" s="26"/>
      <c r="F249" s="26"/>
      <c r="G249" s="26"/>
      <c r="H249" s="21"/>
      <c r="I249" s="54"/>
      <c r="J249" s="54"/>
      <c r="K249" s="22"/>
      <c r="L249" s="10"/>
      <c r="M249" s="10"/>
      <c r="N249" s="39"/>
      <c r="O249" s="10">
        <v>2.04</v>
      </c>
      <c r="P249" s="40">
        <v>1.4</v>
      </c>
      <c r="Q249" s="40"/>
      <c r="R249" s="40">
        <v>2</v>
      </c>
      <c r="S249" s="39"/>
      <c r="T249" s="40"/>
      <c r="U249" s="40"/>
      <c r="V249" s="40"/>
      <c r="W249" s="40"/>
      <c r="X249" s="40"/>
      <c r="Y249" s="40"/>
      <c r="Z249" s="40"/>
      <c r="AA249" s="40"/>
      <c r="AB249" s="24">
        <f t="shared" si="273"/>
        <v>-5.7119999999999997</v>
      </c>
      <c r="AC249" s="24" t="str">
        <f t="shared" si="274"/>
        <v/>
      </c>
      <c r="AD249" s="24" t="str">
        <f t="shared" si="275"/>
        <v/>
      </c>
      <c r="AE249" s="24"/>
      <c r="AF249" s="24" t="str">
        <f t="shared" si="277"/>
        <v/>
      </c>
      <c r="AG249" s="31"/>
      <c r="AH249" s="3"/>
    </row>
    <row r="250" spans="1:34" x14ac:dyDescent="0.25">
      <c r="A250" s="15" t="s">
        <v>126</v>
      </c>
      <c r="B250" s="16" t="s">
        <v>71</v>
      </c>
      <c r="C250" s="34"/>
      <c r="D250" s="26" t="s">
        <v>157</v>
      </c>
      <c r="E250" s="26"/>
      <c r="F250" s="26"/>
      <c r="G250" s="26"/>
      <c r="H250" s="21" t="s">
        <v>173</v>
      </c>
      <c r="I250" s="54" t="s">
        <v>93</v>
      </c>
      <c r="J250" s="54"/>
      <c r="K250" s="22">
        <v>11.41</v>
      </c>
      <c r="L250" s="10">
        <v>1.5</v>
      </c>
      <c r="M250" s="10"/>
      <c r="N250" s="39"/>
      <c r="O250" s="10">
        <v>2.4</v>
      </c>
      <c r="P250" s="40">
        <v>1.5</v>
      </c>
      <c r="Q250" s="40"/>
      <c r="R250" s="40">
        <v>1</v>
      </c>
      <c r="S250" s="39"/>
      <c r="T250" s="40"/>
      <c r="U250" s="40"/>
      <c r="V250" s="40">
        <v>0.5</v>
      </c>
      <c r="W250" s="40">
        <v>1</v>
      </c>
      <c r="X250" s="40"/>
      <c r="Y250" s="40"/>
      <c r="Z250" s="40"/>
      <c r="AA250" s="40"/>
      <c r="AB250" s="24">
        <f t="shared" si="266"/>
        <v>14.015000000000002</v>
      </c>
      <c r="AC250" s="24" t="str">
        <f t="shared" si="267"/>
        <v/>
      </c>
      <c r="AD250" s="24" t="str">
        <f t="shared" si="268"/>
        <v/>
      </c>
      <c r="AE250" s="24"/>
      <c r="AF250" s="24" t="str">
        <f t="shared" si="270"/>
        <v/>
      </c>
      <c r="AG250" s="31"/>
      <c r="AH250" s="3"/>
    </row>
    <row r="251" spans="1:34" x14ac:dyDescent="0.25">
      <c r="A251" s="15" t="s">
        <v>126</v>
      </c>
      <c r="B251" s="16"/>
      <c r="C251" s="34"/>
      <c r="D251" s="26"/>
      <c r="E251" s="26"/>
      <c r="F251" s="26"/>
      <c r="G251" s="26" t="s">
        <v>274</v>
      </c>
      <c r="H251" s="21" t="s">
        <v>273</v>
      </c>
      <c r="I251" s="54" t="s">
        <v>278</v>
      </c>
      <c r="J251" s="54" t="s">
        <v>117</v>
      </c>
      <c r="K251" s="22">
        <f>11.25+1</f>
        <v>12.25</v>
      </c>
      <c r="L251" s="10">
        <f>10.5-(1.75-0.15)/2-1.7</f>
        <v>7.9999999999999991</v>
      </c>
      <c r="M251" s="10"/>
      <c r="N251" s="39"/>
      <c r="O251" s="10"/>
      <c r="P251" s="40"/>
      <c r="Q251" s="40"/>
      <c r="R251" s="40"/>
      <c r="S251" s="39"/>
      <c r="T251" s="40"/>
      <c r="U251" s="40"/>
      <c r="V251" s="40"/>
      <c r="W251" s="40"/>
      <c r="X251" s="40"/>
      <c r="Y251" s="40"/>
      <c r="Z251" s="40"/>
      <c r="AA251" s="40"/>
      <c r="AB251" s="24">
        <f t="shared" ref="AB251" si="278">IF(K251*L251+M251-O251*P251*R251-Q251*R251+T251*U251*W251+V251*W251&lt;&gt;0,K251*L251+M251-O251*P251*R251-Q251*R251+T251*U251*W251+V251*W251,"")</f>
        <v>97.999999999999986</v>
      </c>
      <c r="AC251" s="24" t="str">
        <f t="shared" ref="AC251" si="279">IF(W251*SUM(Y251:AA251)&lt;&gt;0,W251*SUM(Y251:AA251),"")</f>
        <v/>
      </c>
      <c r="AD251" s="24" t="str">
        <f t="shared" ref="AD251" si="280">IF(W251*X251*SUM(Y251:AA251)&lt;&gt;0,W251*X251*SUM(Y251:AA251),"")</f>
        <v/>
      </c>
      <c r="AE251" s="24"/>
      <c r="AF251" s="24" t="str">
        <f t="shared" ref="AF251" si="281">IF(W251*X251*(Z251+AA251)&lt;&gt;0,W251*X251*(Z251+AA251),"")</f>
        <v/>
      </c>
      <c r="AG251" s="31"/>
      <c r="AH251" s="3"/>
    </row>
    <row r="252" spans="1:34" x14ac:dyDescent="0.25">
      <c r="A252" s="15" t="s">
        <v>126</v>
      </c>
      <c r="B252" s="16"/>
      <c r="C252" s="34"/>
      <c r="D252" s="26"/>
      <c r="E252" s="26"/>
      <c r="F252" s="26"/>
      <c r="G252" s="26" t="s">
        <v>274</v>
      </c>
      <c r="H252" s="21" t="s">
        <v>273</v>
      </c>
      <c r="I252" s="54" t="s">
        <v>131</v>
      </c>
      <c r="J252" s="54" t="s">
        <v>117</v>
      </c>
      <c r="K252" s="22">
        <f>40.25+1-K251</f>
        <v>29</v>
      </c>
      <c r="L252" s="10">
        <f>10.5+0.15-1.7</f>
        <v>8.9500000000000011</v>
      </c>
      <c r="M252" s="10"/>
      <c r="N252" s="39"/>
      <c r="O252" s="10"/>
      <c r="P252" s="40"/>
      <c r="Q252" s="40"/>
      <c r="R252" s="40"/>
      <c r="S252" s="39"/>
      <c r="T252" s="40"/>
      <c r="U252" s="40"/>
      <c r="V252" s="40"/>
      <c r="W252" s="40"/>
      <c r="X252" s="40"/>
      <c r="Y252" s="40"/>
      <c r="Z252" s="40"/>
      <c r="AA252" s="40"/>
      <c r="AB252" s="24">
        <f t="shared" ref="AB252:AB258" si="282">IF(K252*L252+M252-O252*P252*R252-Q252*R252+T252*U252*W252+V252*W252&lt;&gt;0,K252*L252+M252-O252*P252*R252-Q252*R252+T252*U252*W252+V252*W252,"")</f>
        <v>259.55</v>
      </c>
      <c r="AC252" s="24" t="str">
        <f t="shared" ref="AC252:AC258" si="283">IF(W252*SUM(Y252:AA252)&lt;&gt;0,W252*SUM(Y252:AA252),"")</f>
        <v/>
      </c>
      <c r="AD252" s="24" t="str">
        <f t="shared" ref="AD252:AD258" si="284">IF(W252*X252*SUM(Y252:AA252)&lt;&gt;0,W252*X252*SUM(Y252:AA252),"")</f>
        <v/>
      </c>
      <c r="AE252" s="24"/>
      <c r="AF252" s="24" t="str">
        <f t="shared" ref="AF252:AF258" si="285">IF(W252*X252*(Z252+AA252)&lt;&gt;0,W252*X252*(Z252+AA252),"")</f>
        <v/>
      </c>
      <c r="AG252" s="31"/>
      <c r="AH252" s="3"/>
    </row>
    <row r="253" spans="1:34" x14ac:dyDescent="0.25">
      <c r="A253" s="15" t="s">
        <v>126</v>
      </c>
      <c r="B253" s="16"/>
      <c r="C253" s="34"/>
      <c r="D253" s="26"/>
      <c r="E253" s="26"/>
      <c r="F253" s="26"/>
      <c r="G253" s="26" t="s">
        <v>274</v>
      </c>
      <c r="H253" s="21" t="s">
        <v>273</v>
      </c>
      <c r="I253" s="54" t="s">
        <v>276</v>
      </c>
      <c r="J253" s="54" t="s">
        <v>117</v>
      </c>
      <c r="K253" s="22">
        <f>29.4+1*2</f>
        <v>31.4</v>
      </c>
      <c r="L253" s="10">
        <f>10.5-1.7</f>
        <v>8.8000000000000007</v>
      </c>
      <c r="M253" s="10"/>
      <c r="N253" s="39"/>
      <c r="O253" s="10"/>
      <c r="P253" s="40"/>
      <c r="Q253" s="40"/>
      <c r="R253" s="40"/>
      <c r="S253" s="39"/>
      <c r="T253" s="40"/>
      <c r="U253" s="40"/>
      <c r="V253" s="40"/>
      <c r="W253" s="40"/>
      <c r="X253" s="40"/>
      <c r="Y253" s="40"/>
      <c r="Z253" s="40"/>
      <c r="AA253" s="40"/>
      <c r="AB253" s="24">
        <f t="shared" si="282"/>
        <v>276.32</v>
      </c>
      <c r="AC253" s="24" t="str">
        <f t="shared" si="283"/>
        <v/>
      </c>
      <c r="AD253" s="24" t="str">
        <f t="shared" si="284"/>
        <v/>
      </c>
      <c r="AE253" s="24"/>
      <c r="AF253" s="24" t="str">
        <f t="shared" si="285"/>
        <v/>
      </c>
      <c r="AG253" s="31"/>
      <c r="AH253" s="3"/>
    </row>
    <row r="254" spans="1:34" x14ac:dyDescent="0.25">
      <c r="A254" s="15"/>
      <c r="B254" s="16"/>
      <c r="C254" s="34"/>
      <c r="D254" s="26"/>
      <c r="E254" s="26"/>
      <c r="F254" s="26"/>
      <c r="G254" s="26"/>
      <c r="H254" s="21"/>
      <c r="I254" s="54"/>
      <c r="J254" s="54"/>
      <c r="K254" s="22"/>
      <c r="L254" s="10"/>
      <c r="M254" s="10"/>
      <c r="N254" s="39"/>
      <c r="O254" s="10"/>
      <c r="P254" s="40"/>
      <c r="Q254" s="40"/>
      <c r="R254" s="40"/>
      <c r="S254" s="39"/>
      <c r="T254" s="40"/>
      <c r="U254" s="40"/>
      <c r="V254" s="40"/>
      <c r="W254" s="40"/>
      <c r="X254" s="40"/>
      <c r="Y254" s="40"/>
      <c r="Z254" s="40"/>
      <c r="AA254" s="40"/>
      <c r="AB254" s="24" t="str">
        <f t="shared" si="282"/>
        <v/>
      </c>
      <c r="AC254" s="24" t="str">
        <f t="shared" si="283"/>
        <v/>
      </c>
      <c r="AD254" s="24" t="str">
        <f t="shared" si="284"/>
        <v/>
      </c>
      <c r="AE254" s="24"/>
      <c r="AF254" s="24" t="str">
        <f t="shared" si="285"/>
        <v/>
      </c>
      <c r="AG254" s="31"/>
      <c r="AH254" s="3"/>
    </row>
    <row r="255" spans="1:34" x14ac:dyDescent="0.25">
      <c r="A255" s="49" t="s">
        <v>174</v>
      </c>
      <c r="B255" s="16"/>
      <c r="C255" s="34"/>
      <c r="D255" s="26"/>
      <c r="E255" s="26"/>
      <c r="F255" s="26"/>
      <c r="G255" s="26"/>
      <c r="H255" s="21" t="s">
        <v>175</v>
      </c>
      <c r="I255" s="54"/>
      <c r="J255" s="54"/>
      <c r="K255" s="22"/>
      <c r="L255" s="10"/>
      <c r="M255" s="10"/>
      <c r="N255" s="39"/>
      <c r="O255" s="10"/>
      <c r="P255" s="40"/>
      <c r="Q255" s="40"/>
      <c r="R255" s="40"/>
      <c r="S255" s="39"/>
      <c r="T255" s="40"/>
      <c r="U255" s="40"/>
      <c r="V255" s="40"/>
      <c r="W255" s="40"/>
      <c r="X255" s="40"/>
      <c r="Y255" s="40"/>
      <c r="Z255" s="40"/>
      <c r="AA255" s="40"/>
      <c r="AB255" s="24" t="str">
        <f t="shared" si="282"/>
        <v/>
      </c>
      <c r="AC255" s="24" t="str">
        <f t="shared" si="283"/>
        <v/>
      </c>
      <c r="AD255" s="24" t="str">
        <f t="shared" si="284"/>
        <v/>
      </c>
      <c r="AE255" s="24"/>
      <c r="AF255" s="24" t="str">
        <f t="shared" si="285"/>
        <v/>
      </c>
      <c r="AG255" s="31"/>
      <c r="AH255" s="3"/>
    </row>
    <row r="256" spans="1:34" x14ac:dyDescent="0.25">
      <c r="A256" s="15"/>
      <c r="B256" s="16"/>
      <c r="C256" s="34"/>
      <c r="D256" s="26"/>
      <c r="E256" s="26"/>
      <c r="F256" s="26"/>
      <c r="G256" s="26"/>
      <c r="H256" s="21"/>
      <c r="I256" s="54"/>
      <c r="J256" s="54"/>
      <c r="K256" s="22"/>
      <c r="L256" s="10"/>
      <c r="M256" s="10"/>
      <c r="N256" s="39"/>
      <c r="O256" s="10"/>
      <c r="P256" s="40"/>
      <c r="Q256" s="40"/>
      <c r="R256" s="40"/>
      <c r="S256" s="39"/>
      <c r="T256" s="40"/>
      <c r="U256" s="40"/>
      <c r="V256" s="40"/>
      <c r="W256" s="40"/>
      <c r="X256" s="40"/>
      <c r="Y256" s="40"/>
      <c r="Z256" s="40"/>
      <c r="AA256" s="40"/>
      <c r="AB256" s="24" t="str">
        <f t="shared" si="282"/>
        <v/>
      </c>
      <c r="AC256" s="24" t="str">
        <f t="shared" si="283"/>
        <v/>
      </c>
      <c r="AD256" s="24" t="str">
        <f t="shared" si="284"/>
        <v/>
      </c>
      <c r="AE256" s="24"/>
      <c r="AF256" s="24" t="str">
        <f t="shared" si="285"/>
        <v/>
      </c>
      <c r="AG256" s="31"/>
      <c r="AH256" s="3"/>
    </row>
    <row r="257" spans="1:34" x14ac:dyDescent="0.25">
      <c r="A257" s="49" t="s">
        <v>176</v>
      </c>
      <c r="B257" s="16"/>
      <c r="C257" s="34"/>
      <c r="D257" s="26"/>
      <c r="E257" s="26"/>
      <c r="F257" s="26"/>
      <c r="G257" s="26"/>
      <c r="H257" s="21"/>
      <c r="I257" s="54"/>
      <c r="J257" s="54"/>
      <c r="K257" s="22"/>
      <c r="L257" s="10"/>
      <c r="M257" s="10"/>
      <c r="N257" s="39"/>
      <c r="O257" s="10"/>
      <c r="P257" s="40"/>
      <c r="Q257" s="40"/>
      <c r="R257" s="40"/>
      <c r="S257" s="39"/>
      <c r="T257" s="40"/>
      <c r="U257" s="40"/>
      <c r="V257" s="40"/>
      <c r="W257" s="40"/>
      <c r="X257" s="40"/>
      <c r="Y257" s="40"/>
      <c r="Z257" s="40"/>
      <c r="AA257" s="40"/>
      <c r="AB257" s="24" t="str">
        <f t="shared" si="282"/>
        <v/>
      </c>
      <c r="AC257" s="24" t="str">
        <f t="shared" si="283"/>
        <v/>
      </c>
      <c r="AD257" s="24" t="str">
        <f t="shared" si="284"/>
        <v/>
      </c>
      <c r="AE257" s="24"/>
      <c r="AF257" s="24" t="str">
        <f t="shared" si="285"/>
        <v/>
      </c>
      <c r="AG257" s="31"/>
      <c r="AH257" s="3"/>
    </row>
    <row r="258" spans="1:34" x14ac:dyDescent="0.25">
      <c r="A258" s="15"/>
      <c r="B258" s="16"/>
      <c r="C258" s="34" t="s">
        <v>177</v>
      </c>
      <c r="D258" s="26" t="s">
        <v>180</v>
      </c>
      <c r="E258" s="26"/>
      <c r="F258" s="26"/>
      <c r="G258" s="26"/>
      <c r="H258" s="21" t="s">
        <v>181</v>
      </c>
      <c r="I258" s="54"/>
      <c r="J258" s="54"/>
      <c r="K258" s="22">
        <f>4.98+6.1+10.7+3-(3.05+2)</f>
        <v>19.73</v>
      </c>
      <c r="L258" s="10">
        <f>0.3+0.13</f>
        <v>0.43</v>
      </c>
      <c r="M258" s="10"/>
      <c r="N258" s="39"/>
      <c r="O258" s="10"/>
      <c r="P258" s="40"/>
      <c r="Q258" s="40"/>
      <c r="R258" s="40"/>
      <c r="S258" s="39"/>
      <c r="T258" s="40"/>
      <c r="U258" s="40"/>
      <c r="V258" s="40"/>
      <c r="W258" s="40"/>
      <c r="X258" s="40"/>
      <c r="Y258" s="40"/>
      <c r="Z258" s="40"/>
      <c r="AA258" s="40"/>
      <c r="AB258" s="24">
        <f t="shared" si="282"/>
        <v>8.4839000000000002</v>
      </c>
      <c r="AC258" s="24" t="str">
        <f t="shared" si="283"/>
        <v/>
      </c>
      <c r="AD258" s="24" t="str">
        <f t="shared" si="284"/>
        <v/>
      </c>
      <c r="AE258" s="24"/>
      <c r="AF258" s="24" t="str">
        <f t="shared" si="285"/>
        <v/>
      </c>
      <c r="AG258" s="31"/>
      <c r="AH258" s="3"/>
    </row>
    <row r="259" spans="1:34" x14ac:dyDescent="0.25">
      <c r="A259" s="15"/>
      <c r="B259" s="16"/>
      <c r="C259" s="34" t="s">
        <v>177</v>
      </c>
      <c r="D259" s="26" t="s">
        <v>180</v>
      </c>
      <c r="E259" s="26"/>
      <c r="F259" s="26"/>
      <c r="G259" s="26"/>
      <c r="H259" s="21" t="s">
        <v>186</v>
      </c>
      <c r="I259" s="54"/>
      <c r="J259" s="54"/>
      <c r="K259" s="22">
        <f>5.82+3.4</f>
        <v>9.2200000000000006</v>
      </c>
      <c r="L259" s="10">
        <v>0.3</v>
      </c>
      <c r="M259" s="10"/>
      <c r="N259" s="39"/>
      <c r="O259" s="10"/>
      <c r="P259" s="40"/>
      <c r="Q259" s="40"/>
      <c r="R259" s="40"/>
      <c r="S259" s="39"/>
      <c r="T259" s="40"/>
      <c r="U259" s="40"/>
      <c r="V259" s="40"/>
      <c r="W259" s="40"/>
      <c r="X259" s="40"/>
      <c r="Y259" s="40"/>
      <c r="Z259" s="40"/>
      <c r="AA259" s="40"/>
      <c r="AB259" s="24">
        <f t="shared" ref="AB259:AB268" si="286">IF(K259*L259+M259-O259*P259*R259-Q259*R259+T259*U259*W259+V259*W259&lt;&gt;0,K259*L259+M259-O259*P259*R259-Q259*R259+T259*U259*W259+V259*W259,"")</f>
        <v>2.766</v>
      </c>
      <c r="AC259" s="24" t="str">
        <f t="shared" ref="AC259:AC268" si="287">IF(W259*SUM(Y259:AA259)&lt;&gt;0,W259*SUM(Y259:AA259),"")</f>
        <v/>
      </c>
      <c r="AD259" s="24" t="str">
        <f t="shared" ref="AD259:AD268" si="288">IF(W259*X259*SUM(Y259:AA259)&lt;&gt;0,W259*X259*SUM(Y259:AA259),"")</f>
        <v/>
      </c>
      <c r="AE259" s="24" t="str">
        <f t="shared" ref="AE259:AE268" si="289">IF(O259*P259*R259+Q259*R259&lt;&gt;0,O259*P259*R259+Q259*R259,"")</f>
        <v/>
      </c>
      <c r="AF259" s="24" t="str">
        <f t="shared" ref="AF259:AF268" si="290">IF(W259*X259*(Z259+AA259)&lt;&gt;0,W259*X259*(Z259+AA259),"")</f>
        <v/>
      </c>
      <c r="AG259" s="31"/>
      <c r="AH259" s="3"/>
    </row>
    <row r="260" spans="1:34" x14ac:dyDescent="0.25">
      <c r="A260" s="15"/>
      <c r="B260" s="16"/>
      <c r="C260" s="34" t="s">
        <v>177</v>
      </c>
      <c r="D260" s="26" t="s">
        <v>184</v>
      </c>
      <c r="E260" s="26"/>
      <c r="F260" s="26"/>
      <c r="G260" s="26"/>
      <c r="H260" s="21" t="s">
        <v>187</v>
      </c>
      <c r="I260" s="54"/>
      <c r="J260" s="54"/>
      <c r="K260" s="22">
        <f>5.82+3.4</f>
        <v>9.2200000000000006</v>
      </c>
      <c r="L260" s="10">
        <v>0.65</v>
      </c>
      <c r="M260" s="10"/>
      <c r="N260" s="39"/>
      <c r="O260" s="10"/>
      <c r="P260" s="40"/>
      <c r="Q260" s="40"/>
      <c r="R260" s="40"/>
      <c r="S260" s="39"/>
      <c r="T260" s="40"/>
      <c r="U260" s="40"/>
      <c r="V260" s="40"/>
      <c r="W260" s="40"/>
      <c r="X260" s="40"/>
      <c r="Y260" s="40"/>
      <c r="Z260" s="40"/>
      <c r="AA260" s="40"/>
      <c r="AB260" s="24">
        <f t="shared" si="286"/>
        <v>5.9930000000000003</v>
      </c>
      <c r="AC260" s="24" t="str">
        <f t="shared" si="287"/>
        <v/>
      </c>
      <c r="AD260" s="24" t="str">
        <f t="shared" si="288"/>
        <v/>
      </c>
      <c r="AE260" s="24" t="str">
        <f t="shared" si="289"/>
        <v/>
      </c>
      <c r="AF260" s="24" t="str">
        <f t="shared" si="290"/>
        <v/>
      </c>
      <c r="AG260" s="31"/>
      <c r="AH260" s="3"/>
    </row>
    <row r="261" spans="1:34" x14ac:dyDescent="0.25">
      <c r="A261" s="15"/>
      <c r="B261" s="16"/>
      <c r="C261" s="34" t="s">
        <v>177</v>
      </c>
      <c r="D261" s="26" t="s">
        <v>179</v>
      </c>
      <c r="E261" s="26"/>
      <c r="F261" s="26"/>
      <c r="G261" s="26"/>
      <c r="H261" s="21" t="s">
        <v>185</v>
      </c>
      <c r="I261" s="54"/>
      <c r="J261" s="54"/>
      <c r="K261" s="22">
        <f>6.1*2+10.7*2</f>
        <v>33.599999999999994</v>
      </c>
      <c r="L261" s="10">
        <f>10.5-3.68-0.3</f>
        <v>6.5200000000000005</v>
      </c>
      <c r="M261" s="10"/>
      <c r="N261" s="39"/>
      <c r="O261" s="10">
        <v>3.05</v>
      </c>
      <c r="P261" s="40">
        <f>2.5-0.3</f>
        <v>2.2000000000000002</v>
      </c>
      <c r="Q261" s="40"/>
      <c r="R261" s="40">
        <v>1</v>
      </c>
      <c r="S261" s="39"/>
      <c r="T261" s="40"/>
      <c r="U261" s="40"/>
      <c r="V261" s="40"/>
      <c r="W261" s="40"/>
      <c r="X261" s="40"/>
      <c r="Y261" s="40"/>
      <c r="Z261" s="40"/>
      <c r="AA261" s="40"/>
      <c r="AB261" s="24">
        <f t="shared" si="286"/>
        <v>212.36199999999997</v>
      </c>
      <c r="AC261" s="24" t="str">
        <f t="shared" si="287"/>
        <v/>
      </c>
      <c r="AD261" s="24" t="str">
        <f t="shared" si="288"/>
        <v/>
      </c>
      <c r="AE261" s="24">
        <f t="shared" si="289"/>
        <v>6.71</v>
      </c>
      <c r="AF261" s="24" t="str">
        <f t="shared" si="290"/>
        <v/>
      </c>
      <c r="AG261" s="31"/>
      <c r="AH261" s="3"/>
    </row>
    <row r="262" spans="1:34" x14ac:dyDescent="0.25">
      <c r="A262" s="15"/>
      <c r="B262" s="16"/>
      <c r="C262" s="34" t="s">
        <v>177</v>
      </c>
      <c r="D262" s="26" t="s">
        <v>179</v>
      </c>
      <c r="E262" s="26"/>
      <c r="F262" s="26"/>
      <c r="G262" s="26"/>
      <c r="H262" s="21"/>
      <c r="I262" s="54"/>
      <c r="J262" s="54"/>
      <c r="K262" s="22"/>
      <c r="L262" s="10"/>
      <c r="M262" s="10"/>
      <c r="N262" s="39"/>
      <c r="O262" s="10">
        <v>0.77</v>
      </c>
      <c r="P262" s="40">
        <v>2</v>
      </c>
      <c r="Q262" s="40"/>
      <c r="R262" s="40">
        <v>2</v>
      </c>
      <c r="S262" s="39"/>
      <c r="T262" s="40"/>
      <c r="U262" s="40"/>
      <c r="V262" s="40"/>
      <c r="W262" s="40"/>
      <c r="X262" s="40"/>
      <c r="Y262" s="40"/>
      <c r="Z262" s="40"/>
      <c r="AA262" s="40"/>
      <c r="AB262" s="24">
        <f t="shared" si="286"/>
        <v>-3.08</v>
      </c>
      <c r="AC262" s="24" t="str">
        <f t="shared" si="287"/>
        <v/>
      </c>
      <c r="AD262" s="24" t="str">
        <f t="shared" si="288"/>
        <v/>
      </c>
      <c r="AE262" s="24">
        <f t="shared" si="289"/>
        <v>3.08</v>
      </c>
      <c r="AF262" s="24" t="str">
        <f t="shared" si="290"/>
        <v/>
      </c>
      <c r="AG262" s="31"/>
      <c r="AH262" s="3"/>
    </row>
    <row r="263" spans="1:34" x14ac:dyDescent="0.25">
      <c r="A263" s="15"/>
      <c r="B263" s="16"/>
      <c r="C263" s="34" t="s">
        <v>177</v>
      </c>
      <c r="D263" s="26" t="s">
        <v>179</v>
      </c>
      <c r="E263" s="26"/>
      <c r="F263" s="26"/>
      <c r="G263" s="26"/>
      <c r="H263" s="21"/>
      <c r="I263" s="54"/>
      <c r="J263" s="54"/>
      <c r="K263" s="22"/>
      <c r="L263" s="10"/>
      <c r="M263" s="10"/>
      <c r="N263" s="39"/>
      <c r="O263" s="10">
        <v>1.9</v>
      </c>
      <c r="P263" s="40">
        <v>2</v>
      </c>
      <c r="Q263" s="40"/>
      <c r="R263" s="40">
        <v>2</v>
      </c>
      <c r="S263" s="39"/>
      <c r="T263" s="40"/>
      <c r="U263" s="40"/>
      <c r="V263" s="40"/>
      <c r="W263" s="40"/>
      <c r="X263" s="40"/>
      <c r="Y263" s="40"/>
      <c r="Z263" s="40"/>
      <c r="AA263" s="40"/>
      <c r="AB263" s="24">
        <f t="shared" si="286"/>
        <v>-7.6</v>
      </c>
      <c r="AC263" s="24" t="str">
        <f t="shared" si="287"/>
        <v/>
      </c>
      <c r="AD263" s="24" t="str">
        <f t="shared" si="288"/>
        <v/>
      </c>
      <c r="AE263" s="24">
        <f t="shared" si="289"/>
        <v>7.6</v>
      </c>
      <c r="AF263" s="24" t="str">
        <f t="shared" si="290"/>
        <v/>
      </c>
      <c r="AG263" s="31"/>
      <c r="AH263" s="3"/>
    </row>
    <row r="264" spans="1:34" x14ac:dyDescent="0.25">
      <c r="A264" s="15"/>
      <c r="B264" s="16"/>
      <c r="C264" s="34" t="s">
        <v>177</v>
      </c>
      <c r="D264" s="26" t="s">
        <v>179</v>
      </c>
      <c r="E264" s="26"/>
      <c r="F264" s="26"/>
      <c r="G264" s="26"/>
      <c r="H264" s="21"/>
      <c r="I264" s="54"/>
      <c r="J264" s="54"/>
      <c r="K264" s="22"/>
      <c r="L264" s="10"/>
      <c r="M264" s="10"/>
      <c r="N264" s="39"/>
      <c r="O264" s="10">
        <v>2</v>
      </c>
      <c r="P264" s="40">
        <f>2.5-0.3</f>
        <v>2.2000000000000002</v>
      </c>
      <c r="Q264" s="40"/>
      <c r="R264" s="40">
        <v>1</v>
      </c>
      <c r="S264" s="39"/>
      <c r="T264" s="40"/>
      <c r="U264" s="40"/>
      <c r="V264" s="40"/>
      <c r="W264" s="40"/>
      <c r="X264" s="40"/>
      <c r="Y264" s="40"/>
      <c r="Z264" s="40"/>
      <c r="AA264" s="40"/>
      <c r="AB264" s="24">
        <f t="shared" si="286"/>
        <v>-4.4000000000000004</v>
      </c>
      <c r="AC264" s="24" t="str">
        <f t="shared" si="287"/>
        <v/>
      </c>
      <c r="AD264" s="24" t="str">
        <f t="shared" si="288"/>
        <v/>
      </c>
      <c r="AE264" s="24">
        <f t="shared" si="289"/>
        <v>4.4000000000000004</v>
      </c>
      <c r="AF264" s="24" t="str">
        <f t="shared" si="290"/>
        <v/>
      </c>
      <c r="AG264" s="31"/>
      <c r="AH264" s="3"/>
    </row>
    <row r="265" spans="1:34" x14ac:dyDescent="0.25">
      <c r="A265" s="15"/>
      <c r="B265" s="16"/>
      <c r="C265" s="34" t="s">
        <v>177</v>
      </c>
      <c r="D265" s="26" t="s">
        <v>179</v>
      </c>
      <c r="E265" s="26"/>
      <c r="F265" s="26"/>
      <c r="G265" s="26"/>
      <c r="H265" s="21"/>
      <c r="I265" s="54"/>
      <c r="J265" s="54"/>
      <c r="K265" s="22"/>
      <c r="L265" s="10"/>
      <c r="M265" s="10"/>
      <c r="N265" s="39"/>
      <c r="O265" s="10">
        <v>3.05</v>
      </c>
      <c r="P265" s="40">
        <v>2</v>
      </c>
      <c r="Q265" s="40"/>
      <c r="R265" s="40">
        <v>3</v>
      </c>
      <c r="S265" s="39"/>
      <c r="T265" s="40"/>
      <c r="U265" s="40"/>
      <c r="V265" s="40"/>
      <c r="W265" s="40"/>
      <c r="X265" s="40"/>
      <c r="Y265" s="40"/>
      <c r="Z265" s="40"/>
      <c r="AA265" s="40"/>
      <c r="AB265" s="24">
        <f t="shared" si="286"/>
        <v>-18.299999999999997</v>
      </c>
      <c r="AC265" s="24" t="str">
        <f t="shared" si="287"/>
        <v/>
      </c>
      <c r="AD265" s="24" t="str">
        <f t="shared" si="288"/>
        <v/>
      </c>
      <c r="AE265" s="24">
        <f t="shared" si="289"/>
        <v>18.299999999999997</v>
      </c>
      <c r="AF265" s="24" t="str">
        <f t="shared" si="290"/>
        <v/>
      </c>
      <c r="AG265" s="31"/>
      <c r="AH265" s="3"/>
    </row>
    <row r="266" spans="1:34" x14ac:dyDescent="0.25">
      <c r="A266" s="15"/>
      <c r="B266" s="16"/>
      <c r="C266" s="34" t="s">
        <v>177</v>
      </c>
      <c r="D266" s="26" t="s">
        <v>179</v>
      </c>
      <c r="E266" s="26"/>
      <c r="F266" s="26"/>
      <c r="G266" s="26"/>
      <c r="H266" s="21"/>
      <c r="I266" s="54"/>
      <c r="J266" s="54"/>
      <c r="K266" s="22"/>
      <c r="L266" s="10"/>
      <c r="M266" s="10"/>
      <c r="N266" s="39"/>
      <c r="O266" s="10">
        <v>3</v>
      </c>
      <c r="P266" s="40">
        <v>2</v>
      </c>
      <c r="Q266" s="40"/>
      <c r="R266" s="40">
        <v>1</v>
      </c>
      <c r="S266" s="39"/>
      <c r="T266" s="40"/>
      <c r="U266" s="40"/>
      <c r="V266" s="40"/>
      <c r="W266" s="40"/>
      <c r="X266" s="40"/>
      <c r="Y266" s="40"/>
      <c r="Z266" s="40"/>
      <c r="AA266" s="40"/>
      <c r="AB266" s="24">
        <f t="shared" si="286"/>
        <v>-6</v>
      </c>
      <c r="AC266" s="24" t="str">
        <f t="shared" si="287"/>
        <v/>
      </c>
      <c r="AD266" s="24" t="str">
        <f t="shared" si="288"/>
        <v/>
      </c>
      <c r="AE266" s="24">
        <f t="shared" si="289"/>
        <v>6</v>
      </c>
      <c r="AF266" s="24" t="str">
        <f t="shared" si="290"/>
        <v/>
      </c>
      <c r="AG266" s="31"/>
      <c r="AH266" s="3"/>
    </row>
    <row r="267" spans="1:34" x14ac:dyDescent="0.25">
      <c r="A267" s="15"/>
      <c r="B267" s="16"/>
      <c r="C267" s="34" t="s">
        <v>177</v>
      </c>
      <c r="D267" s="26" t="s">
        <v>179</v>
      </c>
      <c r="E267" s="26"/>
      <c r="F267" s="26"/>
      <c r="G267" s="26"/>
      <c r="H267" s="21"/>
      <c r="I267" s="54"/>
      <c r="J267" s="54"/>
      <c r="K267" s="22"/>
      <c r="L267" s="10"/>
      <c r="M267" s="10"/>
      <c r="N267" s="39"/>
      <c r="O267" s="10">
        <v>2</v>
      </c>
      <c r="P267" s="40">
        <v>2</v>
      </c>
      <c r="Q267" s="40"/>
      <c r="R267" s="40">
        <v>3</v>
      </c>
      <c r="S267" s="39"/>
      <c r="T267" s="40"/>
      <c r="U267" s="40"/>
      <c r="V267" s="40"/>
      <c r="W267" s="40"/>
      <c r="X267" s="40"/>
      <c r="Y267" s="40"/>
      <c r="Z267" s="40"/>
      <c r="AA267" s="40"/>
      <c r="AB267" s="24">
        <f t="shared" si="286"/>
        <v>-12</v>
      </c>
      <c r="AC267" s="24" t="str">
        <f t="shared" si="287"/>
        <v/>
      </c>
      <c r="AD267" s="24" t="str">
        <f t="shared" si="288"/>
        <v/>
      </c>
      <c r="AE267" s="24">
        <f t="shared" si="289"/>
        <v>12</v>
      </c>
      <c r="AF267" s="24" t="str">
        <f t="shared" si="290"/>
        <v/>
      </c>
      <c r="AG267" s="31"/>
      <c r="AH267" s="3"/>
    </row>
    <row r="268" spans="1:34" x14ac:dyDescent="0.25">
      <c r="A268" s="15"/>
      <c r="B268" s="16"/>
      <c r="C268" s="34" t="s">
        <v>177</v>
      </c>
      <c r="D268" s="26" t="s">
        <v>179</v>
      </c>
      <c r="E268" s="26"/>
      <c r="F268" s="26"/>
      <c r="G268" s="26"/>
      <c r="H268" s="21"/>
      <c r="I268" s="54"/>
      <c r="J268" s="54"/>
      <c r="K268" s="22"/>
      <c r="L268" s="10"/>
      <c r="M268" s="10"/>
      <c r="N268" s="39"/>
      <c r="O268" s="10">
        <v>3.1</v>
      </c>
      <c r="P268" s="40">
        <v>2</v>
      </c>
      <c r="Q268" s="40"/>
      <c r="R268" s="40">
        <v>1</v>
      </c>
      <c r="S268" s="39"/>
      <c r="T268" s="40"/>
      <c r="U268" s="40"/>
      <c r="V268" s="40"/>
      <c r="W268" s="40"/>
      <c r="X268" s="40"/>
      <c r="Y268" s="40"/>
      <c r="Z268" s="40"/>
      <c r="AA268" s="40"/>
      <c r="AB268" s="24">
        <f t="shared" si="286"/>
        <v>-6.2</v>
      </c>
      <c r="AC268" s="24" t="str">
        <f t="shared" si="287"/>
        <v/>
      </c>
      <c r="AD268" s="24" t="str">
        <f t="shared" si="288"/>
        <v/>
      </c>
      <c r="AE268" s="24">
        <f t="shared" si="289"/>
        <v>6.2</v>
      </c>
      <c r="AF268" s="24" t="str">
        <f t="shared" si="290"/>
        <v/>
      </c>
      <c r="AG268" s="31"/>
      <c r="AH268" s="3"/>
    </row>
    <row r="269" spans="1:34" x14ac:dyDescent="0.25">
      <c r="A269" s="15"/>
      <c r="B269" s="16"/>
      <c r="C269" s="34" t="s">
        <v>177</v>
      </c>
      <c r="D269" s="26"/>
      <c r="E269" s="26"/>
      <c r="F269" s="26"/>
      <c r="G269" s="26" t="s">
        <v>274</v>
      </c>
      <c r="H269" s="21" t="s">
        <v>273</v>
      </c>
      <c r="I269" s="54" t="s">
        <v>279</v>
      </c>
      <c r="J269" s="54" t="s">
        <v>117</v>
      </c>
      <c r="K269" s="22">
        <f>6.1*2+10.7*2</f>
        <v>33.599999999999994</v>
      </c>
      <c r="L269" s="10">
        <f>10.5+0.02-1.7</f>
        <v>8.82</v>
      </c>
      <c r="M269" s="10"/>
      <c r="N269" s="39"/>
      <c r="O269" s="10"/>
      <c r="P269" s="40"/>
      <c r="Q269" s="40"/>
      <c r="R269" s="40"/>
      <c r="S269" s="39"/>
      <c r="T269" s="40"/>
      <c r="U269" s="40"/>
      <c r="V269" s="40"/>
      <c r="W269" s="40"/>
      <c r="X269" s="40"/>
      <c r="Y269" s="40"/>
      <c r="Z269" s="40"/>
      <c r="AA269" s="40"/>
      <c r="AB269" s="24">
        <f t="shared" ref="AB269:AB271" si="291">IF(K269*L269+M269-O269*P269*R269-Q269*R269+T269*U269*W269+V269*W269&lt;&gt;0,K269*L269+M269-O269*P269*R269-Q269*R269+T269*U269*W269+V269*W269,"")</f>
        <v>296.35199999999998</v>
      </c>
      <c r="AC269" s="24" t="str">
        <f t="shared" ref="AC269:AC271" si="292">IF(W269*SUM(Y269:AA269)&lt;&gt;0,W269*SUM(Y269:AA269),"")</f>
        <v/>
      </c>
      <c r="AD269" s="24" t="str">
        <f t="shared" ref="AD269:AD271" si="293">IF(W269*X269*SUM(Y269:AA269)&lt;&gt;0,W269*X269*SUM(Y269:AA269),"")</f>
        <v/>
      </c>
      <c r="AE269" s="24" t="str">
        <f t="shared" ref="AE269:AE271" si="294">IF(O269*P269*R269+Q269*R269&lt;&gt;0,O269*P269*R269+Q269*R269,"")</f>
        <v/>
      </c>
      <c r="AF269" s="24" t="str">
        <f t="shared" ref="AF269:AF271" si="295">IF(W269*X269*(Z269+AA269)&lt;&gt;0,W269*X269*(Z269+AA269),"")</f>
        <v/>
      </c>
      <c r="AG269" s="31"/>
      <c r="AH269" s="3"/>
    </row>
    <row r="270" spans="1:34" x14ac:dyDescent="0.25">
      <c r="A270" s="15"/>
      <c r="B270" s="16"/>
      <c r="C270" s="34"/>
      <c r="D270" s="26"/>
      <c r="E270" s="26"/>
      <c r="F270" s="26"/>
      <c r="G270" s="26"/>
      <c r="H270" s="21"/>
      <c r="I270" s="54"/>
      <c r="J270" s="54"/>
      <c r="K270" s="22"/>
      <c r="L270" s="10"/>
      <c r="M270" s="10"/>
      <c r="N270" s="39"/>
      <c r="O270" s="10"/>
      <c r="P270" s="40"/>
      <c r="Q270" s="40"/>
      <c r="R270" s="40"/>
      <c r="S270" s="39"/>
      <c r="T270" s="40"/>
      <c r="U270" s="40"/>
      <c r="V270" s="40"/>
      <c r="W270" s="40"/>
      <c r="X270" s="40"/>
      <c r="Y270" s="40"/>
      <c r="Z270" s="40"/>
      <c r="AA270" s="40"/>
      <c r="AB270" s="24" t="str">
        <f t="shared" si="291"/>
        <v/>
      </c>
      <c r="AC270" s="24" t="str">
        <f t="shared" si="292"/>
        <v/>
      </c>
      <c r="AD270" s="24" t="str">
        <f t="shared" si="293"/>
        <v/>
      </c>
      <c r="AE270" s="24" t="str">
        <f t="shared" si="294"/>
        <v/>
      </c>
      <c r="AF270" s="24" t="str">
        <f t="shared" si="295"/>
        <v/>
      </c>
      <c r="AG270" s="31"/>
      <c r="AH270" s="3"/>
    </row>
    <row r="271" spans="1:34" x14ac:dyDescent="0.25">
      <c r="A271" s="15"/>
      <c r="B271" s="16"/>
      <c r="C271" s="34" t="s">
        <v>178</v>
      </c>
      <c r="D271" s="26" t="s">
        <v>180</v>
      </c>
      <c r="E271" s="26"/>
      <c r="F271" s="26"/>
      <c r="G271" s="26"/>
      <c r="H271" s="21" t="s">
        <v>181</v>
      </c>
      <c r="I271" s="54"/>
      <c r="J271" s="54"/>
      <c r="K271" s="22">
        <f>9.65+5.33+2.1-(3.05+2)</f>
        <v>12.030000000000001</v>
      </c>
      <c r="L271" s="10">
        <f>0.3+0.13</f>
        <v>0.43</v>
      </c>
      <c r="M271" s="10"/>
      <c r="N271" s="39"/>
      <c r="O271" s="10"/>
      <c r="P271" s="40"/>
      <c r="Q271" s="40"/>
      <c r="R271" s="40"/>
      <c r="S271" s="39"/>
      <c r="T271" s="40"/>
      <c r="U271" s="40"/>
      <c r="V271" s="40"/>
      <c r="W271" s="40"/>
      <c r="X271" s="40"/>
      <c r="Y271" s="40"/>
      <c r="Z271" s="40"/>
      <c r="AA271" s="40"/>
      <c r="AB271" s="24">
        <f t="shared" si="291"/>
        <v>5.1729000000000003</v>
      </c>
      <c r="AC271" s="24" t="str">
        <f t="shared" si="292"/>
        <v/>
      </c>
      <c r="AD271" s="24" t="str">
        <f t="shared" si="293"/>
        <v/>
      </c>
      <c r="AE271" s="24" t="str">
        <f t="shared" si="294"/>
        <v/>
      </c>
      <c r="AF271" s="24" t="str">
        <f t="shared" si="295"/>
        <v/>
      </c>
      <c r="AG271" s="31"/>
      <c r="AH271" s="3"/>
    </row>
    <row r="272" spans="1:34" x14ac:dyDescent="0.25">
      <c r="A272" s="15"/>
      <c r="B272" s="16"/>
      <c r="C272" s="34" t="s">
        <v>178</v>
      </c>
      <c r="D272" s="26" t="s">
        <v>180</v>
      </c>
      <c r="E272" s="26"/>
      <c r="F272" s="26"/>
      <c r="G272" s="26"/>
      <c r="H272" s="21" t="s">
        <v>188</v>
      </c>
      <c r="I272" s="54"/>
      <c r="J272" s="54"/>
      <c r="K272" s="22">
        <f>5.33+1.05-1.9</f>
        <v>4.4800000000000004</v>
      </c>
      <c r="L272" s="10">
        <v>0.3</v>
      </c>
      <c r="M272" s="10"/>
      <c r="N272" s="39"/>
      <c r="O272" s="10"/>
      <c r="P272" s="40"/>
      <c r="Q272" s="40"/>
      <c r="R272" s="40"/>
      <c r="S272" s="39"/>
      <c r="T272" s="40"/>
      <c r="U272" s="40"/>
      <c r="V272" s="40"/>
      <c r="W272" s="40"/>
      <c r="X272" s="40"/>
      <c r="Y272" s="40"/>
      <c r="Z272" s="40"/>
      <c r="AA272" s="40"/>
      <c r="AB272" s="24">
        <f t="shared" si="261"/>
        <v>1.3440000000000001</v>
      </c>
      <c r="AC272" s="24" t="str">
        <f t="shared" si="262"/>
        <v/>
      </c>
      <c r="AD272" s="24" t="str">
        <f t="shared" si="263"/>
        <v/>
      </c>
      <c r="AE272" s="24" t="str">
        <f t="shared" si="264"/>
        <v/>
      </c>
      <c r="AF272" s="24" t="str">
        <f t="shared" si="265"/>
        <v/>
      </c>
      <c r="AG272" s="31"/>
      <c r="AH272" s="3"/>
    </row>
    <row r="273" spans="1:34" x14ac:dyDescent="0.25">
      <c r="A273" s="15"/>
      <c r="B273" s="16"/>
      <c r="C273" s="34" t="s">
        <v>178</v>
      </c>
      <c r="D273" s="26" t="s">
        <v>184</v>
      </c>
      <c r="E273" s="26"/>
      <c r="F273" s="26"/>
      <c r="G273" s="26"/>
      <c r="H273" s="21" t="s">
        <v>189</v>
      </c>
      <c r="I273" s="54"/>
      <c r="J273" s="54"/>
      <c r="K273" s="22">
        <f>0.87+1.15+7.65+0.87</f>
        <v>10.54</v>
      </c>
      <c r="L273" s="10">
        <v>0.56000000000000005</v>
      </c>
      <c r="M273" s="10"/>
      <c r="N273" s="39"/>
      <c r="O273" s="10"/>
      <c r="P273" s="40"/>
      <c r="Q273" s="40"/>
      <c r="R273" s="40"/>
      <c r="S273" s="39"/>
      <c r="T273" s="40"/>
      <c r="U273" s="40"/>
      <c r="V273" s="40"/>
      <c r="W273" s="40"/>
      <c r="X273" s="40"/>
      <c r="Y273" s="40"/>
      <c r="Z273" s="40"/>
      <c r="AA273" s="40"/>
      <c r="AB273" s="24">
        <f t="shared" ref="AB273:AB282" si="296">IF(K273*L273+M273-O273*P273*R273-Q273*R273+T273*U273*W273+V273*W273&lt;&gt;0,K273*L273+M273-O273*P273*R273-Q273*R273+T273*U273*W273+V273*W273,"")</f>
        <v>5.9024000000000001</v>
      </c>
      <c r="AC273" s="24" t="str">
        <f t="shared" ref="AC273:AC282" si="297">IF(W273*SUM(Y273:AA273)&lt;&gt;0,W273*SUM(Y273:AA273),"")</f>
        <v/>
      </c>
      <c r="AD273" s="24" t="str">
        <f t="shared" ref="AD273:AD282" si="298">IF(W273*X273*SUM(Y273:AA273)&lt;&gt;0,W273*X273*SUM(Y273:AA273),"")</f>
        <v/>
      </c>
      <c r="AE273" s="24" t="str">
        <f t="shared" ref="AE273:AE282" si="299">IF(O273*P273*R273+Q273*R273&lt;&gt;0,O273*P273*R273+Q273*R273,"")</f>
        <v/>
      </c>
      <c r="AF273" s="24" t="str">
        <f t="shared" ref="AF273:AF282" si="300">IF(W273*X273*(Z273+AA273)&lt;&gt;0,W273*X273*(Z273+AA273),"")</f>
        <v/>
      </c>
      <c r="AG273" s="31"/>
      <c r="AH273" s="3"/>
    </row>
    <row r="274" spans="1:34" x14ac:dyDescent="0.25">
      <c r="A274" s="15"/>
      <c r="B274" s="16"/>
      <c r="C274" s="34" t="s">
        <v>178</v>
      </c>
      <c r="D274" s="26" t="s">
        <v>179</v>
      </c>
      <c r="E274" s="26"/>
      <c r="F274" s="26"/>
      <c r="G274" s="26"/>
      <c r="H274" s="21" t="s">
        <v>185</v>
      </c>
      <c r="I274" s="54"/>
      <c r="J274" s="54"/>
      <c r="K274" s="22">
        <f>6.1*2+10.7*2</f>
        <v>33.599999999999994</v>
      </c>
      <c r="L274" s="10">
        <f>10.5-3.68-0.3</f>
        <v>6.5200000000000005</v>
      </c>
      <c r="M274" s="10"/>
      <c r="N274" s="39"/>
      <c r="O274" s="10">
        <v>3.05</v>
      </c>
      <c r="P274" s="40">
        <f>2.5-0.3</f>
        <v>2.2000000000000002</v>
      </c>
      <c r="Q274" s="40"/>
      <c r="R274" s="40">
        <v>1</v>
      </c>
      <c r="S274" s="39"/>
      <c r="T274" s="40"/>
      <c r="U274" s="40"/>
      <c r="V274" s="40"/>
      <c r="W274" s="40"/>
      <c r="X274" s="40"/>
      <c r="Y274" s="40"/>
      <c r="Z274" s="40"/>
      <c r="AA274" s="40"/>
      <c r="AB274" s="24">
        <f t="shared" si="296"/>
        <v>212.36199999999997</v>
      </c>
      <c r="AC274" s="24" t="str">
        <f t="shared" si="297"/>
        <v/>
      </c>
      <c r="AD274" s="24" t="str">
        <f t="shared" si="298"/>
        <v/>
      </c>
      <c r="AE274" s="24">
        <f t="shared" si="299"/>
        <v>6.71</v>
      </c>
      <c r="AF274" s="24" t="str">
        <f t="shared" si="300"/>
        <v/>
      </c>
      <c r="AG274" s="31"/>
      <c r="AH274" s="3"/>
    </row>
    <row r="275" spans="1:34" x14ac:dyDescent="0.25">
      <c r="A275" s="15"/>
      <c r="B275" s="16"/>
      <c r="C275" s="34" t="s">
        <v>178</v>
      </c>
      <c r="D275" s="26" t="s">
        <v>179</v>
      </c>
      <c r="E275" s="26"/>
      <c r="F275" s="26"/>
      <c r="G275" s="26"/>
      <c r="H275" s="21"/>
      <c r="I275" s="54"/>
      <c r="J275" s="54"/>
      <c r="K275" s="22"/>
      <c r="L275" s="10"/>
      <c r="M275" s="10"/>
      <c r="N275" s="39"/>
      <c r="O275" s="10">
        <v>2</v>
      </c>
      <c r="P275" s="40">
        <v>2</v>
      </c>
      <c r="Q275" s="40"/>
      <c r="R275" s="40">
        <v>2</v>
      </c>
      <c r="S275" s="39"/>
      <c r="T275" s="40"/>
      <c r="U275" s="40"/>
      <c r="V275" s="40"/>
      <c r="W275" s="40"/>
      <c r="X275" s="40"/>
      <c r="Y275" s="40"/>
      <c r="Z275" s="40"/>
      <c r="AA275" s="40"/>
      <c r="AB275" s="24">
        <f t="shared" si="296"/>
        <v>-8</v>
      </c>
      <c r="AC275" s="24" t="str">
        <f t="shared" si="297"/>
        <v/>
      </c>
      <c r="AD275" s="24" t="str">
        <f t="shared" si="298"/>
        <v/>
      </c>
      <c r="AE275" s="24">
        <f t="shared" si="299"/>
        <v>8</v>
      </c>
      <c r="AF275" s="24" t="str">
        <f t="shared" si="300"/>
        <v/>
      </c>
      <c r="AG275" s="31"/>
      <c r="AH275" s="3"/>
    </row>
    <row r="276" spans="1:34" x14ac:dyDescent="0.25">
      <c r="A276" s="15"/>
      <c r="B276" s="16"/>
      <c r="C276" s="34" t="s">
        <v>178</v>
      </c>
      <c r="D276" s="26" t="s">
        <v>179</v>
      </c>
      <c r="E276" s="26"/>
      <c r="F276" s="26"/>
      <c r="G276" s="26"/>
      <c r="H276" s="21"/>
      <c r="I276" s="54"/>
      <c r="J276" s="54"/>
      <c r="K276" s="22"/>
      <c r="L276" s="10"/>
      <c r="M276" s="10"/>
      <c r="N276" s="39"/>
      <c r="O276" s="10">
        <v>2</v>
      </c>
      <c r="P276" s="40">
        <v>2</v>
      </c>
      <c r="Q276" s="40"/>
      <c r="R276" s="40">
        <v>2</v>
      </c>
      <c r="S276" s="39"/>
      <c r="T276" s="40"/>
      <c r="U276" s="40"/>
      <c r="V276" s="40"/>
      <c r="W276" s="40"/>
      <c r="X276" s="40"/>
      <c r="Y276" s="40"/>
      <c r="Z276" s="40"/>
      <c r="AA276" s="40"/>
      <c r="AB276" s="24">
        <f t="shared" si="296"/>
        <v>-8</v>
      </c>
      <c r="AC276" s="24" t="str">
        <f t="shared" si="297"/>
        <v/>
      </c>
      <c r="AD276" s="24" t="str">
        <f t="shared" si="298"/>
        <v/>
      </c>
      <c r="AE276" s="24">
        <f t="shared" si="299"/>
        <v>8</v>
      </c>
      <c r="AF276" s="24" t="str">
        <f t="shared" si="300"/>
        <v/>
      </c>
      <c r="AG276" s="31"/>
      <c r="AH276" s="3"/>
    </row>
    <row r="277" spans="1:34" x14ac:dyDescent="0.25">
      <c r="A277" s="15"/>
      <c r="B277" s="16"/>
      <c r="C277" s="34" t="s">
        <v>178</v>
      </c>
      <c r="D277" s="26" t="s">
        <v>179</v>
      </c>
      <c r="E277" s="26"/>
      <c r="F277" s="26"/>
      <c r="G277" s="26"/>
      <c r="H277" s="21"/>
      <c r="I277" s="54"/>
      <c r="J277" s="54"/>
      <c r="K277" s="22"/>
      <c r="L277" s="10"/>
      <c r="M277" s="10"/>
      <c r="N277" s="39"/>
      <c r="O277" s="10">
        <v>3.05</v>
      </c>
      <c r="P277" s="40">
        <v>2</v>
      </c>
      <c r="Q277" s="40"/>
      <c r="R277" s="40">
        <v>3</v>
      </c>
      <c r="S277" s="39"/>
      <c r="T277" s="40"/>
      <c r="U277" s="40"/>
      <c r="V277" s="40"/>
      <c r="W277" s="40"/>
      <c r="X277" s="40"/>
      <c r="Y277" s="40"/>
      <c r="Z277" s="40"/>
      <c r="AA277" s="40"/>
      <c r="AB277" s="24">
        <f t="shared" si="296"/>
        <v>-18.299999999999997</v>
      </c>
      <c r="AC277" s="24" t="str">
        <f t="shared" si="297"/>
        <v/>
      </c>
      <c r="AD277" s="24" t="str">
        <f t="shared" si="298"/>
        <v/>
      </c>
      <c r="AE277" s="24">
        <f t="shared" si="299"/>
        <v>18.299999999999997</v>
      </c>
      <c r="AF277" s="24" t="str">
        <f t="shared" si="300"/>
        <v/>
      </c>
      <c r="AG277" s="31"/>
      <c r="AH277" s="3"/>
    </row>
    <row r="278" spans="1:34" x14ac:dyDescent="0.25">
      <c r="A278" s="15"/>
      <c r="B278" s="16"/>
      <c r="C278" s="34" t="s">
        <v>178</v>
      </c>
      <c r="D278" s="26" t="s">
        <v>179</v>
      </c>
      <c r="E278" s="26"/>
      <c r="F278" s="26"/>
      <c r="G278" s="26"/>
      <c r="H278" s="21"/>
      <c r="I278" s="54"/>
      <c r="J278" s="54"/>
      <c r="K278" s="22"/>
      <c r="L278" s="10"/>
      <c r="M278" s="10"/>
      <c r="N278" s="39"/>
      <c r="O278" s="10">
        <v>2</v>
      </c>
      <c r="P278" s="40">
        <f>2.5-0.3</f>
        <v>2.2000000000000002</v>
      </c>
      <c r="Q278" s="40"/>
      <c r="R278" s="40">
        <v>1</v>
      </c>
      <c r="S278" s="39"/>
      <c r="T278" s="40"/>
      <c r="U278" s="40"/>
      <c r="V278" s="40"/>
      <c r="W278" s="40"/>
      <c r="X278" s="40"/>
      <c r="Y278" s="40"/>
      <c r="Z278" s="40"/>
      <c r="AA278" s="40"/>
      <c r="AB278" s="24">
        <f t="shared" si="296"/>
        <v>-4.4000000000000004</v>
      </c>
      <c r="AC278" s="24" t="str">
        <f t="shared" si="297"/>
        <v/>
      </c>
      <c r="AD278" s="24" t="str">
        <f t="shared" si="298"/>
        <v/>
      </c>
      <c r="AE278" s="24">
        <f t="shared" si="299"/>
        <v>4.4000000000000004</v>
      </c>
      <c r="AF278" s="24" t="str">
        <f t="shared" si="300"/>
        <v/>
      </c>
      <c r="AG278" s="31"/>
      <c r="AH278" s="3"/>
    </row>
    <row r="279" spans="1:34" x14ac:dyDescent="0.25">
      <c r="A279" s="15"/>
      <c r="B279" s="16"/>
      <c r="C279" s="34" t="s">
        <v>178</v>
      </c>
      <c r="D279" s="26" t="s">
        <v>179</v>
      </c>
      <c r="E279" s="26"/>
      <c r="F279" s="26"/>
      <c r="G279" s="26"/>
      <c r="H279" s="21"/>
      <c r="I279" s="54"/>
      <c r="J279" s="54"/>
      <c r="K279" s="22"/>
      <c r="L279" s="10"/>
      <c r="M279" s="10"/>
      <c r="N279" s="39"/>
      <c r="O279" s="10">
        <v>0.77</v>
      </c>
      <c r="P279" s="40">
        <v>2</v>
      </c>
      <c r="Q279" s="40"/>
      <c r="R279" s="40">
        <v>2</v>
      </c>
      <c r="S279" s="39"/>
      <c r="T279" s="40"/>
      <c r="U279" s="40"/>
      <c r="V279" s="40"/>
      <c r="W279" s="40"/>
      <c r="X279" s="40"/>
      <c r="Y279" s="40"/>
      <c r="Z279" s="40"/>
      <c r="AA279" s="40"/>
      <c r="AB279" s="24">
        <f t="shared" si="296"/>
        <v>-3.08</v>
      </c>
      <c r="AC279" s="24" t="str">
        <f t="shared" si="297"/>
        <v/>
      </c>
      <c r="AD279" s="24" t="str">
        <f t="shared" si="298"/>
        <v/>
      </c>
      <c r="AE279" s="24">
        <f t="shared" si="299"/>
        <v>3.08</v>
      </c>
      <c r="AF279" s="24" t="str">
        <f t="shared" si="300"/>
        <v/>
      </c>
      <c r="AG279" s="31"/>
      <c r="AH279" s="3"/>
    </row>
    <row r="280" spans="1:34" x14ac:dyDescent="0.25">
      <c r="A280" s="15"/>
      <c r="B280" s="16"/>
      <c r="C280" s="34" t="s">
        <v>178</v>
      </c>
      <c r="D280" s="26" t="s">
        <v>179</v>
      </c>
      <c r="E280" s="26"/>
      <c r="F280" s="26"/>
      <c r="G280" s="26"/>
      <c r="H280" s="21"/>
      <c r="I280" s="54"/>
      <c r="J280" s="54"/>
      <c r="K280" s="22"/>
      <c r="L280" s="10"/>
      <c r="M280" s="10"/>
      <c r="N280" s="39"/>
      <c r="O280" s="10">
        <v>1.9</v>
      </c>
      <c r="P280" s="40">
        <f>2-0.3</f>
        <v>1.7</v>
      </c>
      <c r="Q280" s="40"/>
      <c r="R280" s="40">
        <v>1</v>
      </c>
      <c r="S280" s="39"/>
      <c r="T280" s="40"/>
      <c r="U280" s="40"/>
      <c r="V280" s="40"/>
      <c r="W280" s="40"/>
      <c r="X280" s="40"/>
      <c r="Y280" s="40"/>
      <c r="Z280" s="40"/>
      <c r="AA280" s="40"/>
      <c r="AB280" s="24">
        <f t="shared" si="296"/>
        <v>-3.23</v>
      </c>
      <c r="AC280" s="24" t="str">
        <f t="shared" si="297"/>
        <v/>
      </c>
      <c r="AD280" s="24" t="str">
        <f t="shared" si="298"/>
        <v/>
      </c>
      <c r="AE280" s="24">
        <f t="shared" si="299"/>
        <v>3.23</v>
      </c>
      <c r="AF280" s="24" t="str">
        <f t="shared" si="300"/>
        <v/>
      </c>
      <c r="AG280" s="31"/>
      <c r="AH280" s="3"/>
    </row>
    <row r="281" spans="1:34" x14ac:dyDescent="0.25">
      <c r="A281" s="15"/>
      <c r="B281" s="16"/>
      <c r="C281" s="34" t="s">
        <v>178</v>
      </c>
      <c r="D281" s="26" t="s">
        <v>179</v>
      </c>
      <c r="E281" s="26"/>
      <c r="F281" s="26"/>
      <c r="G281" s="26"/>
      <c r="H281" s="21"/>
      <c r="I281" s="54"/>
      <c r="J281" s="54"/>
      <c r="K281" s="22"/>
      <c r="L281" s="10"/>
      <c r="M281" s="10"/>
      <c r="N281" s="39"/>
      <c r="O281" s="10">
        <v>3.1</v>
      </c>
      <c r="P281" s="40">
        <v>2</v>
      </c>
      <c r="Q281" s="40"/>
      <c r="R281" s="40">
        <v>1</v>
      </c>
      <c r="S281" s="39"/>
      <c r="T281" s="40"/>
      <c r="U281" s="40"/>
      <c r="V281" s="40"/>
      <c r="W281" s="40"/>
      <c r="X281" s="40"/>
      <c r="Y281" s="40"/>
      <c r="Z281" s="40"/>
      <c r="AA281" s="40"/>
      <c r="AB281" s="24">
        <f t="shared" si="296"/>
        <v>-6.2</v>
      </c>
      <c r="AC281" s="24" t="str">
        <f t="shared" si="297"/>
        <v/>
      </c>
      <c r="AD281" s="24" t="str">
        <f t="shared" si="298"/>
        <v/>
      </c>
      <c r="AE281" s="24">
        <f t="shared" si="299"/>
        <v>6.2</v>
      </c>
      <c r="AF281" s="24" t="str">
        <f t="shared" si="300"/>
        <v/>
      </c>
      <c r="AG281" s="31"/>
      <c r="AH281" s="3"/>
    </row>
    <row r="282" spans="1:34" x14ac:dyDescent="0.25">
      <c r="A282" s="15"/>
      <c r="B282" s="16"/>
      <c r="C282" s="34" t="s">
        <v>178</v>
      </c>
      <c r="D282" s="26" t="s">
        <v>179</v>
      </c>
      <c r="E282" s="26"/>
      <c r="F282" s="26"/>
      <c r="G282" s="26"/>
      <c r="H282" s="21"/>
      <c r="I282" s="54"/>
      <c r="J282" s="54"/>
      <c r="K282" s="22"/>
      <c r="L282" s="10"/>
      <c r="M282" s="10"/>
      <c r="N282" s="39"/>
      <c r="O282" s="10">
        <v>1.9</v>
      </c>
      <c r="P282" s="40">
        <v>2</v>
      </c>
      <c r="Q282" s="40"/>
      <c r="R282" s="40">
        <v>1</v>
      </c>
      <c r="S282" s="39"/>
      <c r="T282" s="40"/>
      <c r="U282" s="40"/>
      <c r="V282" s="40"/>
      <c r="W282" s="40"/>
      <c r="X282" s="40"/>
      <c r="Y282" s="40"/>
      <c r="Z282" s="40"/>
      <c r="AA282" s="40"/>
      <c r="AB282" s="24">
        <f t="shared" si="296"/>
        <v>-3.8</v>
      </c>
      <c r="AC282" s="24" t="str">
        <f t="shared" si="297"/>
        <v/>
      </c>
      <c r="AD282" s="24" t="str">
        <f t="shared" si="298"/>
        <v/>
      </c>
      <c r="AE282" s="24">
        <f t="shared" si="299"/>
        <v>3.8</v>
      </c>
      <c r="AF282" s="24" t="str">
        <f t="shared" si="300"/>
        <v/>
      </c>
      <c r="AG282" s="31"/>
      <c r="AH282" s="3"/>
    </row>
    <row r="283" spans="1:34" x14ac:dyDescent="0.25">
      <c r="A283" s="15"/>
      <c r="B283" s="16"/>
      <c r="C283" s="34" t="s">
        <v>178</v>
      </c>
      <c r="D283" s="26"/>
      <c r="E283" s="26"/>
      <c r="F283" s="26"/>
      <c r="G283" s="26" t="s">
        <v>274</v>
      </c>
      <c r="H283" s="21" t="s">
        <v>273</v>
      </c>
      <c r="I283" s="54" t="s">
        <v>279</v>
      </c>
      <c r="J283" s="54" t="s">
        <v>117</v>
      </c>
      <c r="K283" s="22">
        <f>6.1*2+9.65*2</f>
        <v>31.5</v>
      </c>
      <c r="L283" s="10">
        <f>10.5+0.02-1.7</f>
        <v>8.82</v>
      </c>
      <c r="M283" s="10"/>
      <c r="N283" s="39"/>
      <c r="O283" s="10"/>
      <c r="P283" s="40"/>
      <c r="Q283" s="40"/>
      <c r="R283" s="40"/>
      <c r="S283" s="39"/>
      <c r="T283" s="40"/>
      <c r="U283" s="40"/>
      <c r="V283" s="40"/>
      <c r="W283" s="40"/>
      <c r="X283" s="40"/>
      <c r="Y283" s="40"/>
      <c r="Z283" s="40"/>
      <c r="AA283" s="40"/>
      <c r="AB283" s="24">
        <f t="shared" ref="AB283" si="301">IF(K283*L283+M283-O283*P283*R283-Q283*R283+T283*U283*W283+V283*W283&lt;&gt;0,K283*L283+M283-O283*P283*R283-Q283*R283+T283*U283*W283+V283*W283,"")</f>
        <v>277.83</v>
      </c>
      <c r="AC283" s="24" t="str">
        <f t="shared" ref="AC283" si="302">IF(W283*SUM(Y283:AA283)&lt;&gt;0,W283*SUM(Y283:AA283),"")</f>
        <v/>
      </c>
      <c r="AD283" s="24" t="str">
        <f t="shared" ref="AD283" si="303">IF(W283*X283*SUM(Y283:AA283)&lt;&gt;0,W283*X283*SUM(Y283:AA283),"")</f>
        <v/>
      </c>
      <c r="AE283" s="24" t="str">
        <f t="shared" ref="AE283" si="304">IF(O283*P283*R283+Q283*R283&lt;&gt;0,O283*P283*R283+Q283*R283,"")</f>
        <v/>
      </c>
      <c r="AF283" s="24" t="str">
        <f t="shared" ref="AF283" si="305">IF(W283*X283*(Z283+AA283)&lt;&gt;0,W283*X283*(Z283+AA283),"")</f>
        <v/>
      </c>
      <c r="AG283" s="31"/>
      <c r="AH283" s="3"/>
    </row>
    <row r="284" spans="1:34" x14ac:dyDescent="0.25">
      <c r="A284" s="15"/>
      <c r="B284" s="16"/>
      <c r="C284" s="34"/>
      <c r="D284" s="23"/>
      <c r="E284" s="23"/>
      <c r="F284" s="23"/>
      <c r="G284" s="23"/>
      <c r="H284" s="17"/>
      <c r="I284" s="55"/>
      <c r="J284" s="55"/>
      <c r="K284" s="18"/>
      <c r="L284" s="10"/>
      <c r="M284" s="10"/>
      <c r="N284" s="39"/>
      <c r="O284" s="10"/>
      <c r="P284" s="40"/>
      <c r="Q284" s="40"/>
      <c r="R284" s="40"/>
      <c r="S284" s="39"/>
      <c r="T284" s="40"/>
      <c r="U284" s="40"/>
      <c r="V284" s="40"/>
      <c r="W284" s="40"/>
      <c r="X284" s="40"/>
      <c r="Y284" s="40"/>
      <c r="Z284" s="40"/>
      <c r="AA284" s="40"/>
      <c r="AB284" s="24" t="str">
        <f t="shared" si="52"/>
        <v/>
      </c>
      <c r="AC284" s="24" t="str">
        <f t="shared" si="53"/>
        <v/>
      </c>
      <c r="AD284" s="24" t="str">
        <f t="shared" si="54"/>
        <v/>
      </c>
      <c r="AE284" s="24" t="str">
        <f t="shared" si="55"/>
        <v/>
      </c>
      <c r="AF284" s="24" t="str">
        <f t="shared" si="56"/>
        <v/>
      </c>
      <c r="AG284" s="31"/>
      <c r="AH284" s="3"/>
    </row>
    <row r="285" spans="1:34" x14ac:dyDescent="0.25">
      <c r="A285" s="6"/>
      <c r="B285" s="6"/>
      <c r="C285" s="35"/>
      <c r="D285" s="12"/>
      <c r="E285" s="12"/>
      <c r="F285" s="12"/>
      <c r="G285" s="12"/>
      <c r="H285" s="7" t="s">
        <v>2</v>
      </c>
      <c r="I285" s="7"/>
      <c r="J285" s="7"/>
      <c r="K285" s="42">
        <f>SUBTOTAL(9,K10:K284)</f>
        <v>4761.0699999999961</v>
      </c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43">
        <f>SUBTOTAL(9,W10:W284)</f>
        <v>12</v>
      </c>
      <c r="X285" s="8"/>
      <c r="Y285" s="8"/>
      <c r="Z285" s="8"/>
      <c r="AA285" s="8"/>
      <c r="AB285" s="8">
        <f>SUBTOTAL(9,AB10:AB284)</f>
        <v>6895.1218624999992</v>
      </c>
      <c r="AC285" s="8">
        <f>SUBTOTAL(9,AC10:AC284)</f>
        <v>252.71999999999997</v>
      </c>
      <c r="AD285" s="8">
        <f>SUBTOTAL(9,AD10:AD284)</f>
        <v>0</v>
      </c>
      <c r="AE285" s="8">
        <f>SUBTOTAL(9,AE10:AE284)</f>
        <v>586.68499999999995</v>
      </c>
      <c r="AF285" s="8">
        <f>SUBTOTAL(9,AF10:AF284)</f>
        <v>0</v>
      </c>
      <c r="AG285" s="32"/>
      <c r="AH285" s="8">
        <f>SUBTOTAL(9,AH10:AH284)</f>
        <v>0</v>
      </c>
    </row>
    <row r="286" spans="1:34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AG286" s="33"/>
    </row>
    <row r="287" spans="1:34" x14ac:dyDescent="0.25">
      <c r="B287" t="s">
        <v>39</v>
      </c>
      <c r="S287" s="25"/>
      <c r="AG287" s="33"/>
    </row>
    <row r="288" spans="1:34" x14ac:dyDescent="0.25">
      <c r="B288" s="48" t="s">
        <v>40</v>
      </c>
      <c r="S288" s="25"/>
      <c r="AG288" s="33"/>
    </row>
    <row r="289" spans="2:33" x14ac:dyDescent="0.25">
      <c r="B289" s="48"/>
      <c r="AG289" s="33"/>
    </row>
    <row r="290" spans="2:33" x14ac:dyDescent="0.25">
      <c r="AG290" s="33"/>
    </row>
    <row r="291" spans="2:33" x14ac:dyDescent="0.25">
      <c r="AG291" s="33"/>
    </row>
    <row r="292" spans="2:33" x14ac:dyDescent="0.25">
      <c r="AG292" s="33"/>
    </row>
    <row r="293" spans="2:33" x14ac:dyDescent="0.25">
      <c r="AG293" s="33"/>
    </row>
    <row r="294" spans="2:33" x14ac:dyDescent="0.25">
      <c r="AG294" s="33"/>
    </row>
    <row r="295" spans="2:33" x14ac:dyDescent="0.25">
      <c r="AG295" s="33"/>
    </row>
    <row r="296" spans="2:33" x14ac:dyDescent="0.25">
      <c r="AG296" s="33"/>
    </row>
    <row r="297" spans="2:33" x14ac:dyDescent="0.25">
      <c r="AG297" s="33"/>
    </row>
    <row r="298" spans="2:33" x14ac:dyDescent="0.25">
      <c r="AG298" s="33"/>
    </row>
    <row r="299" spans="2:33" x14ac:dyDescent="0.25">
      <c r="AG299" s="33"/>
    </row>
    <row r="300" spans="2:33" x14ac:dyDescent="0.25">
      <c r="AG300" s="33"/>
    </row>
    <row r="301" spans="2:33" x14ac:dyDescent="0.25">
      <c r="AG301" s="33"/>
    </row>
    <row r="302" spans="2:33" x14ac:dyDescent="0.25">
      <c r="AG302" s="33"/>
    </row>
    <row r="303" spans="2:33" x14ac:dyDescent="0.25">
      <c r="AG303" s="33"/>
    </row>
    <row r="304" spans="2:33" x14ac:dyDescent="0.25">
      <c r="AG304" s="33"/>
    </row>
    <row r="305" spans="33:33" x14ac:dyDescent="0.25">
      <c r="AG305" s="33"/>
    </row>
    <row r="306" spans="33:33" x14ac:dyDescent="0.25">
      <c r="AG306" s="33"/>
    </row>
    <row r="307" spans="33:33" x14ac:dyDescent="0.25">
      <c r="AG307" s="33"/>
    </row>
    <row r="308" spans="33:33" x14ac:dyDescent="0.25">
      <c r="AG308" s="33"/>
    </row>
    <row r="309" spans="33:33" x14ac:dyDescent="0.25">
      <c r="AG309" s="33"/>
    </row>
    <row r="310" spans="33:33" x14ac:dyDescent="0.25">
      <c r="AG310" s="33"/>
    </row>
    <row r="311" spans="33:33" x14ac:dyDescent="0.25">
      <c r="AG311" s="33"/>
    </row>
    <row r="312" spans="33:33" x14ac:dyDescent="0.25">
      <c r="AG312" s="33"/>
    </row>
    <row r="313" spans="33:33" x14ac:dyDescent="0.25">
      <c r="AG313" s="33"/>
    </row>
    <row r="314" spans="33:33" x14ac:dyDescent="0.25">
      <c r="AG314" s="33"/>
    </row>
    <row r="315" spans="33:33" x14ac:dyDescent="0.25">
      <c r="AG315" s="33"/>
    </row>
    <row r="316" spans="33:33" x14ac:dyDescent="0.25">
      <c r="AG316" s="33"/>
    </row>
    <row r="317" spans="33:33" x14ac:dyDescent="0.25">
      <c r="AG317" s="33"/>
    </row>
    <row r="318" spans="33:33" x14ac:dyDescent="0.25">
      <c r="AG318" s="33"/>
    </row>
    <row r="319" spans="33:33" x14ac:dyDescent="0.25">
      <c r="AG319" s="33"/>
    </row>
    <row r="320" spans="33:33" x14ac:dyDescent="0.25">
      <c r="AG320" s="33"/>
    </row>
    <row r="321" spans="33:33" x14ac:dyDescent="0.25">
      <c r="AG321" s="33"/>
    </row>
    <row r="322" spans="33:33" x14ac:dyDescent="0.25">
      <c r="AG322" s="33"/>
    </row>
    <row r="323" spans="33:33" x14ac:dyDescent="0.25">
      <c r="AG323" s="33"/>
    </row>
    <row r="324" spans="33:33" x14ac:dyDescent="0.25">
      <c r="AG324" s="33"/>
    </row>
    <row r="325" spans="33:33" x14ac:dyDescent="0.25">
      <c r="AG325" s="33"/>
    </row>
    <row r="326" spans="33:33" x14ac:dyDescent="0.25">
      <c r="AG326" s="33"/>
    </row>
    <row r="327" spans="33:33" x14ac:dyDescent="0.25">
      <c r="AG327" s="33"/>
    </row>
    <row r="328" spans="33:33" x14ac:dyDescent="0.25">
      <c r="AG328" s="33"/>
    </row>
    <row r="329" spans="33:33" x14ac:dyDescent="0.25">
      <c r="AG329" s="33"/>
    </row>
    <row r="330" spans="33:33" x14ac:dyDescent="0.25">
      <c r="AG330" s="33"/>
    </row>
    <row r="331" spans="33:33" x14ac:dyDescent="0.25">
      <c r="AG331" s="33"/>
    </row>
    <row r="332" spans="33:33" x14ac:dyDescent="0.25">
      <c r="AG332" s="33"/>
    </row>
    <row r="333" spans="33:33" x14ac:dyDescent="0.25">
      <c r="AG333" s="33"/>
    </row>
    <row r="334" spans="33:33" x14ac:dyDescent="0.25">
      <c r="AG334" s="33"/>
    </row>
    <row r="335" spans="33:33" x14ac:dyDescent="0.25">
      <c r="AG335" s="33"/>
    </row>
    <row r="336" spans="33:33" x14ac:dyDescent="0.25">
      <c r="AG336" s="33"/>
    </row>
    <row r="337" spans="33:33" x14ac:dyDescent="0.25">
      <c r="AG337" s="33"/>
    </row>
    <row r="338" spans="33:33" x14ac:dyDescent="0.25">
      <c r="AG338" s="33"/>
    </row>
    <row r="339" spans="33:33" x14ac:dyDescent="0.25">
      <c r="AG339" s="33"/>
    </row>
    <row r="340" spans="33:33" x14ac:dyDescent="0.25">
      <c r="AG340" s="33"/>
    </row>
    <row r="341" spans="33:33" x14ac:dyDescent="0.25">
      <c r="AG341" s="33"/>
    </row>
    <row r="342" spans="33:33" x14ac:dyDescent="0.25">
      <c r="AG342" s="33"/>
    </row>
    <row r="343" spans="33:33" x14ac:dyDescent="0.25">
      <c r="AG343" s="33"/>
    </row>
    <row r="344" spans="33:33" x14ac:dyDescent="0.25">
      <c r="AG344" s="33"/>
    </row>
    <row r="345" spans="33:33" x14ac:dyDescent="0.25">
      <c r="AG345" s="33"/>
    </row>
    <row r="346" spans="33:33" x14ac:dyDescent="0.25">
      <c r="AG346" s="33"/>
    </row>
    <row r="347" spans="33:33" x14ac:dyDescent="0.25">
      <c r="AG347" s="33"/>
    </row>
    <row r="348" spans="33:33" x14ac:dyDescent="0.25">
      <c r="AG348" s="33"/>
    </row>
    <row r="349" spans="33:33" x14ac:dyDescent="0.25">
      <c r="AG349" s="33"/>
    </row>
    <row r="350" spans="33:33" x14ac:dyDescent="0.25">
      <c r="AG350" s="33"/>
    </row>
    <row r="351" spans="33:33" x14ac:dyDescent="0.25">
      <c r="AG351" s="33"/>
    </row>
    <row r="352" spans="33:33" x14ac:dyDescent="0.25">
      <c r="AG352" s="33"/>
    </row>
    <row r="353" spans="33:33" x14ac:dyDescent="0.25">
      <c r="AG353" s="33"/>
    </row>
    <row r="354" spans="33:33" x14ac:dyDescent="0.25">
      <c r="AG354" s="33"/>
    </row>
    <row r="355" spans="33:33" x14ac:dyDescent="0.25">
      <c r="AG355" s="33"/>
    </row>
    <row r="356" spans="33:33" x14ac:dyDescent="0.25">
      <c r="AG356" s="33"/>
    </row>
    <row r="357" spans="33:33" x14ac:dyDescent="0.25">
      <c r="AG357" s="33"/>
    </row>
    <row r="358" spans="33:33" x14ac:dyDescent="0.25">
      <c r="AG358" s="33"/>
    </row>
    <row r="359" spans="33:33" x14ac:dyDescent="0.25">
      <c r="AG359" s="33"/>
    </row>
    <row r="360" spans="33:33" x14ac:dyDescent="0.25">
      <c r="AG360" s="33"/>
    </row>
    <row r="361" spans="33:33" x14ac:dyDescent="0.25">
      <c r="AG361" s="33"/>
    </row>
    <row r="362" spans="33:33" x14ac:dyDescent="0.25">
      <c r="AG362" s="33"/>
    </row>
    <row r="363" spans="33:33" x14ac:dyDescent="0.25">
      <c r="AG363" s="33"/>
    </row>
    <row r="364" spans="33:33" x14ac:dyDescent="0.25">
      <c r="AG364" s="33"/>
    </row>
    <row r="365" spans="33:33" x14ac:dyDescent="0.25">
      <c r="AG365" s="33"/>
    </row>
    <row r="366" spans="33:33" x14ac:dyDescent="0.25">
      <c r="AG366" s="33"/>
    </row>
    <row r="367" spans="33:33" x14ac:dyDescent="0.25">
      <c r="AG367" s="33"/>
    </row>
    <row r="368" spans="33:33" x14ac:dyDescent="0.25">
      <c r="AG368" s="33"/>
    </row>
    <row r="369" spans="33:33" x14ac:dyDescent="0.25">
      <c r="AG369" s="33"/>
    </row>
    <row r="370" spans="33:33" x14ac:dyDescent="0.25">
      <c r="AG370" s="33"/>
    </row>
    <row r="371" spans="33:33" x14ac:dyDescent="0.25">
      <c r="AG371" s="33"/>
    </row>
    <row r="372" spans="33:33" x14ac:dyDescent="0.25">
      <c r="AG372" s="33"/>
    </row>
    <row r="373" spans="33:33" x14ac:dyDescent="0.25">
      <c r="AG373" s="33"/>
    </row>
    <row r="374" spans="33:33" x14ac:dyDescent="0.25">
      <c r="AG374" s="33"/>
    </row>
    <row r="375" spans="33:33" x14ac:dyDescent="0.25">
      <c r="AG375" s="33"/>
    </row>
    <row r="376" spans="33:33" x14ac:dyDescent="0.25">
      <c r="AG376" s="33"/>
    </row>
    <row r="377" spans="33:33" x14ac:dyDescent="0.25">
      <c r="AG377" s="33"/>
    </row>
    <row r="378" spans="33:33" x14ac:dyDescent="0.25">
      <c r="AG378" s="33"/>
    </row>
    <row r="379" spans="33:33" x14ac:dyDescent="0.25">
      <c r="AG379" s="33"/>
    </row>
    <row r="380" spans="33:33" x14ac:dyDescent="0.25">
      <c r="AG380" s="29"/>
    </row>
    <row r="381" spans="33:33" x14ac:dyDescent="0.25">
      <c r="AG381" s="29"/>
    </row>
    <row r="382" spans="33:33" x14ac:dyDescent="0.25">
      <c r="AG382" s="29"/>
    </row>
    <row r="383" spans="33:33" x14ac:dyDescent="0.25">
      <c r="AG383" s="29"/>
    </row>
    <row r="384" spans="33:33" x14ac:dyDescent="0.25">
      <c r="AG384" s="29"/>
    </row>
    <row r="385" spans="33:33" x14ac:dyDescent="0.25">
      <c r="AG385" s="29"/>
    </row>
    <row r="386" spans="33:33" x14ac:dyDescent="0.25">
      <c r="AG386" s="29"/>
    </row>
    <row r="387" spans="33:33" x14ac:dyDescent="0.25">
      <c r="AG387" s="29"/>
    </row>
    <row r="388" spans="33:33" x14ac:dyDescent="0.25">
      <c r="AG388" s="29"/>
    </row>
    <row r="389" spans="33:33" x14ac:dyDescent="0.25">
      <c r="AG389" s="29"/>
    </row>
    <row r="390" spans="33:33" x14ac:dyDescent="0.25">
      <c r="AG390" s="29"/>
    </row>
    <row r="391" spans="33:33" x14ac:dyDescent="0.25">
      <c r="AG391" s="29"/>
    </row>
    <row r="392" spans="33:33" x14ac:dyDescent="0.25">
      <c r="AG392" s="29"/>
    </row>
    <row r="393" spans="33:33" x14ac:dyDescent="0.25">
      <c r="AG393" s="29"/>
    </row>
    <row r="394" spans="33:33" x14ac:dyDescent="0.25">
      <c r="AG394" s="29"/>
    </row>
    <row r="395" spans="33:33" x14ac:dyDescent="0.25">
      <c r="AG395" s="29"/>
    </row>
    <row r="396" spans="33:33" x14ac:dyDescent="0.25">
      <c r="AG396" s="29"/>
    </row>
    <row r="397" spans="33:33" x14ac:dyDescent="0.25">
      <c r="AG397" s="29"/>
    </row>
    <row r="398" spans="33:33" x14ac:dyDescent="0.25">
      <c r="AG398" s="29"/>
    </row>
    <row r="399" spans="33:33" x14ac:dyDescent="0.25">
      <c r="AG399" s="29"/>
    </row>
    <row r="400" spans="33:33" x14ac:dyDescent="0.25">
      <c r="AG400" s="29"/>
    </row>
    <row r="401" spans="33:33" x14ac:dyDescent="0.25">
      <c r="AG401" s="29"/>
    </row>
    <row r="402" spans="33:33" x14ac:dyDescent="0.25">
      <c r="AG402" s="29"/>
    </row>
    <row r="403" spans="33:33" x14ac:dyDescent="0.25">
      <c r="AG403" s="29"/>
    </row>
    <row r="404" spans="33:33" x14ac:dyDescent="0.25">
      <c r="AG404" s="29"/>
    </row>
    <row r="405" spans="33:33" x14ac:dyDescent="0.25">
      <c r="AG405" s="29"/>
    </row>
    <row r="406" spans="33:33" x14ac:dyDescent="0.25">
      <c r="AG406" s="29"/>
    </row>
    <row r="407" spans="33:33" x14ac:dyDescent="0.25">
      <c r="AG407" s="29"/>
    </row>
    <row r="408" spans="33:33" x14ac:dyDescent="0.25">
      <c r="AG408" s="29"/>
    </row>
    <row r="409" spans="33:33" x14ac:dyDescent="0.25">
      <c r="AG409" s="29"/>
    </row>
    <row r="410" spans="33:33" x14ac:dyDescent="0.25">
      <c r="AG410" s="29"/>
    </row>
    <row r="411" spans="33:33" x14ac:dyDescent="0.25">
      <c r="AG411" s="29"/>
    </row>
    <row r="412" spans="33:33" x14ac:dyDescent="0.25">
      <c r="AG412" s="29"/>
    </row>
    <row r="413" spans="33:33" x14ac:dyDescent="0.25">
      <c r="AG413" s="29"/>
    </row>
    <row r="414" spans="33:33" x14ac:dyDescent="0.25">
      <c r="AG414" s="29"/>
    </row>
    <row r="415" spans="33:33" x14ac:dyDescent="0.25">
      <c r="AG415" s="29"/>
    </row>
    <row r="416" spans="33:33" x14ac:dyDescent="0.25">
      <c r="AG416" s="29"/>
    </row>
    <row r="417" spans="33:33" x14ac:dyDescent="0.25">
      <c r="AG417" s="30"/>
    </row>
    <row r="418" spans="33:33" x14ac:dyDescent="0.25">
      <c r="AG418" s="30"/>
    </row>
    <row r="419" spans="33:33" x14ac:dyDescent="0.25">
      <c r="AG419" s="30"/>
    </row>
    <row r="420" spans="33:33" x14ac:dyDescent="0.25">
      <c r="AG420" s="30"/>
    </row>
    <row r="421" spans="33:33" x14ac:dyDescent="0.25">
      <c r="AG421" s="30"/>
    </row>
    <row r="422" spans="33:33" x14ac:dyDescent="0.25">
      <c r="AG422" s="30"/>
    </row>
    <row r="423" spans="33:33" x14ac:dyDescent="0.25">
      <c r="AG423" s="30"/>
    </row>
    <row r="424" spans="33:33" x14ac:dyDescent="0.25">
      <c r="AG424" s="30"/>
    </row>
    <row r="425" spans="33:33" x14ac:dyDescent="0.25">
      <c r="AG425" s="30"/>
    </row>
    <row r="426" spans="33:33" x14ac:dyDescent="0.25">
      <c r="AG426" s="30"/>
    </row>
    <row r="427" spans="33:33" x14ac:dyDescent="0.25">
      <c r="AG427" s="30"/>
    </row>
    <row r="428" spans="33:33" x14ac:dyDescent="0.25">
      <c r="AG428" s="30"/>
    </row>
    <row r="429" spans="33:33" x14ac:dyDescent="0.25">
      <c r="AG429" s="30"/>
    </row>
    <row r="430" spans="33:33" x14ac:dyDescent="0.25">
      <c r="AG430" s="30"/>
    </row>
    <row r="431" spans="33:33" x14ac:dyDescent="0.25">
      <c r="AG431" s="30"/>
    </row>
    <row r="432" spans="33:33" x14ac:dyDescent="0.25">
      <c r="AG432" s="30"/>
    </row>
    <row r="433" spans="33:33" x14ac:dyDescent="0.25">
      <c r="AG433" s="30"/>
    </row>
    <row r="434" spans="33:33" x14ac:dyDescent="0.25">
      <c r="AG434" s="30"/>
    </row>
    <row r="435" spans="33:33" x14ac:dyDescent="0.25">
      <c r="AG435" s="30"/>
    </row>
    <row r="436" spans="33:33" x14ac:dyDescent="0.25">
      <c r="AG436" s="30"/>
    </row>
    <row r="437" spans="33:33" x14ac:dyDescent="0.25">
      <c r="AG437" s="30"/>
    </row>
    <row r="438" spans="33:33" x14ac:dyDescent="0.25">
      <c r="AG438" s="30"/>
    </row>
    <row r="439" spans="33:33" x14ac:dyDescent="0.25">
      <c r="AG439" s="30"/>
    </row>
    <row r="440" spans="33:33" x14ac:dyDescent="0.25">
      <c r="AG440" s="30"/>
    </row>
    <row r="441" spans="33:33" x14ac:dyDescent="0.25">
      <c r="AG441" s="30"/>
    </row>
    <row r="442" spans="33:33" x14ac:dyDescent="0.25">
      <c r="AG442" s="30"/>
    </row>
    <row r="443" spans="33:33" x14ac:dyDescent="0.25">
      <c r="AG443" s="30"/>
    </row>
    <row r="444" spans="33:33" x14ac:dyDescent="0.25">
      <c r="AG444" s="30"/>
    </row>
    <row r="445" spans="33:33" x14ac:dyDescent="0.25">
      <c r="AG445" s="30"/>
    </row>
    <row r="446" spans="33:33" x14ac:dyDescent="0.25">
      <c r="AG446" s="30"/>
    </row>
    <row r="447" spans="33:33" x14ac:dyDescent="0.25">
      <c r="AG447" s="30"/>
    </row>
    <row r="448" spans="33:33" x14ac:dyDescent="0.25">
      <c r="AG448" s="30"/>
    </row>
    <row r="449" spans="33:33" x14ac:dyDescent="0.25">
      <c r="AG449" s="30"/>
    </row>
    <row r="450" spans="33:33" x14ac:dyDescent="0.25">
      <c r="AG450" s="30"/>
    </row>
    <row r="451" spans="33:33" x14ac:dyDescent="0.25">
      <c r="AG451" s="30"/>
    </row>
    <row r="452" spans="33:33" x14ac:dyDescent="0.25">
      <c r="AG452" s="30"/>
    </row>
    <row r="453" spans="33:33" x14ac:dyDescent="0.25">
      <c r="AG453" s="30"/>
    </row>
    <row r="454" spans="33:33" x14ac:dyDescent="0.25">
      <c r="AG454" s="30"/>
    </row>
    <row r="455" spans="33:33" x14ac:dyDescent="0.25">
      <c r="AG455" s="30"/>
    </row>
    <row r="456" spans="33:33" x14ac:dyDescent="0.25">
      <c r="AG456" s="30"/>
    </row>
    <row r="457" spans="33:33" x14ac:dyDescent="0.25">
      <c r="AG457" s="30"/>
    </row>
    <row r="458" spans="33:33" x14ac:dyDescent="0.25">
      <c r="AG458" s="30"/>
    </row>
    <row r="459" spans="33:33" x14ac:dyDescent="0.25">
      <c r="AG459" s="30"/>
    </row>
    <row r="460" spans="33:33" x14ac:dyDescent="0.25">
      <c r="AG460" s="30"/>
    </row>
    <row r="461" spans="33:33" x14ac:dyDescent="0.25">
      <c r="AG461" s="30"/>
    </row>
    <row r="462" spans="33:33" x14ac:dyDescent="0.25">
      <c r="AG462" s="30"/>
    </row>
    <row r="463" spans="33:33" x14ac:dyDescent="0.25">
      <c r="AG463" s="30"/>
    </row>
    <row r="464" spans="33:33" x14ac:dyDescent="0.25">
      <c r="AG464" s="30"/>
    </row>
    <row r="465" spans="33:33" x14ac:dyDescent="0.25">
      <c r="AG465" s="30"/>
    </row>
    <row r="466" spans="33:33" x14ac:dyDescent="0.25">
      <c r="AG466" s="30"/>
    </row>
    <row r="467" spans="33:33" x14ac:dyDescent="0.25">
      <c r="AG467" s="30"/>
    </row>
    <row r="468" spans="33:33" x14ac:dyDescent="0.25">
      <c r="AG468" s="30"/>
    </row>
    <row r="469" spans="33:33" x14ac:dyDescent="0.25">
      <c r="AG469" s="30"/>
    </row>
    <row r="470" spans="33:33" x14ac:dyDescent="0.25">
      <c r="AG470" s="30"/>
    </row>
    <row r="471" spans="33:33" x14ac:dyDescent="0.25">
      <c r="AG471" s="30"/>
    </row>
    <row r="472" spans="33:33" x14ac:dyDescent="0.25">
      <c r="AG472" s="30"/>
    </row>
    <row r="473" spans="33:33" x14ac:dyDescent="0.25">
      <c r="AG473" s="30"/>
    </row>
    <row r="474" spans="33:33" x14ac:dyDescent="0.25">
      <c r="AG474" s="30"/>
    </row>
    <row r="475" spans="33:33" x14ac:dyDescent="0.25">
      <c r="AG475" s="30"/>
    </row>
    <row r="476" spans="33:33" x14ac:dyDescent="0.25">
      <c r="AG476" s="30"/>
    </row>
    <row r="477" spans="33:33" x14ac:dyDescent="0.25">
      <c r="AG477" s="30"/>
    </row>
    <row r="478" spans="33:33" x14ac:dyDescent="0.25">
      <c r="AG478" s="30"/>
    </row>
    <row r="479" spans="33:33" x14ac:dyDescent="0.25">
      <c r="AG479" s="30"/>
    </row>
    <row r="480" spans="33:33" x14ac:dyDescent="0.25">
      <c r="AG480" s="30"/>
    </row>
    <row r="481" spans="33:33" x14ac:dyDescent="0.25">
      <c r="AG481" s="30"/>
    </row>
  </sheetData>
  <autoFilter ref="A2:AG284" xr:uid="{1A776B73-8D25-4BC0-BB28-25A8CBC7C3C5}"/>
  <mergeCells count="42">
    <mergeCell ref="A4:C4"/>
    <mergeCell ref="A5:A9"/>
    <mergeCell ref="B5:B9"/>
    <mergeCell ref="C5:C9"/>
    <mergeCell ref="S4:W4"/>
    <mergeCell ref="W5:W8"/>
    <mergeCell ref="D4:G4"/>
    <mergeCell ref="G5:G9"/>
    <mergeCell ref="Q5:Q8"/>
    <mergeCell ref="V5:V8"/>
    <mergeCell ref="D5:D9"/>
    <mergeCell ref="I4:I8"/>
    <mergeCell ref="J4:J8"/>
    <mergeCell ref="K4:M4"/>
    <mergeCell ref="M5:M8"/>
    <mergeCell ref="U5:U8"/>
    <mergeCell ref="AG3:AG7"/>
    <mergeCell ref="A3:H3"/>
    <mergeCell ref="H4:H9"/>
    <mergeCell ref="AB4:AB8"/>
    <mergeCell ref="K5:K8"/>
    <mergeCell ref="L5:L8"/>
    <mergeCell ref="N5:N8"/>
    <mergeCell ref="E5:E9"/>
    <mergeCell ref="P5:P8"/>
    <mergeCell ref="R5:R8"/>
    <mergeCell ref="S5:S8"/>
    <mergeCell ref="K3:W3"/>
    <mergeCell ref="N4:R4"/>
    <mergeCell ref="O5:O8"/>
    <mergeCell ref="T5:T8"/>
    <mergeCell ref="F5:F9"/>
    <mergeCell ref="AB3:AF3"/>
    <mergeCell ref="AF4:AF8"/>
    <mergeCell ref="X3:AA4"/>
    <mergeCell ref="AE4:AE8"/>
    <mergeCell ref="X5:X8"/>
    <mergeCell ref="AD4:AD8"/>
    <mergeCell ref="AC4:AC8"/>
    <mergeCell ref="Y5:Y8"/>
    <mergeCell ref="Z5:Z8"/>
    <mergeCell ref="AA5:AA8"/>
  </mergeCells>
  <pageMargins left="0.43307086614173229" right="0.23622047244094491" top="0.74803149606299213" bottom="0.74803149606299213" header="0.31496062992125984" footer="0.31496062992125984"/>
  <pageSetup paperSize="9" scale="59" fitToHeight="0" orientation="landscape" r:id="rId1"/>
  <headerFooter>
    <oddHeader>&amp;A</oddHead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ADFC3-731B-4E1A-8B48-09A655E6C36C}">
  <sheetPr>
    <pageSetUpPr fitToPage="1"/>
  </sheetPr>
  <dimension ref="A1:V75"/>
  <sheetViews>
    <sheetView tabSelected="1" topLeftCell="A16" zoomScale="115" zoomScaleNormal="115" workbookViewId="0">
      <selection activeCell="D33" sqref="D33"/>
    </sheetView>
  </sheetViews>
  <sheetFormatPr defaultRowHeight="15" x14ac:dyDescent="0.25"/>
  <cols>
    <col min="1" max="1" width="3.140625" customWidth="1"/>
    <col min="2" max="2" width="7.42578125" customWidth="1"/>
    <col min="3" max="3" width="4.85546875" customWidth="1"/>
    <col min="4" max="4" width="56.85546875" customWidth="1"/>
    <col min="5" max="5" width="9.7109375" customWidth="1"/>
    <col min="6" max="6" width="5.7109375" customWidth="1"/>
    <col min="7" max="7" width="11.28515625" customWidth="1"/>
    <col min="10" max="21" width="6.7109375" customWidth="1"/>
    <col min="22" max="22" width="0.7109375" customWidth="1"/>
  </cols>
  <sheetData>
    <row r="1" spans="1:7" x14ac:dyDescent="0.25">
      <c r="A1" s="2"/>
      <c r="B1" s="2"/>
    </row>
    <row r="2" spans="1:7" x14ac:dyDescent="0.25">
      <c r="A2" s="2"/>
      <c r="B2" s="27" t="s">
        <v>35</v>
      </c>
    </row>
    <row r="3" spans="1:7" ht="15" customHeight="1" x14ac:dyDescent="0.25">
      <c r="A3" s="2"/>
      <c r="B3" s="118" t="s">
        <v>9</v>
      </c>
      <c r="C3" s="122" t="s">
        <v>10</v>
      </c>
      <c r="D3" s="56"/>
      <c r="E3" s="50"/>
      <c r="F3" s="118" t="s">
        <v>37</v>
      </c>
      <c r="G3" s="118" t="s">
        <v>33</v>
      </c>
    </row>
    <row r="4" spans="1:7" x14ac:dyDescent="0.25">
      <c r="A4" s="2"/>
      <c r="B4" s="119"/>
      <c r="C4" s="125"/>
      <c r="D4" s="57"/>
      <c r="E4" s="51"/>
      <c r="F4" s="119"/>
      <c r="G4" s="119"/>
    </row>
    <row r="5" spans="1:7" x14ac:dyDescent="0.25">
      <c r="A5" s="2"/>
      <c r="B5" s="120"/>
      <c r="C5" s="128"/>
      <c r="D5" s="58"/>
      <c r="E5" s="52"/>
      <c r="F5" s="120"/>
      <c r="G5" s="120"/>
    </row>
    <row r="6" spans="1:7" x14ac:dyDescent="0.25">
      <c r="A6" s="2"/>
      <c r="B6" s="26" t="s">
        <v>46</v>
      </c>
      <c r="C6" s="71" t="s">
        <v>59</v>
      </c>
      <c r="D6" s="59"/>
      <c r="E6" s="60"/>
      <c r="F6" s="47" t="s">
        <v>34</v>
      </c>
      <c r="G6" s="46">
        <v>653.47</v>
      </c>
    </row>
    <row r="7" spans="1:7" x14ac:dyDescent="0.25">
      <c r="A7" s="2"/>
      <c r="B7" s="26" t="s">
        <v>47</v>
      </c>
      <c r="C7" s="71" t="s">
        <v>60</v>
      </c>
      <c r="D7" s="59"/>
      <c r="E7" s="60"/>
      <c r="F7" s="47" t="s">
        <v>34</v>
      </c>
      <c r="G7" s="46">
        <v>160.68</v>
      </c>
    </row>
    <row r="8" spans="1:7" x14ac:dyDescent="0.25">
      <c r="A8" s="2"/>
      <c r="B8" s="26" t="s">
        <v>48</v>
      </c>
      <c r="C8" s="71" t="s">
        <v>61</v>
      </c>
      <c r="D8" s="59"/>
      <c r="E8" s="60"/>
      <c r="F8" s="47" t="s">
        <v>34</v>
      </c>
      <c r="G8" s="46">
        <v>312.13</v>
      </c>
    </row>
    <row r="9" spans="1:7" x14ac:dyDescent="0.25">
      <c r="A9" s="2"/>
      <c r="B9" s="26" t="s">
        <v>49</v>
      </c>
      <c r="C9" s="71" t="s">
        <v>62</v>
      </c>
      <c r="D9" s="59"/>
      <c r="E9" s="60"/>
      <c r="F9" s="47"/>
      <c r="G9" s="46"/>
    </row>
    <row r="10" spans="1:7" x14ac:dyDescent="0.25">
      <c r="A10" s="2"/>
      <c r="B10" s="26" t="s">
        <v>73</v>
      </c>
      <c r="C10" s="71" t="s">
        <v>75</v>
      </c>
      <c r="D10" s="59"/>
      <c r="E10" s="60"/>
      <c r="F10" s="47" t="s">
        <v>34</v>
      </c>
      <c r="G10" s="46">
        <v>53.22</v>
      </c>
    </row>
    <row r="11" spans="1:7" x14ac:dyDescent="0.25">
      <c r="A11" s="2"/>
      <c r="B11" s="26" t="s">
        <v>74</v>
      </c>
      <c r="C11" s="71" t="s">
        <v>76</v>
      </c>
      <c r="D11" s="59"/>
      <c r="E11" s="60"/>
      <c r="F11" s="47" t="s">
        <v>34</v>
      </c>
      <c r="G11" s="46">
        <v>65.42</v>
      </c>
    </row>
    <row r="12" spans="1:7" x14ac:dyDescent="0.25">
      <c r="A12" s="2"/>
      <c r="B12" s="26" t="s">
        <v>50</v>
      </c>
      <c r="C12" s="71" t="s">
        <v>63</v>
      </c>
      <c r="D12" s="59"/>
      <c r="E12" s="60"/>
      <c r="F12" s="47"/>
      <c r="G12" s="46"/>
    </row>
    <row r="13" spans="1:7" x14ac:dyDescent="0.25">
      <c r="A13" s="2"/>
      <c r="B13" s="26" t="s">
        <v>77</v>
      </c>
      <c r="C13" s="71" t="s">
        <v>75</v>
      </c>
      <c r="D13" s="59"/>
      <c r="E13" s="60"/>
      <c r="F13" s="47" t="s">
        <v>34</v>
      </c>
      <c r="G13" s="46">
        <v>180.23</v>
      </c>
    </row>
    <row r="14" spans="1:7" x14ac:dyDescent="0.25">
      <c r="A14" s="2"/>
      <c r="B14" s="26" t="s">
        <v>78</v>
      </c>
      <c r="C14" s="71" t="s">
        <v>76</v>
      </c>
      <c r="D14" s="59"/>
      <c r="E14" s="60"/>
      <c r="F14" s="47" t="s">
        <v>34</v>
      </c>
      <c r="G14" s="46">
        <v>9.94</v>
      </c>
    </row>
    <row r="15" spans="1:7" x14ac:dyDescent="0.25">
      <c r="A15" s="2"/>
      <c r="B15" s="26" t="s">
        <v>51</v>
      </c>
      <c r="C15" s="72" t="s">
        <v>234</v>
      </c>
      <c r="D15" s="62"/>
      <c r="E15" s="60"/>
      <c r="F15" s="47" t="s">
        <v>34</v>
      </c>
      <c r="G15" s="46">
        <v>226.58</v>
      </c>
    </row>
    <row r="16" spans="1:7" x14ac:dyDescent="0.25">
      <c r="A16" s="2"/>
      <c r="B16" s="26" t="s">
        <v>202</v>
      </c>
      <c r="C16" s="72" t="s">
        <v>235</v>
      </c>
      <c r="D16" s="62"/>
      <c r="E16" s="60"/>
      <c r="F16" s="47" t="s">
        <v>34</v>
      </c>
      <c r="G16" s="46">
        <v>312.11</v>
      </c>
    </row>
    <row r="17" spans="1:7" x14ac:dyDescent="0.25">
      <c r="A17" s="2"/>
      <c r="B17" s="26" t="s">
        <v>220</v>
      </c>
      <c r="C17" s="72" t="s">
        <v>222</v>
      </c>
      <c r="D17" s="62"/>
      <c r="E17" s="60"/>
      <c r="F17" s="47" t="s">
        <v>34</v>
      </c>
      <c r="G17" s="46">
        <v>85.81</v>
      </c>
    </row>
    <row r="18" spans="1:7" x14ac:dyDescent="0.25">
      <c r="A18" s="2"/>
      <c r="B18" s="26" t="s">
        <v>229</v>
      </c>
      <c r="C18" s="72" t="s">
        <v>230</v>
      </c>
      <c r="D18" s="62"/>
      <c r="E18" s="60"/>
      <c r="F18" s="47" t="s">
        <v>34</v>
      </c>
      <c r="G18" s="46">
        <v>74.569999999999993</v>
      </c>
    </row>
    <row r="19" spans="1:7" x14ac:dyDescent="0.25">
      <c r="A19" s="2"/>
      <c r="B19" s="26" t="s">
        <v>52</v>
      </c>
      <c r="C19" s="71" t="s">
        <v>64</v>
      </c>
      <c r="D19" s="59"/>
      <c r="E19" s="60"/>
      <c r="F19" s="47" t="s">
        <v>34</v>
      </c>
      <c r="G19" s="46">
        <v>17.77</v>
      </c>
    </row>
    <row r="20" spans="1:7" x14ac:dyDescent="0.25">
      <c r="A20" s="2"/>
      <c r="B20" s="26" t="s">
        <v>182</v>
      </c>
      <c r="C20" s="71" t="s">
        <v>183</v>
      </c>
      <c r="D20" s="68"/>
      <c r="E20" s="61"/>
      <c r="F20" s="47" t="s">
        <v>34</v>
      </c>
      <c r="G20" s="46">
        <v>11.9</v>
      </c>
    </row>
    <row r="21" spans="1:7" x14ac:dyDescent="0.25">
      <c r="A21" s="2"/>
      <c r="B21" s="26" t="s">
        <v>53</v>
      </c>
      <c r="C21" s="71" t="s">
        <v>65</v>
      </c>
      <c r="D21" s="68"/>
      <c r="E21" s="130" t="s">
        <v>175</v>
      </c>
      <c r="F21" s="47" t="s">
        <v>34</v>
      </c>
      <c r="G21" s="46">
        <v>169.07</v>
      </c>
    </row>
    <row r="22" spans="1:7" x14ac:dyDescent="0.25">
      <c r="B22" s="26" t="s">
        <v>54</v>
      </c>
      <c r="C22" s="71" t="s">
        <v>190</v>
      </c>
      <c r="D22" s="69"/>
      <c r="E22" s="131"/>
      <c r="F22" s="47" t="s">
        <v>34</v>
      </c>
      <c r="G22" s="46">
        <f>227.35+57.95</f>
        <v>285.3</v>
      </c>
    </row>
    <row r="23" spans="1:7" x14ac:dyDescent="0.25">
      <c r="B23" s="26" t="s">
        <v>55</v>
      </c>
      <c r="C23" s="71" t="s">
        <v>65</v>
      </c>
      <c r="D23" s="69"/>
      <c r="E23" s="131"/>
      <c r="F23" s="47" t="s">
        <v>34</v>
      </c>
      <c r="G23" s="46">
        <v>24.35</v>
      </c>
    </row>
    <row r="24" spans="1:7" x14ac:dyDescent="0.25">
      <c r="B24" s="26" t="s">
        <v>56</v>
      </c>
      <c r="C24" s="71" t="s">
        <v>66</v>
      </c>
      <c r="D24" s="69"/>
      <c r="E24" s="131"/>
      <c r="F24" s="47" t="s">
        <v>34</v>
      </c>
      <c r="G24" s="46">
        <v>149.27000000000001</v>
      </c>
    </row>
    <row r="25" spans="1:7" x14ac:dyDescent="0.25">
      <c r="B25" s="26" t="s">
        <v>57</v>
      </c>
      <c r="C25" s="71" t="s">
        <v>67</v>
      </c>
      <c r="D25" s="70"/>
      <c r="E25" s="132"/>
      <c r="F25" s="47" t="s">
        <v>34</v>
      </c>
      <c r="G25" s="46">
        <v>11.12</v>
      </c>
    </row>
    <row r="26" spans="1:7" x14ac:dyDescent="0.25">
      <c r="B26" s="26" t="s">
        <v>58</v>
      </c>
      <c r="C26" s="73" t="s">
        <v>68</v>
      </c>
      <c r="D26" s="62"/>
      <c r="E26" s="60"/>
      <c r="F26" s="47" t="s">
        <v>34</v>
      </c>
      <c r="G26" s="46"/>
    </row>
    <row r="27" spans="1:7" x14ac:dyDescent="0.25">
      <c r="B27" s="26" t="s">
        <v>41</v>
      </c>
      <c r="C27" s="72" t="s">
        <v>42</v>
      </c>
      <c r="D27" s="62"/>
      <c r="E27" s="60"/>
      <c r="F27" s="47" t="s">
        <v>34</v>
      </c>
      <c r="G27" s="46">
        <v>586.69000000000005</v>
      </c>
    </row>
    <row r="28" spans="1:7" x14ac:dyDescent="0.25">
      <c r="B28" s="26" t="s">
        <v>134</v>
      </c>
      <c r="C28" s="72" t="s">
        <v>136</v>
      </c>
      <c r="D28" s="62"/>
      <c r="E28" s="60"/>
      <c r="F28" s="47" t="s">
        <v>34</v>
      </c>
      <c r="G28" s="46">
        <v>460.38</v>
      </c>
    </row>
    <row r="29" spans="1:7" x14ac:dyDescent="0.25">
      <c r="B29" s="26" t="s">
        <v>137</v>
      </c>
      <c r="C29" s="72" t="s">
        <v>138</v>
      </c>
      <c r="D29" s="62"/>
      <c r="E29" s="60"/>
      <c r="F29" s="47" t="s">
        <v>34</v>
      </c>
      <c r="G29" s="46">
        <v>227.35</v>
      </c>
    </row>
    <row r="30" spans="1:7" x14ac:dyDescent="0.25">
      <c r="B30" s="26" t="s">
        <v>135</v>
      </c>
      <c r="C30" s="72" t="s">
        <v>271</v>
      </c>
      <c r="D30" s="62"/>
      <c r="E30" s="60"/>
      <c r="F30" s="47" t="s">
        <v>34</v>
      </c>
      <c r="G30" s="46">
        <v>767.31</v>
      </c>
    </row>
    <row r="31" spans="1:7" x14ac:dyDescent="0.25">
      <c r="B31" s="26" t="s">
        <v>150</v>
      </c>
      <c r="C31" s="72" t="s">
        <v>151</v>
      </c>
      <c r="D31" s="62"/>
      <c r="E31" s="60"/>
      <c r="F31" s="47" t="s">
        <v>5</v>
      </c>
      <c r="G31" s="46">
        <v>252.72</v>
      </c>
    </row>
    <row r="32" spans="1:7" x14ac:dyDescent="0.25">
      <c r="B32" s="26" t="s">
        <v>155</v>
      </c>
      <c r="C32" s="72" t="s">
        <v>156</v>
      </c>
      <c r="D32" s="62"/>
      <c r="E32" s="60"/>
      <c r="F32" s="47" t="s">
        <v>34</v>
      </c>
      <c r="G32" s="46">
        <v>219.61</v>
      </c>
    </row>
    <row r="33" spans="2:22" x14ac:dyDescent="0.25">
      <c r="B33" s="26" t="s">
        <v>272</v>
      </c>
      <c r="C33" s="72" t="s">
        <v>273</v>
      </c>
      <c r="D33" s="62"/>
      <c r="E33" s="60"/>
      <c r="F33" s="47" t="s">
        <v>34</v>
      </c>
      <c r="G33" s="46">
        <v>2829.08</v>
      </c>
    </row>
    <row r="34" spans="2:22" x14ac:dyDescent="0.25">
      <c r="B34" s="26"/>
      <c r="C34" s="59"/>
      <c r="D34" s="59"/>
      <c r="E34" s="60"/>
      <c r="F34" s="47"/>
      <c r="G34" s="46"/>
    </row>
    <row r="37" spans="2:22" x14ac:dyDescent="0.25">
      <c r="B37" s="27" t="s">
        <v>239</v>
      </c>
      <c r="C37" s="27"/>
      <c r="D37" s="27"/>
    </row>
    <row r="38" spans="2:22" ht="15" customHeight="1" x14ac:dyDescent="0.25">
      <c r="B38" s="118" t="s">
        <v>236</v>
      </c>
      <c r="C38" s="121" t="s">
        <v>10</v>
      </c>
      <c r="D38" s="122"/>
      <c r="E38" s="122"/>
      <c r="F38" s="123"/>
      <c r="G38" s="118" t="s">
        <v>237</v>
      </c>
      <c r="H38" s="118" t="s">
        <v>238</v>
      </c>
      <c r="I38" s="118" t="s">
        <v>46</v>
      </c>
      <c r="J38" s="118" t="s">
        <v>47</v>
      </c>
      <c r="K38" s="118" t="s">
        <v>48</v>
      </c>
      <c r="L38" s="118" t="s">
        <v>49</v>
      </c>
      <c r="M38" s="118" t="s">
        <v>50</v>
      </c>
      <c r="N38" s="118" t="s">
        <v>51</v>
      </c>
      <c r="O38" s="118" t="s">
        <v>52</v>
      </c>
      <c r="P38" s="118" t="s">
        <v>53</v>
      </c>
      <c r="Q38" s="118" t="s">
        <v>54</v>
      </c>
      <c r="R38" s="118" t="s">
        <v>55</v>
      </c>
      <c r="S38" s="118" t="s">
        <v>56</v>
      </c>
      <c r="T38" s="118" t="s">
        <v>57</v>
      </c>
      <c r="U38" s="118" t="s">
        <v>58</v>
      </c>
      <c r="V38" s="118"/>
    </row>
    <row r="39" spans="2:22" x14ac:dyDescent="0.25">
      <c r="B39" s="119"/>
      <c r="C39" s="124"/>
      <c r="D39" s="125"/>
      <c r="E39" s="125"/>
      <c r="F39" s="126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</row>
    <row r="40" spans="2:22" x14ac:dyDescent="0.25">
      <c r="B40" s="120"/>
      <c r="C40" s="127"/>
      <c r="D40" s="128"/>
      <c r="E40" s="128"/>
      <c r="F40" s="129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</row>
    <row r="41" spans="2:22" x14ac:dyDescent="0.25">
      <c r="B41" s="63"/>
      <c r="C41" s="74" t="s">
        <v>256</v>
      </c>
      <c r="D41" s="64"/>
      <c r="E41" s="64"/>
      <c r="F41" s="64"/>
      <c r="G41" s="65"/>
      <c r="H41" s="66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</row>
    <row r="42" spans="2:22" x14ac:dyDescent="0.25">
      <c r="B42" s="63">
        <v>1</v>
      </c>
      <c r="C42" s="76" t="s">
        <v>240</v>
      </c>
      <c r="D42" s="77"/>
      <c r="E42" s="77"/>
      <c r="F42" s="77"/>
      <c r="G42" s="65">
        <f t="shared" ref="G42:G47" si="0">IF(SUM(I42:AS42)&gt;0,SUM(I42:AS42),"")</f>
        <v>814.15000000000009</v>
      </c>
      <c r="H42" s="66"/>
      <c r="I42" s="67">
        <f>fasada.F1</f>
        <v>653.47</v>
      </c>
      <c r="J42" s="67">
        <f>fasada.F2</f>
        <v>160.68</v>
      </c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</row>
    <row r="43" spans="2:22" x14ac:dyDescent="0.25">
      <c r="B43" s="63">
        <v>2</v>
      </c>
      <c r="C43" s="76" t="s">
        <v>241</v>
      </c>
      <c r="D43" s="77"/>
      <c r="E43" s="77"/>
      <c r="F43" s="77"/>
      <c r="G43" s="65">
        <f t="shared" si="0"/>
        <v>814.15000000000009</v>
      </c>
      <c r="H43" s="66"/>
      <c r="I43" s="67">
        <f>fasada.F1</f>
        <v>653.47</v>
      </c>
      <c r="J43" s="67">
        <f>fasada.F2</f>
        <v>160.68</v>
      </c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</row>
    <row r="44" spans="2:22" x14ac:dyDescent="0.25">
      <c r="B44" s="63">
        <v>3</v>
      </c>
      <c r="C44" s="76" t="s">
        <v>263</v>
      </c>
      <c r="D44" s="77"/>
      <c r="E44" s="77"/>
      <c r="F44" s="77"/>
      <c r="G44" s="65">
        <f t="shared" si="0"/>
        <v>233.45</v>
      </c>
      <c r="H44" s="66"/>
      <c r="I44" s="67"/>
      <c r="J44" s="67"/>
      <c r="K44" s="67"/>
      <c r="L44" s="67">
        <f>fasada.F4_1</f>
        <v>53.22</v>
      </c>
      <c r="M44" s="67">
        <f>fasada.F5_1</f>
        <v>180.23</v>
      </c>
      <c r="N44" s="67"/>
      <c r="O44" s="67"/>
      <c r="P44" s="67"/>
      <c r="Q44" s="67"/>
      <c r="R44" s="67"/>
      <c r="S44" s="67"/>
      <c r="T44" s="67"/>
      <c r="U44" s="67"/>
      <c r="V44" s="67"/>
    </row>
    <row r="45" spans="2:22" x14ac:dyDescent="0.25">
      <c r="B45" s="63">
        <v>4</v>
      </c>
      <c r="C45" s="76"/>
      <c r="D45" s="77" t="s">
        <v>264</v>
      </c>
      <c r="E45" s="77"/>
      <c r="F45" s="77"/>
      <c r="G45" s="65">
        <f t="shared" si="0"/>
        <v>75.36</v>
      </c>
      <c r="H45" s="66"/>
      <c r="I45" s="67"/>
      <c r="J45" s="67"/>
      <c r="K45" s="67"/>
      <c r="L45" s="67">
        <f>fasada.F4_2</f>
        <v>65.42</v>
      </c>
      <c r="M45" s="67">
        <f>fasada.F5_2</f>
        <v>9.94</v>
      </c>
      <c r="N45" s="67"/>
      <c r="O45" s="67"/>
      <c r="P45" s="67"/>
      <c r="Q45" s="67"/>
      <c r="R45" s="67"/>
      <c r="S45" s="67"/>
      <c r="T45" s="67"/>
      <c r="U45" s="67"/>
      <c r="V45" s="67"/>
    </row>
    <row r="46" spans="2:22" x14ac:dyDescent="0.25">
      <c r="B46" s="63">
        <v>5</v>
      </c>
      <c r="C46" s="76" t="s">
        <v>265</v>
      </c>
      <c r="D46" s="77"/>
      <c r="E46" s="77"/>
      <c r="F46" s="77"/>
      <c r="G46" s="65">
        <f t="shared" si="0"/>
        <v>1047.6000000000001</v>
      </c>
      <c r="H46" s="65"/>
      <c r="I46" s="67">
        <f>fasada.F1</f>
        <v>653.47</v>
      </c>
      <c r="J46" s="67">
        <f>fasada.F2</f>
        <v>160.68</v>
      </c>
      <c r="K46" s="67"/>
      <c r="L46" s="67">
        <f>fasada.F4_1</f>
        <v>53.22</v>
      </c>
      <c r="M46" s="67">
        <f>fasada.F5_1</f>
        <v>180.23</v>
      </c>
      <c r="N46" s="67"/>
      <c r="O46" s="67"/>
      <c r="P46" s="67"/>
      <c r="Q46" s="67"/>
      <c r="R46" s="67"/>
      <c r="S46" s="67"/>
      <c r="T46" s="67"/>
      <c r="U46" s="67"/>
      <c r="V46" s="67"/>
    </row>
    <row r="47" spans="2:22" x14ac:dyDescent="0.25">
      <c r="B47" s="63">
        <v>6</v>
      </c>
      <c r="C47" s="76"/>
      <c r="D47" s="77" t="s">
        <v>264</v>
      </c>
      <c r="E47" s="77"/>
      <c r="F47" s="77"/>
      <c r="G47" s="65">
        <f t="shared" si="0"/>
        <v>75.36</v>
      </c>
      <c r="H47" s="65"/>
      <c r="I47" s="67"/>
      <c r="J47" s="67"/>
      <c r="K47" s="67"/>
      <c r="L47" s="67">
        <f>fasada.F4_2</f>
        <v>65.42</v>
      </c>
      <c r="M47" s="67">
        <f>fasada.F5_2</f>
        <v>9.94</v>
      </c>
      <c r="N47" s="67"/>
      <c r="O47" s="67"/>
      <c r="P47" s="67"/>
      <c r="Q47" s="67"/>
      <c r="R47" s="67"/>
      <c r="S47" s="67"/>
      <c r="T47" s="67"/>
      <c r="U47" s="67"/>
      <c r="V47" s="67"/>
    </row>
    <row r="48" spans="2:22" x14ac:dyDescent="0.25">
      <c r="B48" s="63">
        <v>7</v>
      </c>
      <c r="C48" s="76" t="s">
        <v>259</v>
      </c>
      <c r="D48" s="77"/>
      <c r="E48" s="77"/>
      <c r="F48" s="77"/>
      <c r="G48" s="65"/>
      <c r="H48" s="65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</row>
    <row r="49" spans="2:22" x14ac:dyDescent="0.25">
      <c r="B49" s="63">
        <v>8</v>
      </c>
      <c r="C49" s="76"/>
      <c r="D49" s="77" t="s">
        <v>243</v>
      </c>
      <c r="E49" s="77"/>
      <c r="F49" s="77"/>
      <c r="G49" s="65">
        <f t="shared" ref="G49:G64" si="1">IF(SUM(I49:AS49)&gt;0,SUM(I49:AS49),"")</f>
        <v>706.69</v>
      </c>
      <c r="H49" s="65"/>
      <c r="I49" s="67">
        <f>fasada.F1</f>
        <v>653.47</v>
      </c>
      <c r="J49" s="67"/>
      <c r="K49" s="67"/>
      <c r="L49" s="67">
        <f>fasada.F4_1</f>
        <v>53.22</v>
      </c>
      <c r="M49" s="67"/>
      <c r="N49" s="67"/>
      <c r="O49" s="67"/>
      <c r="P49" s="67"/>
      <c r="Q49" s="67"/>
      <c r="R49" s="67"/>
      <c r="S49" s="67"/>
      <c r="T49" s="67"/>
      <c r="U49" s="67"/>
      <c r="V49" s="67"/>
    </row>
    <row r="50" spans="2:22" x14ac:dyDescent="0.25">
      <c r="B50" s="63">
        <v>9</v>
      </c>
      <c r="C50" s="76"/>
      <c r="D50" s="77" t="s">
        <v>249</v>
      </c>
      <c r="E50" s="77"/>
      <c r="F50" s="77"/>
      <c r="G50" s="65">
        <f t="shared" si="1"/>
        <v>65.42</v>
      </c>
      <c r="H50" s="65"/>
      <c r="I50" s="67"/>
      <c r="J50" s="67"/>
      <c r="K50" s="67"/>
      <c r="L50" s="67">
        <f>fasada.F4_2</f>
        <v>65.42</v>
      </c>
      <c r="M50" s="67"/>
      <c r="N50" s="67"/>
      <c r="O50" s="67"/>
      <c r="P50" s="67"/>
      <c r="Q50" s="67"/>
      <c r="R50" s="67"/>
      <c r="S50" s="67"/>
      <c r="T50" s="67"/>
      <c r="U50" s="67"/>
      <c r="V50" s="67"/>
    </row>
    <row r="51" spans="2:22" x14ac:dyDescent="0.25">
      <c r="B51" s="63">
        <v>10</v>
      </c>
      <c r="C51" s="76"/>
      <c r="D51" s="77" t="s">
        <v>244</v>
      </c>
      <c r="E51" s="77"/>
      <c r="F51" s="77"/>
      <c r="G51" s="65">
        <f t="shared" si="1"/>
        <v>340.90999999999997</v>
      </c>
      <c r="H51" s="65"/>
      <c r="I51" s="67"/>
      <c r="J51" s="67">
        <f>fasada.F2</f>
        <v>160.68</v>
      </c>
      <c r="K51" s="67"/>
      <c r="L51" s="67"/>
      <c r="M51" s="67">
        <f>fasada.F5_1</f>
        <v>180.23</v>
      </c>
      <c r="N51" s="67"/>
      <c r="O51" s="67"/>
      <c r="P51" s="67"/>
      <c r="Q51" s="67"/>
      <c r="R51" s="67"/>
      <c r="S51" s="67"/>
      <c r="T51" s="67"/>
      <c r="U51" s="67"/>
      <c r="V51" s="67"/>
    </row>
    <row r="52" spans="2:22" x14ac:dyDescent="0.25">
      <c r="B52" s="63">
        <v>11</v>
      </c>
      <c r="C52" s="76"/>
      <c r="D52" s="77" t="s">
        <v>250</v>
      </c>
      <c r="E52" s="77"/>
      <c r="F52" s="77"/>
      <c r="G52" s="65">
        <f t="shared" si="1"/>
        <v>9.94</v>
      </c>
      <c r="H52" s="65"/>
      <c r="I52" s="67"/>
      <c r="J52" s="67"/>
      <c r="K52" s="67"/>
      <c r="L52" s="67"/>
      <c r="M52" s="67">
        <f>fasada.F5_2</f>
        <v>9.94</v>
      </c>
      <c r="N52" s="67"/>
      <c r="O52" s="67"/>
      <c r="P52" s="67"/>
      <c r="Q52" s="67"/>
      <c r="R52" s="67"/>
      <c r="S52" s="67"/>
      <c r="T52" s="67"/>
      <c r="U52" s="67"/>
      <c r="V52" s="67"/>
    </row>
    <row r="53" spans="2:22" x14ac:dyDescent="0.25">
      <c r="B53" s="75" t="s">
        <v>266</v>
      </c>
      <c r="C53" s="76" t="s">
        <v>269</v>
      </c>
      <c r="D53" s="77"/>
      <c r="E53" s="77"/>
      <c r="F53" s="77"/>
      <c r="G53" s="65">
        <f t="shared" si="1"/>
        <v>772.11</v>
      </c>
      <c r="H53" s="65"/>
      <c r="I53" s="67">
        <f>fasada.F1</f>
        <v>653.47</v>
      </c>
      <c r="J53" s="67"/>
      <c r="K53" s="67"/>
      <c r="L53" s="67">
        <f>fasada.F4_1+fasada.F4_2</f>
        <v>118.64</v>
      </c>
      <c r="M53" s="67"/>
      <c r="N53" s="67"/>
      <c r="O53" s="67"/>
      <c r="P53" s="67"/>
      <c r="Q53" s="67"/>
      <c r="R53" s="67"/>
      <c r="S53" s="67"/>
      <c r="T53" s="67"/>
      <c r="U53" s="67"/>
      <c r="V53" s="67"/>
    </row>
    <row r="54" spans="2:22" x14ac:dyDescent="0.25">
      <c r="B54" s="75" t="s">
        <v>267</v>
      </c>
      <c r="C54" s="76" t="s">
        <v>270</v>
      </c>
      <c r="D54" s="77"/>
      <c r="E54" s="77"/>
      <c r="F54" s="77"/>
      <c r="G54" s="65">
        <f t="shared" si="1"/>
        <v>350.85</v>
      </c>
      <c r="H54" s="65"/>
      <c r="I54" s="67"/>
      <c r="J54" s="67">
        <f>fasada.F2</f>
        <v>160.68</v>
      </c>
      <c r="K54" s="67"/>
      <c r="L54" s="67"/>
      <c r="M54" s="67">
        <f>fasada.F5_1+fasada.F5_2</f>
        <v>190.17</v>
      </c>
      <c r="N54" s="67"/>
      <c r="O54" s="67"/>
      <c r="P54" s="67"/>
      <c r="Q54" s="67"/>
      <c r="R54" s="67"/>
      <c r="S54" s="67"/>
      <c r="T54" s="67"/>
      <c r="U54" s="67"/>
      <c r="V54" s="67"/>
    </row>
    <row r="55" spans="2:22" x14ac:dyDescent="0.25">
      <c r="B55" s="63">
        <v>12</v>
      </c>
      <c r="C55" s="76" t="s">
        <v>245</v>
      </c>
      <c r="D55" s="77"/>
      <c r="E55" s="77"/>
      <c r="F55" s="77"/>
      <c r="G55" s="65">
        <f t="shared" si="1"/>
        <v>350.85</v>
      </c>
      <c r="H55" s="65"/>
      <c r="I55" s="67"/>
      <c r="J55" s="67">
        <f>fasada.F2</f>
        <v>160.68</v>
      </c>
      <c r="K55" s="67"/>
      <c r="L55" s="67"/>
      <c r="M55" s="67">
        <f>fasada.F5_1+fasada.F5_2</f>
        <v>190.17</v>
      </c>
      <c r="N55" s="67"/>
      <c r="O55" s="67"/>
      <c r="P55" s="67"/>
      <c r="Q55" s="67"/>
      <c r="R55" s="67"/>
      <c r="S55" s="67"/>
      <c r="T55" s="67"/>
      <c r="U55" s="67"/>
      <c r="V55" s="67"/>
    </row>
    <row r="56" spans="2:22" x14ac:dyDescent="0.25">
      <c r="B56" s="63">
        <v>13</v>
      </c>
      <c r="C56" s="76" t="s">
        <v>246</v>
      </c>
      <c r="D56" s="77"/>
      <c r="E56" s="77"/>
      <c r="F56" s="77"/>
      <c r="G56" s="65">
        <f t="shared" si="1"/>
        <v>329.9</v>
      </c>
      <c r="H56" s="65"/>
      <c r="I56" s="67"/>
      <c r="J56" s="67"/>
      <c r="K56" s="67">
        <f>fasada.F3</f>
        <v>312.13</v>
      </c>
      <c r="L56" s="67"/>
      <c r="M56" s="67"/>
      <c r="N56" s="67"/>
      <c r="O56" s="67">
        <f>fasada.F7</f>
        <v>17.77</v>
      </c>
      <c r="P56" s="67"/>
      <c r="Q56" s="67"/>
      <c r="R56" s="67"/>
      <c r="S56" s="67"/>
      <c r="T56" s="67"/>
      <c r="U56" s="67"/>
      <c r="V56" s="67"/>
    </row>
    <row r="57" spans="2:22" x14ac:dyDescent="0.25">
      <c r="B57" s="63">
        <v>14</v>
      </c>
      <c r="C57" s="76" t="s">
        <v>247</v>
      </c>
      <c r="D57" s="77"/>
      <c r="E57" s="77"/>
      <c r="F57" s="77"/>
      <c r="G57" s="65">
        <f t="shared" si="1"/>
        <v>329.9</v>
      </c>
      <c r="H57" s="65"/>
      <c r="I57" s="67"/>
      <c r="J57" s="67"/>
      <c r="K57" s="67">
        <f>fasada.F3</f>
        <v>312.13</v>
      </c>
      <c r="L57" s="67"/>
      <c r="M57" s="67"/>
      <c r="N57" s="67"/>
      <c r="O57" s="67">
        <f>fasada.F7</f>
        <v>17.77</v>
      </c>
      <c r="P57" s="67"/>
      <c r="Q57" s="67"/>
      <c r="R57" s="67"/>
      <c r="S57" s="67"/>
      <c r="T57" s="67"/>
      <c r="U57" s="67"/>
      <c r="V57" s="67"/>
    </row>
    <row r="58" spans="2:22" x14ac:dyDescent="0.25">
      <c r="B58" s="63">
        <v>15</v>
      </c>
      <c r="C58" s="76" t="s">
        <v>254</v>
      </c>
      <c r="D58" s="77"/>
      <c r="E58" s="77"/>
      <c r="F58" s="77"/>
      <c r="G58" s="65">
        <f t="shared" si="1"/>
        <v>312.13</v>
      </c>
      <c r="H58" s="65"/>
      <c r="I58" s="67"/>
      <c r="J58" s="67"/>
      <c r="K58" s="67">
        <f>fasada.F3</f>
        <v>312.13</v>
      </c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</row>
    <row r="59" spans="2:22" x14ac:dyDescent="0.25">
      <c r="B59" s="63">
        <v>16</v>
      </c>
      <c r="C59" s="76" t="s">
        <v>255</v>
      </c>
      <c r="D59" s="77"/>
      <c r="E59" s="77"/>
      <c r="F59" s="77"/>
      <c r="G59" s="65">
        <f t="shared" si="1"/>
        <v>29.67</v>
      </c>
      <c r="H59" s="65"/>
      <c r="I59" s="67"/>
      <c r="J59" s="67"/>
      <c r="K59" s="67"/>
      <c r="L59" s="67"/>
      <c r="M59" s="67"/>
      <c r="N59" s="67"/>
      <c r="O59" s="67">
        <f>fasada.F7+fasada.F7_1</f>
        <v>29.67</v>
      </c>
      <c r="P59" s="67"/>
      <c r="Q59" s="67"/>
      <c r="R59" s="67"/>
      <c r="S59" s="67"/>
      <c r="T59" s="67"/>
      <c r="U59" s="67"/>
      <c r="V59" s="67"/>
    </row>
    <row r="60" spans="2:22" x14ac:dyDescent="0.25">
      <c r="B60" s="63">
        <v>17</v>
      </c>
      <c r="C60" s="76" t="s">
        <v>251</v>
      </c>
      <c r="D60" s="77"/>
      <c r="E60" s="77"/>
      <c r="F60" s="77"/>
      <c r="G60" s="65">
        <f t="shared" si="1"/>
        <v>636.4</v>
      </c>
      <c r="H60" s="65"/>
      <c r="I60" s="67"/>
      <c r="J60" s="67"/>
      <c r="K60" s="67"/>
      <c r="L60" s="67"/>
      <c r="M60" s="67"/>
      <c r="N60" s="67">
        <f>fasada.F6+fasada.F6_1+fasada.F6_2</f>
        <v>624.5</v>
      </c>
      <c r="O60" s="67">
        <f>fasada.F7_1</f>
        <v>11.9</v>
      </c>
      <c r="P60" s="67"/>
      <c r="Q60" s="67"/>
      <c r="R60" s="67"/>
      <c r="S60" s="67"/>
      <c r="T60" s="67"/>
      <c r="U60" s="67">
        <f>fasada.F13</f>
        <v>0</v>
      </c>
      <c r="V60" s="67"/>
    </row>
    <row r="61" spans="2:22" x14ac:dyDescent="0.25">
      <c r="B61" s="63">
        <v>18</v>
      </c>
      <c r="C61" s="76" t="s">
        <v>252</v>
      </c>
      <c r="D61" s="77"/>
      <c r="E61" s="77"/>
      <c r="F61" s="77"/>
      <c r="G61" s="65">
        <f t="shared" si="1"/>
        <v>538.69000000000005</v>
      </c>
      <c r="H61" s="65"/>
      <c r="I61" s="67"/>
      <c r="J61" s="67"/>
      <c r="K61" s="67"/>
      <c r="L61" s="67"/>
      <c r="M61" s="67"/>
      <c r="N61" s="67">
        <f>fasada.F6+fasada.F6_1</f>
        <v>538.69000000000005</v>
      </c>
      <c r="O61" s="67"/>
      <c r="P61" s="67"/>
      <c r="Q61" s="67"/>
      <c r="R61" s="67"/>
      <c r="S61" s="67"/>
      <c r="T61" s="67"/>
      <c r="U61" s="67">
        <f>fasada.F13</f>
        <v>0</v>
      </c>
      <c r="V61" s="67"/>
    </row>
    <row r="62" spans="2:22" x14ac:dyDescent="0.25">
      <c r="B62" s="63">
        <v>19</v>
      </c>
      <c r="C62" s="76" t="s">
        <v>258</v>
      </c>
      <c r="D62" s="77"/>
      <c r="E62" s="77"/>
      <c r="F62" s="77"/>
      <c r="G62" s="65">
        <f t="shared" si="1"/>
        <v>226.58</v>
      </c>
      <c r="H62" s="65"/>
      <c r="I62" s="67"/>
      <c r="J62" s="67"/>
      <c r="K62" s="67"/>
      <c r="L62" s="67"/>
      <c r="M62" s="67"/>
      <c r="N62" s="67">
        <f>fasada.F6</f>
        <v>226.58</v>
      </c>
      <c r="O62" s="67"/>
      <c r="P62" s="67"/>
      <c r="Q62" s="67"/>
      <c r="R62" s="67"/>
      <c r="S62" s="67"/>
      <c r="T62" s="67"/>
      <c r="U62" s="67"/>
      <c r="V62" s="67"/>
    </row>
    <row r="63" spans="2:22" x14ac:dyDescent="0.25">
      <c r="B63" s="63">
        <v>20</v>
      </c>
      <c r="C63" s="76" t="s">
        <v>253</v>
      </c>
      <c r="D63" s="77"/>
      <c r="E63" s="77"/>
      <c r="F63" s="77"/>
      <c r="G63" s="65">
        <f t="shared" si="1"/>
        <v>993.12</v>
      </c>
      <c r="H63" s="65"/>
      <c r="I63" s="67"/>
      <c r="J63" s="67">
        <f>fasada.F2</f>
        <v>160.68</v>
      </c>
      <c r="K63" s="67"/>
      <c r="L63" s="67"/>
      <c r="M63" s="67">
        <f>fasada.F5_1+fasada.F5_2</f>
        <v>190.17</v>
      </c>
      <c r="N63" s="67">
        <f>fasada.F6+fasada.F6_1+fasada.F6_2</f>
        <v>624.5</v>
      </c>
      <c r="O63" s="67">
        <f>fasada.F7</f>
        <v>17.77</v>
      </c>
      <c r="P63" s="67"/>
      <c r="Q63" s="67"/>
      <c r="R63" s="67"/>
      <c r="S63" s="67"/>
      <c r="T63" s="67"/>
      <c r="U63" s="67">
        <f>fasada.F13</f>
        <v>0</v>
      </c>
      <c r="V63" s="67"/>
    </row>
    <row r="64" spans="2:22" x14ac:dyDescent="0.25">
      <c r="B64" s="63">
        <v>21</v>
      </c>
      <c r="C64" s="76" t="s">
        <v>230</v>
      </c>
      <c r="D64" s="77"/>
      <c r="E64" s="77"/>
      <c r="F64" s="77"/>
      <c r="G64" s="65">
        <f t="shared" si="1"/>
        <v>74.569999999999993</v>
      </c>
      <c r="H64" s="65"/>
      <c r="I64" s="67"/>
      <c r="J64" s="67"/>
      <c r="K64" s="67"/>
      <c r="L64" s="67"/>
      <c r="M64" s="67"/>
      <c r="N64" s="67">
        <f>fasada.F6_3</f>
        <v>74.569999999999993</v>
      </c>
      <c r="O64" s="67"/>
      <c r="P64" s="67"/>
      <c r="Q64" s="67"/>
      <c r="R64" s="67"/>
      <c r="S64" s="67"/>
      <c r="T64" s="67"/>
      <c r="U64" s="67"/>
      <c r="V64" s="67"/>
    </row>
    <row r="65" spans="2:22" x14ac:dyDescent="0.25">
      <c r="B65" s="63"/>
      <c r="C65" s="78" t="s">
        <v>257</v>
      </c>
      <c r="D65" s="77"/>
      <c r="E65" s="77"/>
      <c r="F65" s="77"/>
      <c r="G65" s="65"/>
      <c r="H65" s="65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</row>
    <row r="66" spans="2:22" x14ac:dyDescent="0.25">
      <c r="B66" s="63">
        <v>22</v>
      </c>
      <c r="C66" s="76" t="s">
        <v>259</v>
      </c>
      <c r="D66" s="77"/>
      <c r="E66" s="77"/>
      <c r="F66" s="77"/>
      <c r="G66" s="65"/>
      <c r="H66" s="65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</row>
    <row r="67" spans="2:22" x14ac:dyDescent="0.25">
      <c r="B67" s="63">
        <v>23</v>
      </c>
      <c r="C67" s="76"/>
      <c r="D67" s="77" t="s">
        <v>260</v>
      </c>
      <c r="E67" s="77"/>
      <c r="F67" s="77"/>
      <c r="G67" s="65">
        <f t="shared" ref="G67:G75" si="2">IF(SUM(I67:AS67)&gt;0,SUM(I67:AS67),"")</f>
        <v>169.07</v>
      </c>
      <c r="H67" s="65"/>
      <c r="I67" s="67"/>
      <c r="J67" s="67"/>
      <c r="K67" s="67"/>
      <c r="L67" s="67"/>
      <c r="M67" s="67"/>
      <c r="N67" s="67"/>
      <c r="O67" s="67"/>
      <c r="P67" s="67">
        <f>fasada.f8</f>
        <v>169.07</v>
      </c>
      <c r="Q67" s="67"/>
      <c r="R67" s="67"/>
      <c r="S67" s="67"/>
      <c r="T67" s="67"/>
      <c r="U67" s="67"/>
      <c r="V67" s="67"/>
    </row>
    <row r="68" spans="2:22" x14ac:dyDescent="0.25">
      <c r="B68" s="63">
        <v>24</v>
      </c>
      <c r="C68" s="76"/>
      <c r="D68" s="77" t="s">
        <v>243</v>
      </c>
      <c r="E68" s="77"/>
      <c r="F68" s="77"/>
      <c r="G68" s="65">
        <f t="shared" si="2"/>
        <v>285.3</v>
      </c>
      <c r="H68" s="65"/>
      <c r="I68" s="67"/>
      <c r="J68" s="67"/>
      <c r="K68" s="67"/>
      <c r="L68" s="67"/>
      <c r="M68" s="67"/>
      <c r="N68" s="67"/>
      <c r="O68" s="67"/>
      <c r="P68" s="67"/>
      <c r="Q68" s="67">
        <f>fasada.F9</f>
        <v>285.3</v>
      </c>
      <c r="R68" s="67"/>
      <c r="S68" s="67"/>
      <c r="T68" s="67"/>
      <c r="U68" s="67"/>
      <c r="V68" s="67"/>
    </row>
    <row r="69" spans="2:22" x14ac:dyDescent="0.25">
      <c r="B69" s="63">
        <v>25</v>
      </c>
      <c r="C69" s="76"/>
      <c r="D69" s="77" t="s">
        <v>249</v>
      </c>
      <c r="E69" s="77"/>
      <c r="F69" s="77"/>
      <c r="G69" s="65">
        <f t="shared" si="2"/>
        <v>24.35</v>
      </c>
      <c r="H69" s="65"/>
      <c r="I69" s="67"/>
      <c r="J69" s="67"/>
      <c r="K69" s="67"/>
      <c r="L69" s="67"/>
      <c r="M69" s="67"/>
      <c r="N69" s="67"/>
      <c r="O69" s="67"/>
      <c r="P69" s="67"/>
      <c r="Q69" s="67"/>
      <c r="R69" s="67">
        <f>fasada.f10</f>
        <v>24.35</v>
      </c>
      <c r="S69" s="67"/>
      <c r="T69" s="67"/>
      <c r="U69" s="67"/>
      <c r="V69" s="67"/>
    </row>
    <row r="70" spans="2:22" x14ac:dyDescent="0.25">
      <c r="B70" s="63">
        <v>26</v>
      </c>
      <c r="C70" s="76"/>
      <c r="D70" s="77" t="s">
        <v>261</v>
      </c>
      <c r="E70" s="77"/>
      <c r="F70" s="77"/>
      <c r="G70" s="65">
        <f t="shared" si="2"/>
        <v>149.27000000000001</v>
      </c>
      <c r="H70" s="65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>
        <f>fasada.f11</f>
        <v>149.27000000000001</v>
      </c>
      <c r="T70" s="67"/>
      <c r="U70" s="67"/>
      <c r="V70" s="67"/>
    </row>
    <row r="71" spans="2:22" x14ac:dyDescent="0.25">
      <c r="B71" s="63">
        <v>27</v>
      </c>
      <c r="C71" s="76"/>
      <c r="D71" s="77" t="s">
        <v>262</v>
      </c>
      <c r="E71" s="77"/>
      <c r="F71" s="77"/>
      <c r="G71" s="65">
        <f t="shared" si="2"/>
        <v>11.12</v>
      </c>
      <c r="H71" s="65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>
        <f>fasada.f12</f>
        <v>11.12</v>
      </c>
      <c r="U71" s="67"/>
      <c r="V71" s="67"/>
    </row>
    <row r="72" spans="2:22" x14ac:dyDescent="0.25">
      <c r="B72" s="75" t="s">
        <v>268</v>
      </c>
      <c r="C72" s="76" t="s">
        <v>269</v>
      </c>
      <c r="D72" s="77"/>
      <c r="E72" s="77"/>
      <c r="F72" s="77"/>
      <c r="G72" s="65">
        <f t="shared" si="2"/>
        <v>639.11</v>
      </c>
      <c r="H72" s="65"/>
      <c r="I72" s="67"/>
      <c r="J72" s="67"/>
      <c r="K72" s="67"/>
      <c r="L72" s="67"/>
      <c r="M72" s="67"/>
      <c r="N72" s="67"/>
      <c r="O72" s="67"/>
      <c r="P72" s="67">
        <f>fasada.f8</f>
        <v>169.07</v>
      </c>
      <c r="Q72" s="67">
        <f>fasada.F9</f>
        <v>285.3</v>
      </c>
      <c r="R72" s="67">
        <f>fasada.f10</f>
        <v>24.35</v>
      </c>
      <c r="S72" s="67">
        <f>fasada.f11</f>
        <v>149.27000000000001</v>
      </c>
      <c r="T72" s="67">
        <f>fasada.f12</f>
        <v>11.12</v>
      </c>
      <c r="U72" s="67"/>
      <c r="V72" s="67"/>
    </row>
    <row r="73" spans="2:22" x14ac:dyDescent="0.25">
      <c r="B73" s="63">
        <v>28</v>
      </c>
      <c r="C73" s="76" t="s">
        <v>242</v>
      </c>
      <c r="D73" s="77"/>
      <c r="E73" s="77"/>
      <c r="F73" s="77"/>
      <c r="G73" s="65">
        <f t="shared" si="2"/>
        <v>639.11</v>
      </c>
      <c r="H73" s="65"/>
      <c r="I73" s="67"/>
      <c r="J73" s="67"/>
      <c r="K73" s="67"/>
      <c r="L73" s="67"/>
      <c r="M73" s="67"/>
      <c r="N73" s="67"/>
      <c r="O73" s="67"/>
      <c r="P73" s="67">
        <f>fasada.f8</f>
        <v>169.07</v>
      </c>
      <c r="Q73" s="67">
        <f>fasada.F9</f>
        <v>285.3</v>
      </c>
      <c r="R73" s="67">
        <f>fasada.f10</f>
        <v>24.35</v>
      </c>
      <c r="S73" s="67">
        <f>fasada.f11</f>
        <v>149.27000000000001</v>
      </c>
      <c r="T73" s="67">
        <f>fasada.f12</f>
        <v>11.12</v>
      </c>
      <c r="U73" s="67"/>
      <c r="V73" s="67"/>
    </row>
    <row r="74" spans="2:22" x14ac:dyDescent="0.25">
      <c r="B74" s="63">
        <v>29</v>
      </c>
      <c r="C74" s="76" t="s">
        <v>248</v>
      </c>
      <c r="D74" s="77"/>
      <c r="E74" s="77"/>
      <c r="F74" s="77"/>
      <c r="G74" s="65">
        <f t="shared" si="2"/>
        <v>639.11</v>
      </c>
      <c r="H74" s="65"/>
      <c r="I74" s="67"/>
      <c r="J74" s="67"/>
      <c r="K74" s="67"/>
      <c r="L74" s="67"/>
      <c r="M74" s="67"/>
      <c r="N74" s="67"/>
      <c r="O74" s="67"/>
      <c r="P74" s="67">
        <f>fasada.f8</f>
        <v>169.07</v>
      </c>
      <c r="Q74" s="67">
        <f>fasada.F9</f>
        <v>285.3</v>
      </c>
      <c r="R74" s="67">
        <f>fasada.f10</f>
        <v>24.35</v>
      </c>
      <c r="S74" s="67">
        <f>fasada.f11</f>
        <v>149.27000000000001</v>
      </c>
      <c r="T74" s="67">
        <f>fasada.f12</f>
        <v>11.12</v>
      </c>
      <c r="U74" s="67"/>
      <c r="V74" s="67"/>
    </row>
    <row r="75" spans="2:22" x14ac:dyDescent="0.25">
      <c r="B75" s="63"/>
      <c r="C75" s="76"/>
      <c r="D75" s="77"/>
      <c r="E75" s="77"/>
      <c r="F75" s="77"/>
      <c r="G75" s="65" t="str">
        <f t="shared" si="2"/>
        <v/>
      </c>
      <c r="H75" s="65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67"/>
    </row>
  </sheetData>
  <mergeCells count="23">
    <mergeCell ref="G3:G5"/>
    <mergeCell ref="B3:B5"/>
    <mergeCell ref="C3:C5"/>
    <mergeCell ref="F3:F5"/>
    <mergeCell ref="E21:E25"/>
    <mergeCell ref="B38:B40"/>
    <mergeCell ref="G38:G40"/>
    <mergeCell ref="H38:H40"/>
    <mergeCell ref="I38:I40"/>
    <mergeCell ref="C38:F40"/>
    <mergeCell ref="J38:J40"/>
    <mergeCell ref="K38:K40"/>
    <mergeCell ref="L38:L40"/>
    <mergeCell ref="M38:M40"/>
    <mergeCell ref="N38:N40"/>
    <mergeCell ref="O38:O40"/>
    <mergeCell ref="P38:P40"/>
    <mergeCell ref="Q38:Q40"/>
    <mergeCell ref="U38:U40"/>
    <mergeCell ref="V38:V40"/>
    <mergeCell ref="R38:R40"/>
    <mergeCell ref="S38:S40"/>
    <mergeCell ref="T38:T40"/>
  </mergeCells>
  <phoneticPr fontId="16" type="noConversion"/>
  <conditionalFormatting sqref="G6:G18 G26:G34">
    <cfRule type="cellIs" dxfId="3" priority="4" operator="greaterThan">
      <formula>0</formula>
    </cfRule>
  </conditionalFormatting>
  <conditionalFormatting sqref="G19:G25">
    <cfRule type="cellIs" dxfId="2" priority="3" operator="greaterThan">
      <formula>0</formula>
    </cfRule>
  </conditionalFormatting>
  <conditionalFormatting sqref="G41:H41 G43:H75">
    <cfRule type="cellIs" dxfId="1" priority="2" operator="greaterThan">
      <formula>0</formula>
    </cfRule>
  </conditionalFormatting>
  <conditionalFormatting sqref="G42:H42">
    <cfRule type="cellIs" dxfId="0" priority="1" operator="greaterThan">
      <formula>0</formula>
    </cfRule>
  </conditionalFormatting>
  <pageMargins left="0.43307086614173229" right="0.23622047244094491" top="0.74803149606299213" bottom="0.74803149606299213" header="0.31496062992125984" footer="0.31496062992125984"/>
  <pageSetup paperSize="9" scale="70" fitToHeight="0" orientation="landscape" r:id="rId1"/>
  <headerFooter>
    <oddHeader>&amp;A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20</vt:i4>
      </vt:variant>
    </vt:vector>
  </HeadingPairs>
  <TitlesOfParts>
    <vt:vector size="22" baseType="lpstr">
      <vt:lpstr>A8_Fasáda</vt:lpstr>
      <vt:lpstr>A8_Rekapitulace</vt:lpstr>
      <vt:lpstr>fasada.F1</vt:lpstr>
      <vt:lpstr>fasada.f10</vt:lpstr>
      <vt:lpstr>fasada.f11</vt:lpstr>
      <vt:lpstr>fasada.f12</vt:lpstr>
      <vt:lpstr>fasada.F13</vt:lpstr>
      <vt:lpstr>fasada.F2</vt:lpstr>
      <vt:lpstr>fasada.F3</vt:lpstr>
      <vt:lpstr>fasada.F4_1</vt:lpstr>
      <vt:lpstr>fasada.F4_2</vt:lpstr>
      <vt:lpstr>fasada.F5_1</vt:lpstr>
      <vt:lpstr>fasada.F5_2</vt:lpstr>
      <vt:lpstr>fasada.F6</vt:lpstr>
      <vt:lpstr>fasada.F6_1</vt:lpstr>
      <vt:lpstr>fasada.F6_2</vt:lpstr>
      <vt:lpstr>fasada.F6_3</vt:lpstr>
      <vt:lpstr>fasada.F7</vt:lpstr>
      <vt:lpstr>fasada.F7_1</vt:lpstr>
      <vt:lpstr>fasada.f8</vt:lpstr>
      <vt:lpstr>fasada.F9</vt:lpstr>
      <vt:lpstr>A8_Fasáda!Názvy_tisku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Štefan Sivák</dc:creator>
  <cp:keywords/>
  <dc:description/>
  <cp:lastModifiedBy>Štefan Sivák</cp:lastModifiedBy>
  <cp:revision/>
  <cp:lastPrinted>2021-08-23T16:07:34Z</cp:lastPrinted>
  <dcterms:created xsi:type="dcterms:W3CDTF">2017-10-24T07:38:10Z</dcterms:created>
  <dcterms:modified xsi:type="dcterms:W3CDTF">2021-08-23T19:49:29Z</dcterms:modified>
  <cp:category/>
  <cp:contentStatus/>
</cp:coreProperties>
</file>