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81c447d7e734d44/Firma/Rozpočty/2021/02_Domov pro seniory Litomysl (Deltaplan Stepan)/rozpocet/_vypocty/"/>
    </mc:Choice>
  </mc:AlternateContent>
  <xr:revisionPtr revIDLastSave="2538" documentId="8_{F4B1AB52-EE30-46A8-896E-04E702B74922}" xr6:coauthVersionLast="47" xr6:coauthVersionMax="47" xr10:uidLastSave="{248DD50A-E6BA-4571-87CA-F2C9B393A7D6}"/>
  <bookViews>
    <workbookView xWindow="0" yWindow="0" windowWidth="25800" windowHeight="21000" tabRatio="888" xr2:uid="{F957F52A-736B-4987-B368-D2DF2DD827F2}"/>
  </bookViews>
  <sheets>
    <sheet name="A6_Vnitřní povrchy stěn" sheetId="23" r:id="rId1"/>
    <sheet name="A6_Rekapitulace" sheetId="24" r:id="rId2"/>
  </sheets>
  <definedNames>
    <definedName name="_xlnm._FilterDatabase" localSheetId="1" hidden="1">A6_Rekapitulace!#REF!</definedName>
    <definedName name="_xlnm._FilterDatabase" localSheetId="0" hidden="1">'A6_Vnitřní povrchy stěn'!$A$2:$U$825</definedName>
    <definedName name="_xlnm.Print_Titles" localSheetId="0">'A6_Vnitřní povrchy stěn'!$3:$9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25" i="23" l="1"/>
  <c r="S824" i="23"/>
  <c r="S823" i="23"/>
  <c r="S822" i="23"/>
  <c r="S821" i="23"/>
  <c r="S820" i="23"/>
  <c r="S819" i="23"/>
  <c r="S818" i="23"/>
  <c r="S817" i="23"/>
  <c r="S816" i="23"/>
  <c r="S815" i="23"/>
  <c r="S814" i="23"/>
  <c r="S813" i="23"/>
  <c r="S812" i="23"/>
  <c r="S811" i="23"/>
  <c r="S809" i="23"/>
  <c r="S808" i="23"/>
  <c r="S807" i="23"/>
  <c r="S806" i="23"/>
  <c r="S803" i="23"/>
  <c r="S802" i="23"/>
  <c r="S801" i="23"/>
  <c r="S797" i="23"/>
  <c r="S796" i="23"/>
  <c r="S794" i="23"/>
  <c r="S791" i="23"/>
  <c r="S790" i="23"/>
  <c r="S788" i="23"/>
  <c r="S785" i="23"/>
  <c r="S784" i="23"/>
  <c r="S783" i="23"/>
  <c r="S781" i="23"/>
  <c r="S780" i="23"/>
  <c r="S776" i="23"/>
  <c r="S775" i="23"/>
  <c r="S774" i="23"/>
  <c r="S772" i="23"/>
  <c r="S769" i="23"/>
  <c r="S768" i="23"/>
  <c r="S767" i="23"/>
  <c r="S765" i="23"/>
  <c r="S762" i="23"/>
  <c r="S761" i="23"/>
  <c r="S760" i="23"/>
  <c r="S756" i="23"/>
  <c r="S755" i="23"/>
  <c r="S753" i="23"/>
  <c r="S750" i="23"/>
  <c r="S749" i="23"/>
  <c r="S747" i="23"/>
  <c r="S744" i="23"/>
  <c r="S743" i="23"/>
  <c r="S741" i="23"/>
  <c r="S738" i="23"/>
  <c r="S737" i="23"/>
  <c r="S735" i="23"/>
  <c r="S732" i="23"/>
  <c r="S731" i="23"/>
  <c r="S729" i="23"/>
  <c r="S726" i="23"/>
  <c r="S725" i="23"/>
  <c r="S723" i="23"/>
  <c r="S720" i="23"/>
  <c r="S719" i="23"/>
  <c r="S718" i="23"/>
  <c r="S714" i="23"/>
  <c r="S713" i="23"/>
  <c r="S712" i="23"/>
  <c r="S707" i="23"/>
  <c r="S706" i="23"/>
  <c r="S705" i="23"/>
  <c r="S702" i="23"/>
  <c r="S701" i="23"/>
  <c r="S698" i="23"/>
  <c r="S697" i="23"/>
  <c r="S695" i="23"/>
  <c r="S694" i="23"/>
  <c r="S691" i="23"/>
  <c r="S690" i="23"/>
  <c r="S689" i="23"/>
  <c r="S686" i="23"/>
  <c r="S685" i="23"/>
  <c r="S684" i="23"/>
  <c r="S683" i="23"/>
  <c r="S682" i="23"/>
  <c r="S680" i="23"/>
  <c r="S679" i="23"/>
  <c r="S678" i="23"/>
  <c r="S677" i="23"/>
  <c r="S674" i="23"/>
  <c r="S670" i="23"/>
  <c r="S667" i="23"/>
  <c r="S665" i="23"/>
  <c r="S663" i="23"/>
  <c r="S660" i="23"/>
  <c r="S659" i="23"/>
  <c r="S658" i="23"/>
  <c r="S657" i="23"/>
  <c r="S656" i="23"/>
  <c r="S653" i="23"/>
  <c r="S652" i="23"/>
  <c r="S651" i="23"/>
  <c r="S650" i="23"/>
  <c r="S649" i="23"/>
  <c r="S646" i="23"/>
  <c r="S645" i="23"/>
  <c r="S644" i="23"/>
  <c r="S640" i="23"/>
  <c r="S639" i="23"/>
  <c r="S637" i="23"/>
  <c r="S634" i="23"/>
  <c r="S633" i="23"/>
  <c r="S631" i="23"/>
  <c r="S628" i="23"/>
  <c r="S627" i="23"/>
  <c r="S625" i="23"/>
  <c r="S622" i="23"/>
  <c r="S621" i="23"/>
  <c r="S619" i="23"/>
  <c r="S616" i="23"/>
  <c r="S615" i="23"/>
  <c r="S613" i="23"/>
  <c r="S610" i="23"/>
  <c r="S609" i="23"/>
  <c r="S607" i="23"/>
  <c r="S604" i="23"/>
  <c r="S603" i="23"/>
  <c r="S602" i="23"/>
  <c r="S600" i="23"/>
  <c r="S599" i="23"/>
  <c r="S595" i="23"/>
  <c r="S594" i="23"/>
  <c r="S592" i="23"/>
  <c r="S589" i="23"/>
  <c r="S588" i="23"/>
  <c r="S586" i="23"/>
  <c r="S583" i="23"/>
  <c r="S582" i="23"/>
  <c r="S580" i="23"/>
  <c r="S577" i="23"/>
  <c r="S576" i="23"/>
  <c r="S574" i="23"/>
  <c r="S571" i="23"/>
  <c r="S570" i="23"/>
  <c r="S569" i="23"/>
  <c r="S568" i="23"/>
  <c r="S565" i="23"/>
  <c r="S564" i="23"/>
  <c r="S563" i="23"/>
  <c r="S560" i="23"/>
  <c r="S559" i="23"/>
  <c r="S556" i="23"/>
  <c r="S555" i="23"/>
  <c r="S553" i="23"/>
  <c r="S549" i="23"/>
  <c r="S548" i="23"/>
  <c r="S547" i="23"/>
  <c r="S544" i="23"/>
  <c r="S543" i="23"/>
  <c r="S542" i="23"/>
  <c r="S541" i="23"/>
  <c r="S539" i="23"/>
  <c r="S538" i="23"/>
  <c r="S537" i="23"/>
  <c r="S536" i="23"/>
  <c r="S535" i="23"/>
  <c r="S534" i="23"/>
  <c r="S533" i="23"/>
  <c r="S532" i="23"/>
  <c r="S531" i="23"/>
  <c r="S530" i="23"/>
  <c r="S529" i="23"/>
  <c r="S528" i="23"/>
  <c r="S527" i="23"/>
  <c r="S526" i="23"/>
  <c r="S525" i="23"/>
  <c r="S524" i="23"/>
  <c r="S523" i="23"/>
  <c r="S522" i="23"/>
  <c r="S521" i="23"/>
  <c r="S520" i="23"/>
  <c r="S519" i="23"/>
  <c r="S517" i="23"/>
  <c r="S516" i="23"/>
  <c r="S515" i="23"/>
  <c r="S514" i="23"/>
  <c r="S513" i="23"/>
  <c r="S512" i="23"/>
  <c r="S511" i="23"/>
  <c r="S510" i="23"/>
  <c r="S509" i="23"/>
  <c r="S508" i="23"/>
  <c r="S505" i="23"/>
  <c r="S504" i="23"/>
  <c r="S503" i="23"/>
  <c r="S499" i="23"/>
  <c r="S498" i="23"/>
  <c r="S496" i="23"/>
  <c r="S493" i="23"/>
  <c r="S492" i="23"/>
  <c r="S490" i="23"/>
  <c r="S487" i="23"/>
  <c r="S486" i="23"/>
  <c r="S485" i="23"/>
  <c r="S483" i="23"/>
  <c r="S482" i="23"/>
  <c r="S478" i="23"/>
  <c r="S477" i="23"/>
  <c r="S476" i="23"/>
  <c r="S474" i="23"/>
  <c r="S471" i="23"/>
  <c r="S470" i="23"/>
  <c r="S469" i="23"/>
  <c r="S467" i="23"/>
  <c r="S464" i="23"/>
  <c r="S463" i="23"/>
  <c r="S462" i="23"/>
  <c r="S458" i="23"/>
  <c r="S457" i="23"/>
  <c r="S455" i="23"/>
  <c r="S452" i="23"/>
  <c r="S451" i="23"/>
  <c r="S449" i="23"/>
  <c r="S446" i="23"/>
  <c r="S445" i="23"/>
  <c r="S443" i="23"/>
  <c r="S440" i="23"/>
  <c r="S439" i="23"/>
  <c r="S437" i="23"/>
  <c r="S434" i="23"/>
  <c r="S433" i="23"/>
  <c r="S431" i="23"/>
  <c r="S428" i="23"/>
  <c r="S427" i="23"/>
  <c r="S425" i="23"/>
  <c r="S422" i="23"/>
  <c r="S421" i="23"/>
  <c r="S420" i="23"/>
  <c r="S416" i="23"/>
  <c r="S415" i="23"/>
  <c r="S414" i="23"/>
  <c r="S410" i="23"/>
  <c r="S409" i="23"/>
  <c r="S406" i="23"/>
  <c r="S405" i="23"/>
  <c r="S402" i="23"/>
  <c r="S401" i="23"/>
  <c r="S399" i="23"/>
  <c r="S396" i="23"/>
  <c r="S395" i="23"/>
  <c r="S391" i="23"/>
  <c r="S390" i="23"/>
  <c r="S389" i="23"/>
  <c r="S388" i="23"/>
  <c r="S387" i="23"/>
  <c r="S386" i="23"/>
  <c r="S385" i="23"/>
  <c r="S384" i="23"/>
  <c r="S383" i="23"/>
  <c r="S382" i="23"/>
  <c r="S379" i="23"/>
  <c r="S375" i="23"/>
  <c r="S372" i="23"/>
  <c r="S370" i="23"/>
  <c r="S368" i="23"/>
  <c r="S365" i="23"/>
  <c r="S364" i="23"/>
  <c r="S363" i="23"/>
  <c r="S362" i="23"/>
  <c r="S361" i="23"/>
  <c r="S358" i="23"/>
  <c r="S357" i="23"/>
  <c r="S356" i="23"/>
  <c r="S355" i="23"/>
  <c r="S354" i="23"/>
  <c r="S351" i="23"/>
  <c r="S350" i="23"/>
  <c r="S349" i="23"/>
  <c r="S345" i="23"/>
  <c r="S344" i="23"/>
  <c r="S342" i="23"/>
  <c r="S339" i="23"/>
  <c r="S338" i="23"/>
  <c r="S336" i="23"/>
  <c r="S333" i="23"/>
  <c r="S332" i="23"/>
  <c r="S330" i="23"/>
  <c r="S327" i="23"/>
  <c r="S326" i="23"/>
  <c r="S324" i="23"/>
  <c r="S321" i="23"/>
  <c r="S320" i="23"/>
  <c r="S318" i="23"/>
  <c r="S315" i="23"/>
  <c r="S314" i="23"/>
  <c r="S312" i="23"/>
  <c r="S309" i="23"/>
  <c r="S308" i="23"/>
  <c r="S307" i="23"/>
  <c r="S305" i="23"/>
  <c r="S304" i="23"/>
  <c r="S300" i="23"/>
  <c r="S299" i="23"/>
  <c r="S297" i="23"/>
  <c r="S294" i="23"/>
  <c r="S293" i="23"/>
  <c r="S291" i="23"/>
  <c r="S288" i="23"/>
  <c r="S287" i="23"/>
  <c r="S285" i="23"/>
  <c r="S282" i="23"/>
  <c r="S281" i="23"/>
  <c r="S279" i="23"/>
  <c r="S276" i="23"/>
  <c r="S275" i="23"/>
  <c r="S274" i="23"/>
  <c r="S273" i="23"/>
  <c r="S270" i="23"/>
  <c r="S269" i="23"/>
  <c r="S266" i="23"/>
  <c r="S265" i="23"/>
  <c r="S262" i="23"/>
  <c r="S261" i="23"/>
  <c r="S259" i="23"/>
  <c r="S256" i="23"/>
  <c r="S255" i="23"/>
  <c r="S251" i="23"/>
  <c r="S250" i="23"/>
  <c r="S249" i="23"/>
  <c r="S248" i="23"/>
  <c r="S247" i="23"/>
  <c r="S246" i="23"/>
  <c r="S245" i="23"/>
  <c r="S244" i="23"/>
  <c r="S243" i="23"/>
  <c r="S242" i="23"/>
  <c r="S241" i="23"/>
  <c r="S240" i="23"/>
  <c r="S239" i="23"/>
  <c r="S238" i="23"/>
  <c r="S237" i="23"/>
  <c r="S236" i="23"/>
  <c r="S235" i="23"/>
  <c r="S234" i="23"/>
  <c r="S233" i="23"/>
  <c r="S232" i="23"/>
  <c r="S231" i="23"/>
  <c r="S230" i="23"/>
  <c r="S229" i="23"/>
  <c r="S228" i="23"/>
  <c r="S227" i="23"/>
  <c r="S226" i="23"/>
  <c r="S225" i="23"/>
  <c r="S224" i="23"/>
  <c r="S223" i="23"/>
  <c r="S222" i="23"/>
  <c r="S221" i="23"/>
  <c r="S220" i="23"/>
  <c r="S219" i="23"/>
  <c r="S218" i="23"/>
  <c r="S217" i="23"/>
  <c r="S216" i="23"/>
  <c r="S215" i="23"/>
  <c r="S214" i="23"/>
  <c r="S213" i="23"/>
  <c r="S212" i="23"/>
  <c r="S211" i="23"/>
  <c r="S210" i="23"/>
  <c r="S209" i="23"/>
  <c r="S208" i="23"/>
  <c r="S207" i="23"/>
  <c r="S206" i="23"/>
  <c r="S205" i="23"/>
  <c r="S204" i="23"/>
  <c r="S203" i="23"/>
  <c r="S202" i="23"/>
  <c r="S201" i="23"/>
  <c r="S200" i="23"/>
  <c r="S199" i="23"/>
  <c r="S198" i="23"/>
  <c r="S197" i="23"/>
  <c r="S196" i="23"/>
  <c r="S195" i="23"/>
  <c r="S194" i="23"/>
  <c r="S193" i="23"/>
  <c r="S192" i="23"/>
  <c r="S191" i="23"/>
  <c r="S189" i="23"/>
  <c r="S188" i="23"/>
  <c r="S187" i="23"/>
  <c r="S186" i="23"/>
  <c r="S183" i="23"/>
  <c r="S182" i="23"/>
  <c r="S181" i="23"/>
  <c r="S180" i="23"/>
  <c r="S177" i="23"/>
  <c r="S175" i="23"/>
  <c r="S174" i="23"/>
  <c r="S173" i="23"/>
  <c r="S172" i="23"/>
  <c r="S171" i="23"/>
  <c r="S170" i="23"/>
  <c r="S168" i="23"/>
  <c r="S165" i="23"/>
  <c r="S164" i="23"/>
  <c r="S163" i="23"/>
  <c r="S162" i="23"/>
  <c r="S159" i="23"/>
  <c r="S155" i="23"/>
  <c r="S154" i="23"/>
  <c r="S150" i="23"/>
  <c r="S149" i="23"/>
  <c r="S145" i="23"/>
  <c r="S144" i="23"/>
  <c r="S141" i="23"/>
  <c r="S140" i="23"/>
  <c r="S138" i="23"/>
  <c r="S137" i="23"/>
  <c r="S136" i="23"/>
  <c r="S135" i="23"/>
  <c r="S134" i="23"/>
  <c r="S131" i="23"/>
  <c r="S130" i="23"/>
  <c r="S127" i="23"/>
  <c r="S126" i="23"/>
  <c r="S123" i="23"/>
  <c r="S122" i="23"/>
  <c r="S121" i="23"/>
  <c r="S120" i="23"/>
  <c r="S119" i="23"/>
  <c r="S118" i="23"/>
  <c r="S117" i="23"/>
  <c r="S116" i="23"/>
  <c r="S115" i="23"/>
  <c r="S113" i="23"/>
  <c r="S112" i="23"/>
  <c r="S111" i="23"/>
  <c r="S110" i="23"/>
  <c r="S109" i="23"/>
  <c r="S108" i="23"/>
  <c r="S107" i="23"/>
  <c r="S106" i="23"/>
  <c r="S105" i="23"/>
  <c r="S104" i="23"/>
  <c r="S103" i="23"/>
  <c r="S101" i="23"/>
  <c r="S99" i="23"/>
  <c r="S98" i="23"/>
  <c r="S97" i="23"/>
  <c r="S96" i="23"/>
  <c r="S95" i="23"/>
  <c r="S94" i="23"/>
  <c r="S93" i="23"/>
  <c r="S92" i="23"/>
  <c r="S91" i="23"/>
  <c r="S90" i="23"/>
  <c r="S89" i="23"/>
  <c r="S88" i="23"/>
  <c r="S87" i="23"/>
  <c r="S85" i="23"/>
  <c r="S83" i="23"/>
  <c r="S82" i="23"/>
  <c r="S81" i="23"/>
  <c r="S80" i="23"/>
  <c r="S78" i="23"/>
  <c r="S77" i="23"/>
  <c r="S75" i="23"/>
  <c r="S74" i="23"/>
  <c r="S72" i="23"/>
  <c r="S71" i="23"/>
  <c r="S70" i="23"/>
  <c r="S69" i="23"/>
  <c r="S68" i="23"/>
  <c r="S67" i="23"/>
  <c r="S66" i="23"/>
  <c r="S64" i="23"/>
  <c r="S61" i="23"/>
  <c r="S60" i="23"/>
  <c r="S59" i="23"/>
  <c r="S56" i="23"/>
  <c r="S54" i="23"/>
  <c r="S53" i="23"/>
  <c r="S52" i="23"/>
  <c r="S51" i="23"/>
  <c r="S48" i="23"/>
  <c r="S47" i="23"/>
  <c r="S44" i="23"/>
  <c r="S43" i="23"/>
  <c r="S40" i="23"/>
  <c r="S39" i="23"/>
  <c r="S36" i="23"/>
  <c r="S35" i="23"/>
  <c r="S34" i="23"/>
  <c r="S33" i="23"/>
  <c r="S32" i="23"/>
  <c r="S31" i="23"/>
  <c r="S28" i="23"/>
  <c r="S27" i="23"/>
  <c r="S26" i="23"/>
  <c r="S25" i="23"/>
  <c r="S24" i="23"/>
  <c r="S23" i="23"/>
  <c r="S22" i="23"/>
  <c r="S21" i="23"/>
  <c r="S20" i="23"/>
  <c r="S19" i="23"/>
  <c r="S17" i="23"/>
  <c r="S16" i="23"/>
  <c r="S15" i="23"/>
  <c r="S14" i="23"/>
  <c r="S13" i="23"/>
  <c r="S12" i="23"/>
  <c r="J824" i="23" l="1"/>
  <c r="J823" i="23"/>
  <c r="J822" i="23"/>
  <c r="J820" i="23"/>
  <c r="J818" i="23"/>
  <c r="J817" i="23"/>
  <c r="J816" i="23"/>
  <c r="J535" i="23"/>
  <c r="J534" i="23"/>
  <c r="J533" i="23"/>
  <c r="J531" i="23"/>
  <c r="J529" i="23"/>
  <c r="J528" i="23"/>
  <c r="J527" i="23"/>
  <c r="J242" i="23"/>
  <c r="J238" i="23"/>
  <c r="J235" i="23"/>
  <c r="J234" i="23"/>
  <c r="J233" i="23"/>
  <c r="J230" i="23"/>
  <c r="J229" i="23"/>
  <c r="J225" i="23"/>
  <c r="J224" i="23"/>
  <c r="J223" i="23"/>
  <c r="J222" i="23"/>
  <c r="J220" i="23"/>
  <c r="J219" i="23"/>
  <c r="J217" i="23"/>
  <c r="F14" i="24"/>
  <c r="F10" i="24"/>
  <c r="F7" i="24"/>
  <c r="J810" i="23" l="1"/>
  <c r="S810" i="23" s="1"/>
  <c r="J518" i="23"/>
  <c r="S518" i="23" s="1"/>
  <c r="J807" i="23"/>
  <c r="L709" i="23"/>
  <c r="J709" i="23"/>
  <c r="S709" i="23" s="1"/>
  <c r="L707" i="23"/>
  <c r="J706" i="23"/>
  <c r="J708" i="23" s="1"/>
  <c r="S708" i="23" s="1"/>
  <c r="J696" i="23"/>
  <c r="S696" i="23" s="1"/>
  <c r="L692" i="23"/>
  <c r="J692" i="23"/>
  <c r="J691" i="23"/>
  <c r="M687" i="23"/>
  <c r="M686" i="23"/>
  <c r="J686" i="23"/>
  <c r="J687" i="23" s="1"/>
  <c r="S687" i="23" s="1"/>
  <c r="M681" i="23"/>
  <c r="L682" i="23"/>
  <c r="J682" i="23"/>
  <c r="J681" i="23" s="1"/>
  <c r="S681" i="23" s="1"/>
  <c r="L565" i="23"/>
  <c r="J549" i="23"/>
  <c r="O551" i="23" s="1"/>
  <c r="S551" i="23" s="1"/>
  <c r="J550" i="23"/>
  <c r="J551" i="23"/>
  <c r="M546" i="23"/>
  <c r="M544" i="23"/>
  <c r="M250" i="23"/>
  <c r="M251" i="23"/>
  <c r="J544" i="23"/>
  <c r="J546" i="23" s="1"/>
  <c r="S546" i="23" s="1"/>
  <c r="M540" i="23"/>
  <c r="L541" i="23"/>
  <c r="J541" i="23"/>
  <c r="J540" i="23" s="1"/>
  <c r="S540" i="23" s="1"/>
  <c r="J245" i="23"/>
  <c r="J538" i="23"/>
  <c r="J813" i="23"/>
  <c r="M812" i="23"/>
  <c r="M809" i="23"/>
  <c r="R808" i="23"/>
  <c r="J808" i="23"/>
  <c r="M807" i="23"/>
  <c r="M806" i="23"/>
  <c r="L806" i="23"/>
  <c r="K805" i="23"/>
  <c r="K804" i="23"/>
  <c r="J804" i="23"/>
  <c r="S804" i="23" s="1"/>
  <c r="M802" i="23"/>
  <c r="J802" i="23"/>
  <c r="J805" i="23" s="1"/>
  <c r="S805" i="23" s="1"/>
  <c r="O801" i="23"/>
  <c r="M801" i="23"/>
  <c r="J801" i="23"/>
  <c r="J800" i="23" s="1"/>
  <c r="S800" i="23" s="1"/>
  <c r="O800" i="23"/>
  <c r="L800" i="23"/>
  <c r="K799" i="23"/>
  <c r="K798" i="23"/>
  <c r="J798" i="23"/>
  <c r="S798" i="23" s="1"/>
  <c r="M796" i="23"/>
  <c r="J796" i="23"/>
  <c r="J799" i="23" s="1"/>
  <c r="S799" i="23" s="1"/>
  <c r="O795" i="23"/>
  <c r="M795" i="23"/>
  <c r="O794" i="23"/>
  <c r="L794" i="23"/>
  <c r="J794" i="23"/>
  <c r="J795" i="23" s="1"/>
  <c r="S795" i="23" s="1"/>
  <c r="K793" i="23"/>
  <c r="K792" i="23"/>
  <c r="J792" i="23"/>
  <c r="S792" i="23" s="1"/>
  <c r="M790" i="23"/>
  <c r="J790" i="23"/>
  <c r="J793" i="23" s="1"/>
  <c r="S793" i="23" s="1"/>
  <c r="O789" i="23"/>
  <c r="M789" i="23"/>
  <c r="O788" i="23"/>
  <c r="L788" i="23"/>
  <c r="J788" i="23"/>
  <c r="K787" i="23"/>
  <c r="K786" i="23"/>
  <c r="J786" i="23"/>
  <c r="S786" i="23" s="1"/>
  <c r="M784" i="23"/>
  <c r="J784" i="23"/>
  <c r="J787" i="23" s="1"/>
  <c r="S787" i="23" s="1"/>
  <c r="O783" i="23"/>
  <c r="M783" i="23"/>
  <c r="J783" i="23"/>
  <c r="J782" i="23" s="1"/>
  <c r="S782" i="23" s="1"/>
  <c r="O782" i="23"/>
  <c r="L782" i="23"/>
  <c r="R780" i="23"/>
  <c r="M780" i="23"/>
  <c r="J780" i="23"/>
  <c r="J779" i="23" s="1"/>
  <c r="S779" i="23" s="1"/>
  <c r="R779" i="23"/>
  <c r="M779" i="23"/>
  <c r="K778" i="23"/>
  <c r="K777" i="23"/>
  <c r="J777" i="23"/>
  <c r="S777" i="23" s="1"/>
  <c r="M775" i="23"/>
  <c r="J775" i="23"/>
  <c r="J778" i="23" s="1"/>
  <c r="S778" i="23" s="1"/>
  <c r="O774" i="23"/>
  <c r="J774" i="23"/>
  <c r="J773" i="23" s="1"/>
  <c r="S773" i="23" s="1"/>
  <c r="O773" i="23"/>
  <c r="M773" i="23"/>
  <c r="L772" i="23"/>
  <c r="K771" i="23"/>
  <c r="K770" i="23"/>
  <c r="J770" i="23"/>
  <c r="S770" i="23" s="1"/>
  <c r="M768" i="23"/>
  <c r="J768" i="23"/>
  <c r="J771" i="23" s="1"/>
  <c r="S771" i="23" s="1"/>
  <c r="O767" i="23"/>
  <c r="J767" i="23"/>
  <c r="J766" i="23" s="1"/>
  <c r="S766" i="23" s="1"/>
  <c r="O766" i="23"/>
  <c r="M766" i="23"/>
  <c r="L765" i="23"/>
  <c r="K764" i="23"/>
  <c r="K763" i="23"/>
  <c r="J763" i="23"/>
  <c r="S763" i="23" s="1"/>
  <c r="M761" i="23"/>
  <c r="J761" i="23"/>
  <c r="J764" i="23" s="1"/>
  <c r="S764" i="23" s="1"/>
  <c r="O760" i="23"/>
  <c r="M760" i="23"/>
  <c r="J760" i="23"/>
  <c r="J759" i="23" s="1"/>
  <c r="S759" i="23" s="1"/>
  <c r="O759" i="23"/>
  <c r="L759" i="23"/>
  <c r="K758" i="23"/>
  <c r="K757" i="23"/>
  <c r="J757" i="23"/>
  <c r="S757" i="23" s="1"/>
  <c r="M755" i="23"/>
  <c r="J755" i="23"/>
  <c r="J758" i="23" s="1"/>
  <c r="S758" i="23" s="1"/>
  <c r="O754" i="23"/>
  <c r="M754" i="23"/>
  <c r="O753" i="23"/>
  <c r="L753" i="23"/>
  <c r="J753" i="23"/>
  <c r="J754" i="23" s="1"/>
  <c r="S754" i="23" s="1"/>
  <c r="K752" i="23"/>
  <c r="K751" i="23"/>
  <c r="J751" i="23"/>
  <c r="S751" i="23" s="1"/>
  <c r="M749" i="23"/>
  <c r="J749" i="23"/>
  <c r="J752" i="23" s="1"/>
  <c r="S752" i="23" s="1"/>
  <c r="O748" i="23"/>
  <c r="M748" i="23"/>
  <c r="O747" i="23"/>
  <c r="L747" i="23"/>
  <c r="J747" i="23"/>
  <c r="J748" i="23" s="1"/>
  <c r="S748" i="23" s="1"/>
  <c r="K746" i="23"/>
  <c r="K745" i="23"/>
  <c r="J745" i="23"/>
  <c r="S745" i="23" s="1"/>
  <c r="M743" i="23"/>
  <c r="J743" i="23"/>
  <c r="J746" i="23" s="1"/>
  <c r="S746" i="23" s="1"/>
  <c r="O742" i="23"/>
  <c r="M742" i="23"/>
  <c r="O741" i="23"/>
  <c r="L741" i="23"/>
  <c r="J741" i="23"/>
  <c r="J742" i="23" s="1"/>
  <c r="S742" i="23" s="1"/>
  <c r="K740" i="23"/>
  <c r="K739" i="23"/>
  <c r="J739" i="23"/>
  <c r="S739" i="23" s="1"/>
  <c r="M737" i="23"/>
  <c r="J737" i="23"/>
  <c r="J740" i="23" s="1"/>
  <c r="S740" i="23" s="1"/>
  <c r="O736" i="23"/>
  <c r="M736" i="23"/>
  <c r="O735" i="23"/>
  <c r="L735" i="23"/>
  <c r="J735" i="23"/>
  <c r="J736" i="23" s="1"/>
  <c r="S736" i="23" s="1"/>
  <c r="K734" i="23"/>
  <c r="K733" i="23"/>
  <c r="J733" i="23"/>
  <c r="S733" i="23" s="1"/>
  <c r="M731" i="23"/>
  <c r="J731" i="23"/>
  <c r="J734" i="23" s="1"/>
  <c r="S734" i="23" s="1"/>
  <c r="O730" i="23"/>
  <c r="M730" i="23"/>
  <c r="O729" i="23"/>
  <c r="L729" i="23"/>
  <c r="J729" i="23"/>
  <c r="J730" i="23" s="1"/>
  <c r="S730" i="23" s="1"/>
  <c r="K728" i="23"/>
  <c r="K727" i="23"/>
  <c r="J727" i="23"/>
  <c r="S727" i="23" s="1"/>
  <c r="M725" i="23"/>
  <c r="J725" i="23"/>
  <c r="J728" i="23" s="1"/>
  <c r="S728" i="23" s="1"/>
  <c r="O724" i="23"/>
  <c r="M724" i="23"/>
  <c r="O723" i="23"/>
  <c r="L723" i="23"/>
  <c r="J723" i="23"/>
  <c r="J724" i="23" s="1"/>
  <c r="S724" i="23" s="1"/>
  <c r="K722" i="23"/>
  <c r="K721" i="23"/>
  <c r="J721" i="23"/>
  <c r="S721" i="23" s="1"/>
  <c r="M719" i="23"/>
  <c r="J719" i="23"/>
  <c r="J722" i="23" s="1"/>
  <c r="S722" i="23" s="1"/>
  <c r="O718" i="23"/>
  <c r="M718" i="23"/>
  <c r="J718" i="23"/>
  <c r="O717" i="23"/>
  <c r="L717" i="23"/>
  <c r="K716" i="23"/>
  <c r="K715" i="23"/>
  <c r="J715" i="23"/>
  <c r="S715" i="23" s="1"/>
  <c r="M713" i="23"/>
  <c r="J713" i="23"/>
  <c r="J716" i="23" s="1"/>
  <c r="S716" i="23" s="1"/>
  <c r="O712" i="23"/>
  <c r="M712" i="23"/>
  <c r="J712" i="23"/>
  <c r="J711" i="23" s="1"/>
  <c r="S711" i="23" s="1"/>
  <c r="O711" i="23"/>
  <c r="L711" i="23"/>
  <c r="M706" i="23"/>
  <c r="J705" i="23"/>
  <c r="J710" i="23" s="1"/>
  <c r="S710" i="23" s="1"/>
  <c r="J703" i="23"/>
  <c r="S703" i="23" s="1"/>
  <c r="M702" i="23"/>
  <c r="J701" i="23"/>
  <c r="J704" i="23" s="1"/>
  <c r="S704" i="23" s="1"/>
  <c r="M698" i="23"/>
  <c r="J698" i="23"/>
  <c r="J699" i="23" s="1"/>
  <c r="S699" i="23" s="1"/>
  <c r="J697" i="23"/>
  <c r="J700" i="23" s="1"/>
  <c r="S700" i="23" s="1"/>
  <c r="M694" i="23"/>
  <c r="J693" i="23"/>
  <c r="M691" i="23"/>
  <c r="J690" i="23"/>
  <c r="O692" i="23" s="1"/>
  <c r="S692" i="23" s="1"/>
  <c r="K688" i="23"/>
  <c r="K687" i="23"/>
  <c r="J685" i="23"/>
  <c r="J688" i="23" s="1"/>
  <c r="S688" i="23" s="1"/>
  <c r="O684" i="23"/>
  <c r="M684" i="23"/>
  <c r="J684" i="23"/>
  <c r="M683" i="23"/>
  <c r="J683" i="23"/>
  <c r="N681" i="23"/>
  <c r="M680" i="23"/>
  <c r="J680" i="23"/>
  <c r="J679" i="23"/>
  <c r="M678" i="23"/>
  <c r="J678" i="23"/>
  <c r="J677" i="23"/>
  <c r="J676" i="23"/>
  <c r="S676" i="23" s="1"/>
  <c r="M673" i="23"/>
  <c r="J673" i="23"/>
  <c r="J672" i="23"/>
  <c r="S672" i="23" s="1"/>
  <c r="M669" i="23"/>
  <c r="J669" i="23"/>
  <c r="J668" i="23"/>
  <c r="S668" i="23" s="1"/>
  <c r="M667" i="23"/>
  <c r="J666" i="23"/>
  <c r="S666" i="23" s="1"/>
  <c r="M665" i="23"/>
  <c r="J664" i="23"/>
  <c r="S664" i="23" s="1"/>
  <c r="M663" i="23"/>
  <c r="K662" i="23"/>
  <c r="K661" i="23"/>
  <c r="J661" i="23"/>
  <c r="S661" i="23" s="1"/>
  <c r="M660" i="23"/>
  <c r="J659" i="23"/>
  <c r="J662" i="23" s="1"/>
  <c r="S662" i="23" s="1"/>
  <c r="O658" i="23"/>
  <c r="M658" i="23"/>
  <c r="J658" i="23"/>
  <c r="O657" i="23"/>
  <c r="M657" i="23"/>
  <c r="J657" i="23"/>
  <c r="L656" i="23"/>
  <c r="K655" i="23"/>
  <c r="K654" i="23"/>
  <c r="J654" i="23"/>
  <c r="S654" i="23" s="1"/>
  <c r="M652" i="23"/>
  <c r="J652" i="23"/>
  <c r="O651" i="23"/>
  <c r="J651" i="23"/>
  <c r="O650" i="23"/>
  <c r="M650" i="23"/>
  <c r="J650" i="23"/>
  <c r="L649" i="23"/>
  <c r="K648" i="23"/>
  <c r="K647" i="23"/>
  <c r="J647" i="23"/>
  <c r="S647" i="23" s="1"/>
  <c r="M645" i="23"/>
  <c r="J645" i="23"/>
  <c r="J648" i="23" s="1"/>
  <c r="S648" i="23" s="1"/>
  <c r="O644" i="23"/>
  <c r="M644" i="23"/>
  <c r="J644" i="23"/>
  <c r="J643" i="23" s="1"/>
  <c r="S643" i="23" s="1"/>
  <c r="O643" i="23"/>
  <c r="L643" i="23"/>
  <c r="K642" i="23"/>
  <c r="K641" i="23"/>
  <c r="J641" i="23"/>
  <c r="S641" i="23" s="1"/>
  <c r="M639" i="23"/>
  <c r="J639" i="23"/>
  <c r="J642" i="23" s="1"/>
  <c r="S642" i="23" s="1"/>
  <c r="O638" i="23"/>
  <c r="M638" i="23"/>
  <c r="O637" i="23"/>
  <c r="L637" i="23"/>
  <c r="J637" i="23"/>
  <c r="J638" i="23" s="1"/>
  <c r="S638" i="23" s="1"/>
  <c r="K636" i="23"/>
  <c r="K635" i="23"/>
  <c r="J635" i="23"/>
  <c r="S635" i="23" s="1"/>
  <c r="M633" i="23"/>
  <c r="J633" i="23"/>
  <c r="J636" i="23" s="1"/>
  <c r="S636" i="23" s="1"/>
  <c r="O632" i="23"/>
  <c r="M632" i="23"/>
  <c r="O631" i="23"/>
  <c r="L631" i="23"/>
  <c r="J631" i="23"/>
  <c r="K630" i="23"/>
  <c r="K629" i="23"/>
  <c r="J629" i="23"/>
  <c r="S629" i="23" s="1"/>
  <c r="M627" i="23"/>
  <c r="J627" i="23"/>
  <c r="J630" i="23" s="1"/>
  <c r="S630" i="23" s="1"/>
  <c r="O626" i="23"/>
  <c r="M626" i="23"/>
  <c r="O625" i="23"/>
  <c r="L625" i="23"/>
  <c r="J625" i="23"/>
  <c r="K624" i="23"/>
  <c r="K623" i="23"/>
  <c r="J623" i="23"/>
  <c r="S623" i="23" s="1"/>
  <c r="M621" i="23"/>
  <c r="J621" i="23"/>
  <c r="J624" i="23" s="1"/>
  <c r="S624" i="23" s="1"/>
  <c r="O620" i="23"/>
  <c r="M620" i="23"/>
  <c r="O619" i="23"/>
  <c r="L619" i="23"/>
  <c r="J619" i="23"/>
  <c r="J620" i="23" s="1"/>
  <c r="S620" i="23" s="1"/>
  <c r="K618" i="23"/>
  <c r="K617" i="23"/>
  <c r="J617" i="23"/>
  <c r="S617" i="23" s="1"/>
  <c r="M615" i="23"/>
  <c r="J615" i="23"/>
  <c r="J618" i="23" s="1"/>
  <c r="S618" i="23" s="1"/>
  <c r="O614" i="23"/>
  <c r="M614" i="23"/>
  <c r="O613" i="23"/>
  <c r="L613" i="23"/>
  <c r="J613" i="23"/>
  <c r="J614" i="23" s="1"/>
  <c r="S614" i="23" s="1"/>
  <c r="K612" i="23"/>
  <c r="K611" i="23"/>
  <c r="J611" i="23"/>
  <c r="S611" i="23" s="1"/>
  <c r="M609" i="23"/>
  <c r="J609" i="23"/>
  <c r="J612" i="23" s="1"/>
  <c r="S612" i="23" s="1"/>
  <c r="O608" i="23"/>
  <c r="M608" i="23"/>
  <c r="O607" i="23"/>
  <c r="L607" i="23"/>
  <c r="J607" i="23"/>
  <c r="J608" i="23" s="1"/>
  <c r="S608" i="23" s="1"/>
  <c r="K606" i="23"/>
  <c r="K605" i="23"/>
  <c r="J605" i="23"/>
  <c r="S605" i="23" s="1"/>
  <c r="M603" i="23"/>
  <c r="J603" i="23"/>
  <c r="J606" i="23" s="1"/>
  <c r="S606" i="23" s="1"/>
  <c r="O602" i="23"/>
  <c r="M602" i="23"/>
  <c r="J602" i="23"/>
  <c r="J601" i="23" s="1"/>
  <c r="S601" i="23" s="1"/>
  <c r="O601" i="23"/>
  <c r="L601" i="23"/>
  <c r="M599" i="23"/>
  <c r="J599" i="23"/>
  <c r="J598" i="23" s="1"/>
  <c r="S598" i="23" s="1"/>
  <c r="M598" i="23"/>
  <c r="K597" i="23"/>
  <c r="K596" i="23"/>
  <c r="J596" i="23"/>
  <c r="S596" i="23" s="1"/>
  <c r="M594" i="23"/>
  <c r="J594" i="23"/>
  <c r="J597" i="23" s="1"/>
  <c r="S597" i="23" s="1"/>
  <c r="O593" i="23"/>
  <c r="M593" i="23"/>
  <c r="O592" i="23"/>
  <c r="L592" i="23"/>
  <c r="J592" i="23"/>
  <c r="J593" i="23" s="1"/>
  <c r="S593" i="23" s="1"/>
  <c r="K591" i="23"/>
  <c r="K590" i="23"/>
  <c r="J590" i="23"/>
  <c r="S590" i="23" s="1"/>
  <c r="M588" i="23"/>
  <c r="J588" i="23"/>
  <c r="J591" i="23" s="1"/>
  <c r="S591" i="23" s="1"/>
  <c r="O587" i="23"/>
  <c r="M587" i="23"/>
  <c r="O586" i="23"/>
  <c r="L586" i="23"/>
  <c r="J586" i="23"/>
  <c r="J587" i="23" s="1"/>
  <c r="S587" i="23" s="1"/>
  <c r="K585" i="23"/>
  <c r="K584" i="23"/>
  <c r="J584" i="23"/>
  <c r="S584" i="23" s="1"/>
  <c r="M582" i="23"/>
  <c r="J582" i="23"/>
  <c r="O581" i="23"/>
  <c r="M581" i="23"/>
  <c r="O580" i="23"/>
  <c r="L580" i="23"/>
  <c r="J580" i="23"/>
  <c r="J581" i="23" s="1"/>
  <c r="S581" i="23" s="1"/>
  <c r="K579" i="23"/>
  <c r="K578" i="23"/>
  <c r="J578" i="23"/>
  <c r="S578" i="23" s="1"/>
  <c r="M576" i="23"/>
  <c r="J576" i="23"/>
  <c r="J579" i="23" s="1"/>
  <c r="S579" i="23" s="1"/>
  <c r="O575" i="23"/>
  <c r="M575" i="23"/>
  <c r="O574" i="23"/>
  <c r="L574" i="23"/>
  <c r="J574" i="23"/>
  <c r="K573" i="23"/>
  <c r="K572" i="23"/>
  <c r="J572" i="23"/>
  <c r="S572" i="23" s="1"/>
  <c r="M570" i="23"/>
  <c r="J570" i="23"/>
  <c r="J573" i="23" s="1"/>
  <c r="S573" i="23" s="1"/>
  <c r="O569" i="23"/>
  <c r="M569" i="23"/>
  <c r="J569" i="23"/>
  <c r="O568" i="23"/>
  <c r="L568" i="23"/>
  <c r="J568" i="23"/>
  <c r="K567" i="23"/>
  <c r="K566" i="23"/>
  <c r="M564" i="23"/>
  <c r="J566" i="23"/>
  <c r="S566" i="23" s="1"/>
  <c r="J563" i="23"/>
  <c r="J567" i="23" s="1"/>
  <c r="S567" i="23" s="1"/>
  <c r="K562" i="23"/>
  <c r="K561" i="23"/>
  <c r="M560" i="23"/>
  <c r="J560" i="23"/>
  <c r="J561" i="23" s="1"/>
  <c r="S561" i="23" s="1"/>
  <c r="J559" i="23"/>
  <c r="J562" i="23" s="1"/>
  <c r="S562" i="23" s="1"/>
  <c r="K558" i="23"/>
  <c r="K557" i="23"/>
  <c r="M556" i="23"/>
  <c r="J556" i="23"/>
  <c r="J557" i="23" s="1"/>
  <c r="S557" i="23" s="1"/>
  <c r="J555" i="23"/>
  <c r="J558" i="23" s="1"/>
  <c r="S558" i="23" s="1"/>
  <c r="J554" i="23"/>
  <c r="S554" i="23" s="1"/>
  <c r="M553" i="23"/>
  <c r="M550" i="23"/>
  <c r="J548" i="23"/>
  <c r="K546" i="23"/>
  <c r="K545" i="23"/>
  <c r="J545" i="23"/>
  <c r="S545" i="23" s="1"/>
  <c r="M542" i="23"/>
  <c r="J542" i="23"/>
  <c r="L539" i="23"/>
  <c r="J539" i="23"/>
  <c r="M538" i="23"/>
  <c r="O693" i="23"/>
  <c r="S693" i="23" s="1"/>
  <c r="O552" i="23"/>
  <c r="S552" i="23" s="1"/>
  <c r="K210" i="23"/>
  <c r="K525" i="23"/>
  <c r="K523" i="23"/>
  <c r="K524" i="23"/>
  <c r="J524" i="23"/>
  <c r="J521" i="23"/>
  <c r="M520" i="23"/>
  <c r="M517" i="23"/>
  <c r="R516" i="23"/>
  <c r="J516" i="23"/>
  <c r="M514" i="23"/>
  <c r="J514" i="23"/>
  <c r="M513" i="23"/>
  <c r="L513" i="23"/>
  <c r="M512" i="23"/>
  <c r="J508" i="23"/>
  <c r="K511" i="23"/>
  <c r="K510" i="23"/>
  <c r="K509" i="23"/>
  <c r="K508" i="23"/>
  <c r="K507" i="23"/>
  <c r="K506" i="23"/>
  <c r="J506" i="23"/>
  <c r="S506" i="23" s="1"/>
  <c r="M504" i="23"/>
  <c r="J504" i="23"/>
  <c r="J507" i="23" s="1"/>
  <c r="S507" i="23" s="1"/>
  <c r="O503" i="23"/>
  <c r="O502" i="23"/>
  <c r="J503" i="23"/>
  <c r="J502" i="23" s="1"/>
  <c r="S502" i="23" s="1"/>
  <c r="M503" i="23"/>
  <c r="L502" i="23"/>
  <c r="K501" i="23"/>
  <c r="K500" i="23"/>
  <c r="J500" i="23"/>
  <c r="S500" i="23" s="1"/>
  <c r="M498" i="23"/>
  <c r="J498" i="23"/>
  <c r="J501" i="23" s="1"/>
  <c r="S501" i="23" s="1"/>
  <c r="O497" i="23"/>
  <c r="J496" i="23"/>
  <c r="J497" i="23" s="1"/>
  <c r="S497" i="23" s="1"/>
  <c r="M497" i="23"/>
  <c r="O496" i="23"/>
  <c r="L496" i="23"/>
  <c r="K495" i="23"/>
  <c r="K494" i="23"/>
  <c r="J494" i="23"/>
  <c r="S494" i="23" s="1"/>
  <c r="M492" i="23"/>
  <c r="J492" i="23"/>
  <c r="J495" i="23" s="1"/>
  <c r="S495" i="23" s="1"/>
  <c r="O491" i="23"/>
  <c r="O490" i="23"/>
  <c r="L490" i="23"/>
  <c r="J490" i="23"/>
  <c r="J491" i="23" s="1"/>
  <c r="S491" i="23" s="1"/>
  <c r="M491" i="23"/>
  <c r="J486" i="23"/>
  <c r="J489" i="23" s="1"/>
  <c r="S489" i="23" s="1"/>
  <c r="K489" i="23"/>
  <c r="K488" i="23"/>
  <c r="J488" i="23"/>
  <c r="S488" i="23" s="1"/>
  <c r="M486" i="23"/>
  <c r="O484" i="23"/>
  <c r="O485" i="23"/>
  <c r="L484" i="23"/>
  <c r="J485" i="23"/>
  <c r="J484" i="23" s="1"/>
  <c r="S484" i="23" s="1"/>
  <c r="M485" i="23"/>
  <c r="O388" i="23"/>
  <c r="R481" i="23"/>
  <c r="R482" i="23"/>
  <c r="M481" i="23"/>
  <c r="M482" i="23"/>
  <c r="J482" i="23"/>
  <c r="J481" i="23" s="1"/>
  <c r="S481" i="23" s="1"/>
  <c r="K480" i="23"/>
  <c r="K479" i="23"/>
  <c r="J479" i="23"/>
  <c r="S479" i="23" s="1"/>
  <c r="M477" i="23"/>
  <c r="J477" i="23"/>
  <c r="J480" i="23" s="1"/>
  <c r="S480" i="23" s="1"/>
  <c r="J476" i="23"/>
  <c r="J475" i="23" s="1"/>
  <c r="S475" i="23" s="1"/>
  <c r="O476" i="23"/>
  <c r="O475" i="23"/>
  <c r="M475" i="23"/>
  <c r="L474" i="23"/>
  <c r="J470" i="23"/>
  <c r="J473" i="23" s="1"/>
  <c r="S473" i="23" s="1"/>
  <c r="K473" i="23"/>
  <c r="K472" i="23"/>
  <c r="J472" i="23"/>
  <c r="S472" i="23" s="1"/>
  <c r="M470" i="23"/>
  <c r="O468" i="23"/>
  <c r="O469" i="23"/>
  <c r="L467" i="23"/>
  <c r="J469" i="23"/>
  <c r="J468" i="23" s="1"/>
  <c r="S468" i="23" s="1"/>
  <c r="M468" i="23"/>
  <c r="J675" i="23" l="1"/>
  <c r="S675" i="23" s="1"/>
  <c r="S673" i="23"/>
  <c r="J671" i="23"/>
  <c r="S671" i="23" s="1"/>
  <c r="S669" i="23"/>
  <c r="J575" i="23"/>
  <c r="S575" i="23" s="1"/>
  <c r="J585" i="23"/>
  <c r="S585" i="23" s="1"/>
  <c r="J655" i="23"/>
  <c r="S655" i="23" s="1"/>
  <c r="J632" i="23"/>
  <c r="S632" i="23" s="1"/>
  <c r="J789" i="23"/>
  <c r="S789" i="23" s="1"/>
  <c r="J626" i="23"/>
  <c r="S626" i="23" s="1"/>
  <c r="J717" i="23"/>
  <c r="S717" i="23" s="1"/>
  <c r="O550" i="23"/>
  <c r="S550" i="23" s="1"/>
  <c r="K466" i="23"/>
  <c r="K465" i="23"/>
  <c r="J465" i="23"/>
  <c r="S465" i="23" s="1"/>
  <c r="M463" i="23"/>
  <c r="J463" i="23"/>
  <c r="J466" i="23" s="1"/>
  <c r="S466" i="23" s="1"/>
  <c r="O462" i="23"/>
  <c r="O461" i="23"/>
  <c r="L461" i="23"/>
  <c r="J462" i="23"/>
  <c r="M462" i="23"/>
  <c r="J457" i="23"/>
  <c r="K460" i="23"/>
  <c r="K459" i="23"/>
  <c r="J459" i="23"/>
  <c r="S459" i="23" s="1"/>
  <c r="M457" i="23"/>
  <c r="O456" i="23"/>
  <c r="O455" i="23"/>
  <c r="J455" i="23"/>
  <c r="J456" i="23" s="1"/>
  <c r="S456" i="23" s="1"/>
  <c r="M456" i="23"/>
  <c r="L455" i="23"/>
  <c r="K454" i="23"/>
  <c r="K453" i="23"/>
  <c r="J453" i="23"/>
  <c r="S453" i="23" s="1"/>
  <c r="M451" i="23"/>
  <c r="J451" i="23"/>
  <c r="J454" i="23" s="1"/>
  <c r="S454" i="23" s="1"/>
  <c r="O450" i="23"/>
  <c r="M450" i="23"/>
  <c r="O449" i="23"/>
  <c r="L449" i="23"/>
  <c r="J449" i="23"/>
  <c r="J450" i="23" s="1"/>
  <c r="S450" i="23" s="1"/>
  <c r="K448" i="23"/>
  <c r="K447" i="23"/>
  <c r="J447" i="23"/>
  <c r="S447" i="23" s="1"/>
  <c r="M445" i="23"/>
  <c r="J445" i="23"/>
  <c r="J448" i="23" s="1"/>
  <c r="S448" i="23" s="1"/>
  <c r="O444" i="23"/>
  <c r="M444" i="23"/>
  <c r="O443" i="23"/>
  <c r="L443" i="23"/>
  <c r="J443" i="23"/>
  <c r="K442" i="23"/>
  <c r="K441" i="23"/>
  <c r="J441" i="23"/>
  <c r="S441" i="23" s="1"/>
  <c r="M439" i="23"/>
  <c r="J439" i="23"/>
  <c r="J442" i="23" s="1"/>
  <c r="S442" i="23" s="1"/>
  <c r="J437" i="23"/>
  <c r="O438" i="23"/>
  <c r="M438" i="23"/>
  <c r="O437" i="23"/>
  <c r="L437" i="23"/>
  <c r="K436" i="23"/>
  <c r="K435" i="23"/>
  <c r="J435" i="23"/>
  <c r="S435" i="23" s="1"/>
  <c r="M433" i="23"/>
  <c r="J433" i="23"/>
  <c r="J436" i="23" s="1"/>
  <c r="S436" i="23" s="1"/>
  <c r="O432" i="23"/>
  <c r="J431" i="23"/>
  <c r="M432" i="23"/>
  <c r="O431" i="23"/>
  <c r="L431" i="23"/>
  <c r="J427" i="23"/>
  <c r="J430" i="23" s="1"/>
  <c r="S430" i="23" s="1"/>
  <c r="K430" i="23"/>
  <c r="K429" i="23"/>
  <c r="J429" i="23"/>
  <c r="S429" i="23" s="1"/>
  <c r="M427" i="23"/>
  <c r="O426" i="23"/>
  <c r="O425" i="23"/>
  <c r="L425" i="23"/>
  <c r="J425" i="23"/>
  <c r="J426" i="23" s="1"/>
  <c r="S426" i="23" s="1"/>
  <c r="M426" i="23"/>
  <c r="K424" i="23"/>
  <c r="K423" i="23"/>
  <c r="J423" i="23"/>
  <c r="S423" i="23" s="1"/>
  <c r="M421" i="23"/>
  <c r="J421" i="23"/>
  <c r="J424" i="23" s="1"/>
  <c r="S424" i="23" s="1"/>
  <c r="O420" i="23"/>
  <c r="L419" i="23"/>
  <c r="J420" i="23"/>
  <c r="M420" i="23"/>
  <c r="O419" i="23"/>
  <c r="J417" i="23"/>
  <c r="S417" i="23" s="1"/>
  <c r="J415" i="23"/>
  <c r="K418" i="23"/>
  <c r="K417" i="23"/>
  <c r="M415" i="23"/>
  <c r="O414" i="23"/>
  <c r="O413" i="23"/>
  <c r="M355" i="23"/>
  <c r="M349" i="23"/>
  <c r="M343" i="23"/>
  <c r="M337" i="23"/>
  <c r="M331" i="23"/>
  <c r="M325" i="23"/>
  <c r="M319" i="23"/>
  <c r="M313" i="23"/>
  <c r="M307" i="23"/>
  <c r="M292" i="23"/>
  <c r="M298" i="23"/>
  <c r="M286" i="23"/>
  <c r="M280" i="23"/>
  <c r="M414" i="23"/>
  <c r="L413" i="23"/>
  <c r="J414" i="23"/>
  <c r="J413" i="23" s="1"/>
  <c r="S413" i="23" s="1"/>
  <c r="L410" i="23"/>
  <c r="M410" i="23"/>
  <c r="J410" i="23"/>
  <c r="J411" i="23" s="1"/>
  <c r="S411" i="23" s="1"/>
  <c r="J409" i="23"/>
  <c r="M406" i="23"/>
  <c r="J407" i="23"/>
  <c r="S407" i="23" s="1"/>
  <c r="J405" i="23"/>
  <c r="J408" i="23" s="1"/>
  <c r="S408" i="23" s="1"/>
  <c r="M402" i="23"/>
  <c r="J402" i="23"/>
  <c r="J403" i="23" s="1"/>
  <c r="S403" i="23" s="1"/>
  <c r="J401" i="23"/>
  <c r="J404" i="23" s="1"/>
  <c r="S404" i="23" s="1"/>
  <c r="M399" i="23"/>
  <c r="J399" i="23"/>
  <c r="J400" i="23" s="1"/>
  <c r="S400" i="23" s="1"/>
  <c r="M397" i="23"/>
  <c r="L397" i="23"/>
  <c r="J397" i="23"/>
  <c r="J398" i="23"/>
  <c r="J396" i="23"/>
  <c r="O397" i="23" s="1"/>
  <c r="S397" i="23" s="1"/>
  <c r="M393" i="23"/>
  <c r="M392" i="23"/>
  <c r="J393" i="23"/>
  <c r="S393" i="23" s="1"/>
  <c r="J392" i="23"/>
  <c r="S392" i="23" s="1"/>
  <c r="K394" i="23"/>
  <c r="K393" i="23"/>
  <c r="K392" i="23"/>
  <c r="M391" i="23"/>
  <c r="M390" i="23"/>
  <c r="J389" i="23"/>
  <c r="J394" i="23" s="1"/>
  <c r="S394" i="23" s="1"/>
  <c r="J102" i="23"/>
  <c r="S102" i="23" s="1"/>
  <c r="M102" i="23"/>
  <c r="M386" i="23"/>
  <c r="N386" i="23"/>
  <c r="L386" i="23"/>
  <c r="M385" i="23"/>
  <c r="M388" i="23"/>
  <c r="J388" i="23"/>
  <c r="M387" i="23"/>
  <c r="J382" i="23"/>
  <c r="J387" i="23"/>
  <c r="J385" i="23"/>
  <c r="J384" i="23"/>
  <c r="M383" i="23"/>
  <c r="J383" i="23"/>
  <c r="O398" i="23"/>
  <c r="S398" i="23" s="1"/>
  <c r="J378" i="23"/>
  <c r="J381" i="23"/>
  <c r="S381" i="23" s="1"/>
  <c r="M378" i="23"/>
  <c r="J377" i="23"/>
  <c r="S377" i="23" s="1"/>
  <c r="M374" i="23"/>
  <c r="J374" i="23"/>
  <c r="J373" i="23"/>
  <c r="S373" i="23" s="1"/>
  <c r="M372" i="23"/>
  <c r="M370" i="23"/>
  <c r="J371" i="23"/>
  <c r="S371" i="23" s="1"/>
  <c r="M368" i="23"/>
  <c r="J369" i="23"/>
  <c r="S369" i="23" s="1"/>
  <c r="M365" i="23"/>
  <c r="K367" i="23"/>
  <c r="K366" i="23"/>
  <c r="J366" i="23"/>
  <c r="S366" i="23" s="1"/>
  <c r="J364" i="23"/>
  <c r="O362" i="23"/>
  <c r="O363" i="23"/>
  <c r="M363" i="23"/>
  <c r="J363" i="23"/>
  <c r="M362" i="23"/>
  <c r="J362" i="23"/>
  <c r="L361" i="23"/>
  <c r="J357" i="23"/>
  <c r="J360" i="23" s="1"/>
  <c r="S360" i="23" s="1"/>
  <c r="K360" i="23"/>
  <c r="K359" i="23"/>
  <c r="J359" i="23"/>
  <c r="S359" i="23" s="1"/>
  <c r="M357" i="23"/>
  <c r="O356" i="23"/>
  <c r="J356" i="23"/>
  <c r="O355" i="23"/>
  <c r="J355" i="23"/>
  <c r="L354" i="23"/>
  <c r="K353" i="23"/>
  <c r="K352" i="23"/>
  <c r="J352" i="23"/>
  <c r="S352" i="23" s="1"/>
  <c r="M350" i="23"/>
  <c r="J350" i="23"/>
  <c r="O348" i="23"/>
  <c r="O349" i="23"/>
  <c r="L348" i="23"/>
  <c r="J349" i="23"/>
  <c r="J348" i="23" s="1"/>
  <c r="S348" i="23" s="1"/>
  <c r="K347" i="23"/>
  <c r="K346" i="23"/>
  <c r="J346" i="23"/>
  <c r="S346" i="23" s="1"/>
  <c r="M344" i="23"/>
  <c r="J344" i="23"/>
  <c r="O343" i="23"/>
  <c r="O342" i="23"/>
  <c r="L342" i="23"/>
  <c r="J342" i="23"/>
  <c r="J343" i="23" s="1"/>
  <c r="S343" i="23" s="1"/>
  <c r="K341" i="23"/>
  <c r="K340" i="23"/>
  <c r="J340" i="23"/>
  <c r="S340" i="23" s="1"/>
  <c r="M338" i="23"/>
  <c r="J338" i="23"/>
  <c r="J341" i="23" s="1"/>
  <c r="S341" i="23" s="1"/>
  <c r="O337" i="23"/>
  <c r="O336" i="23"/>
  <c r="L336" i="23"/>
  <c r="J336" i="23"/>
  <c r="J337" i="23" s="1"/>
  <c r="S337" i="23" s="1"/>
  <c r="K335" i="23"/>
  <c r="K334" i="23"/>
  <c r="J334" i="23"/>
  <c r="S334" i="23" s="1"/>
  <c r="M332" i="23"/>
  <c r="J332" i="23"/>
  <c r="J335" i="23" s="1"/>
  <c r="S335" i="23" s="1"/>
  <c r="O331" i="23"/>
  <c r="O330" i="23"/>
  <c r="L330" i="23"/>
  <c r="J330" i="23"/>
  <c r="J331" i="23" s="1"/>
  <c r="S331" i="23" s="1"/>
  <c r="K329" i="23"/>
  <c r="K328" i="23"/>
  <c r="J328" i="23"/>
  <c r="S328" i="23" s="1"/>
  <c r="M326" i="23"/>
  <c r="J326" i="23"/>
  <c r="J329" i="23" s="1"/>
  <c r="S329" i="23" s="1"/>
  <c r="O325" i="23"/>
  <c r="O324" i="23"/>
  <c r="L324" i="23"/>
  <c r="J324" i="23"/>
  <c r="J325" i="23" s="1"/>
  <c r="S325" i="23" s="1"/>
  <c r="K323" i="23"/>
  <c r="K322" i="23"/>
  <c r="J322" i="23"/>
  <c r="S322" i="23" s="1"/>
  <c r="M320" i="23"/>
  <c r="J320" i="23"/>
  <c r="J323" i="23" s="1"/>
  <c r="S323" i="23" s="1"/>
  <c r="O319" i="23"/>
  <c r="O318" i="23"/>
  <c r="L318" i="23"/>
  <c r="J318" i="23"/>
  <c r="K317" i="23"/>
  <c r="K316" i="23"/>
  <c r="J316" i="23"/>
  <c r="S316" i="23" s="1"/>
  <c r="M314" i="23"/>
  <c r="J314" i="23"/>
  <c r="J317" i="23" s="1"/>
  <c r="S317" i="23" s="1"/>
  <c r="O313" i="23"/>
  <c r="J312" i="23"/>
  <c r="O312" i="23"/>
  <c r="L312" i="23"/>
  <c r="K311" i="23"/>
  <c r="K310" i="23"/>
  <c r="J310" i="23"/>
  <c r="S310" i="23" s="1"/>
  <c r="M308" i="23"/>
  <c r="J308" i="23"/>
  <c r="J311" i="23" s="1"/>
  <c r="S311" i="23" s="1"/>
  <c r="O306" i="23"/>
  <c r="O307" i="23"/>
  <c r="L306" i="23"/>
  <c r="J307" i="23"/>
  <c r="J306" i="23" s="1"/>
  <c r="S306" i="23" s="1"/>
  <c r="J304" i="23"/>
  <c r="J303" i="23" s="1"/>
  <c r="S303" i="23" s="1"/>
  <c r="M304" i="23"/>
  <c r="M303" i="23"/>
  <c r="K302" i="23"/>
  <c r="K301" i="23"/>
  <c r="J301" i="23"/>
  <c r="S301" i="23" s="1"/>
  <c r="M299" i="23"/>
  <c r="J299" i="23"/>
  <c r="J302" i="23" s="1"/>
  <c r="S302" i="23" s="1"/>
  <c r="O298" i="23"/>
  <c r="J297" i="23"/>
  <c r="J298" i="23" s="1"/>
  <c r="S298" i="23" s="1"/>
  <c r="O297" i="23"/>
  <c r="L297" i="23"/>
  <c r="K296" i="23"/>
  <c r="K295" i="23"/>
  <c r="J295" i="23"/>
  <c r="S295" i="23" s="1"/>
  <c r="M293" i="23"/>
  <c r="J293" i="23"/>
  <c r="J296" i="23" s="1"/>
  <c r="S296" i="23" s="1"/>
  <c r="O292" i="23"/>
  <c r="O291" i="23"/>
  <c r="L291" i="23"/>
  <c r="J291" i="23"/>
  <c r="J292" i="23" s="1"/>
  <c r="S292" i="23" s="1"/>
  <c r="K290" i="23"/>
  <c r="K289" i="23"/>
  <c r="J289" i="23"/>
  <c r="S289" i="23" s="1"/>
  <c r="M287" i="23"/>
  <c r="J287" i="23"/>
  <c r="J290" i="23" s="1"/>
  <c r="S290" i="23" s="1"/>
  <c r="O286" i="23"/>
  <c r="O285" i="23"/>
  <c r="L285" i="23"/>
  <c r="J285" i="23"/>
  <c r="J286" i="23" s="1"/>
  <c r="S286" i="23" s="1"/>
  <c r="K284" i="23"/>
  <c r="K283" i="23"/>
  <c r="J283" i="23"/>
  <c r="S283" i="23" s="1"/>
  <c r="M281" i="23"/>
  <c r="J281" i="23"/>
  <c r="J284" i="23" s="1"/>
  <c r="S284" i="23" s="1"/>
  <c r="O280" i="23"/>
  <c r="O279" i="23"/>
  <c r="L279" i="23"/>
  <c r="J279" i="23"/>
  <c r="J280" i="23" s="1"/>
  <c r="S280" i="23" s="1"/>
  <c r="J380" i="23" l="1"/>
  <c r="S380" i="23" s="1"/>
  <c r="S378" i="23"/>
  <c r="J376" i="23"/>
  <c r="S376" i="23" s="1"/>
  <c r="S374" i="23"/>
  <c r="J412" i="23"/>
  <c r="S412" i="23" s="1"/>
  <c r="J419" i="23"/>
  <c r="S419" i="23" s="1"/>
  <c r="J444" i="23"/>
  <c r="S444" i="23" s="1"/>
  <c r="J432" i="23"/>
  <c r="S432" i="23" s="1"/>
  <c r="J461" i="23"/>
  <c r="S461" i="23" s="1"/>
  <c r="J418" i="23"/>
  <c r="S418" i="23" s="1"/>
  <c r="J438" i="23"/>
  <c r="S438" i="23" s="1"/>
  <c r="J460" i="23"/>
  <c r="S460" i="23" s="1"/>
  <c r="J353" i="23"/>
  <c r="S353" i="23" s="1"/>
  <c r="J367" i="23"/>
  <c r="S367" i="23" s="1"/>
  <c r="J347" i="23"/>
  <c r="S347" i="23" s="1"/>
  <c r="J313" i="23"/>
  <c r="S313" i="23" s="1"/>
  <c r="J319" i="23"/>
  <c r="S319" i="23" s="1"/>
  <c r="J277" i="23"/>
  <c r="S277" i="23" s="1"/>
  <c r="K278" i="23"/>
  <c r="K277" i="23"/>
  <c r="M275" i="23"/>
  <c r="J275" i="23"/>
  <c r="J278" i="23" s="1"/>
  <c r="S278" i="23" s="1"/>
  <c r="M274" i="23"/>
  <c r="O274" i="23"/>
  <c r="J274" i="23"/>
  <c r="L273" i="23"/>
  <c r="O273" i="23"/>
  <c r="J273" i="23"/>
  <c r="L270" i="23"/>
  <c r="M270" i="23"/>
  <c r="J270" i="23"/>
  <c r="J271" i="23" s="1"/>
  <c r="S271" i="23" s="1"/>
  <c r="J269" i="23"/>
  <c r="J272" i="23" s="1"/>
  <c r="S272" i="23" s="1"/>
  <c r="K272" i="23"/>
  <c r="K271" i="23"/>
  <c r="M266" i="23"/>
  <c r="J265" i="23"/>
  <c r="J268" i="23" s="1"/>
  <c r="S268" i="23" s="1"/>
  <c r="J266" i="23"/>
  <c r="J267" i="23" s="1"/>
  <c r="S267" i="23" s="1"/>
  <c r="K268" i="23"/>
  <c r="K267" i="23"/>
  <c r="K264" i="23"/>
  <c r="K263" i="23"/>
  <c r="M262" i="23"/>
  <c r="J261" i="23"/>
  <c r="J264" i="23" s="1"/>
  <c r="S264" i="23" s="1"/>
  <c r="J262" i="23"/>
  <c r="J263" i="23" s="1"/>
  <c r="S263" i="23" s="1"/>
  <c r="J260" i="23"/>
  <c r="S260" i="23" s="1"/>
  <c r="M259" i="23"/>
  <c r="L257" i="23"/>
  <c r="J257" i="23"/>
  <c r="M257" i="23"/>
  <c r="J256" i="23"/>
  <c r="M253" i="23"/>
  <c r="K254" i="23"/>
  <c r="J252" i="23"/>
  <c r="S252" i="23" s="1"/>
  <c r="K253" i="23"/>
  <c r="K252" i="23"/>
  <c r="J250" i="23"/>
  <c r="J251" i="23"/>
  <c r="M248" i="23"/>
  <c r="J248" i="23"/>
  <c r="J246" i="23"/>
  <c r="L247" i="23"/>
  <c r="J247" i="23"/>
  <c r="M247" i="23"/>
  <c r="L246" i="23"/>
  <c r="M245" i="23"/>
  <c r="P214" i="23"/>
  <c r="P213" i="23"/>
  <c r="M214" i="23"/>
  <c r="M213" i="23"/>
  <c r="P212" i="23"/>
  <c r="P211" i="23"/>
  <c r="M212" i="23"/>
  <c r="M211" i="23"/>
  <c r="J214" i="23"/>
  <c r="J212" i="23"/>
  <c r="J213" i="23"/>
  <c r="J211" i="23"/>
  <c r="K212" i="23"/>
  <c r="K214" i="23"/>
  <c r="K213" i="23"/>
  <c r="K211" i="23"/>
  <c r="O210" i="23"/>
  <c r="J210" i="23"/>
  <c r="K209" i="23"/>
  <c r="J208" i="23"/>
  <c r="K208" i="23"/>
  <c r="K207" i="23"/>
  <c r="J205" i="23"/>
  <c r="K206" i="23"/>
  <c r="K205" i="23"/>
  <c r="K204" i="23"/>
  <c r="K203" i="23"/>
  <c r="N202" i="23"/>
  <c r="K202" i="23"/>
  <c r="K201" i="23"/>
  <c r="P199" i="23"/>
  <c r="N199" i="23"/>
  <c r="J198" i="23"/>
  <c r="M198" i="23"/>
  <c r="O197" i="23"/>
  <c r="L197" i="23"/>
  <c r="J197" i="23"/>
  <c r="K197" i="23"/>
  <c r="K196" i="23"/>
  <c r="J195" i="23"/>
  <c r="K195" i="23"/>
  <c r="K194" i="23"/>
  <c r="M191" i="23"/>
  <c r="J254" i="23" l="1"/>
  <c r="S254" i="23" s="1"/>
  <c r="J253" i="23"/>
  <c r="S253" i="23" s="1"/>
  <c r="M189" i="23"/>
  <c r="J189" i="23"/>
  <c r="J190" i="23" s="1"/>
  <c r="S190" i="23" s="1"/>
  <c r="K190" i="23"/>
  <c r="M188" i="23"/>
  <c r="J188" i="23"/>
  <c r="M187" i="23"/>
  <c r="M186" i="23"/>
  <c r="J187" i="23"/>
  <c r="P184" i="23"/>
  <c r="L184" i="23"/>
  <c r="M184" i="23"/>
  <c r="J184" i="23"/>
  <c r="J185" i="23"/>
  <c r="M181" i="23"/>
  <c r="J181" i="23"/>
  <c r="J180" i="23"/>
  <c r="J178" i="23"/>
  <c r="S178" i="23" s="1"/>
  <c r="K179" i="23"/>
  <c r="K178" i="23"/>
  <c r="M176" i="23"/>
  <c r="J176" i="23"/>
  <c r="M175" i="23"/>
  <c r="J175" i="23"/>
  <c r="M173" i="23"/>
  <c r="J173" i="23"/>
  <c r="M168" i="23"/>
  <c r="O168" i="23"/>
  <c r="M169" i="23"/>
  <c r="J169" i="23"/>
  <c r="S169" i="23" s="1"/>
  <c r="L170" i="23"/>
  <c r="M170" i="23"/>
  <c r="J168" i="23"/>
  <c r="O184" i="23"/>
  <c r="S184" i="23" s="1"/>
  <c r="O185" i="23"/>
  <c r="S185" i="23" s="1"/>
  <c r="J166" i="23"/>
  <c r="S166" i="23" s="1"/>
  <c r="K167" i="23"/>
  <c r="K166" i="23"/>
  <c r="M165" i="23"/>
  <c r="J164" i="23"/>
  <c r="J167" i="23" s="1"/>
  <c r="S167" i="23" s="1"/>
  <c r="M162" i="23"/>
  <c r="M163" i="23"/>
  <c r="J162" i="23"/>
  <c r="K161" i="23"/>
  <c r="K160" i="23"/>
  <c r="M158" i="23"/>
  <c r="M159" i="23"/>
  <c r="J159" i="23"/>
  <c r="J160" i="23" s="1"/>
  <c r="S160" i="23" s="1"/>
  <c r="K157" i="23"/>
  <c r="K156" i="23"/>
  <c r="M153" i="23"/>
  <c r="L155" i="23"/>
  <c r="M155" i="23"/>
  <c r="M154" i="23"/>
  <c r="J154" i="23"/>
  <c r="J156" i="23" s="1"/>
  <c r="S156" i="23" s="1"/>
  <c r="J151" i="23"/>
  <c r="S151" i="23" s="1"/>
  <c r="K152" i="23"/>
  <c r="K151" i="23"/>
  <c r="M148" i="23"/>
  <c r="Q150" i="23"/>
  <c r="J150" i="23"/>
  <c r="J148" i="23"/>
  <c r="O149" i="23"/>
  <c r="J146" i="23"/>
  <c r="S146" i="23" s="1"/>
  <c r="K147" i="23"/>
  <c r="K146" i="23"/>
  <c r="M144" i="23"/>
  <c r="J144" i="23"/>
  <c r="J147" i="23" s="1"/>
  <c r="S147" i="23" s="1"/>
  <c r="J142" i="23"/>
  <c r="S142" i="23" s="1"/>
  <c r="K143" i="23"/>
  <c r="K142" i="23"/>
  <c r="M140" i="23"/>
  <c r="J140" i="23"/>
  <c r="J143" i="23" s="1"/>
  <c r="S143" i="23" s="1"/>
  <c r="M139" i="23"/>
  <c r="L138" i="23"/>
  <c r="J138" i="23"/>
  <c r="M137" i="23"/>
  <c r="J137" i="23"/>
  <c r="M135" i="23"/>
  <c r="J135" i="23"/>
  <c r="M130" i="23"/>
  <c r="J130" i="23"/>
  <c r="J133" i="23" s="1"/>
  <c r="S133" i="23" s="1"/>
  <c r="K133" i="23"/>
  <c r="K132" i="23"/>
  <c r="J132" i="23"/>
  <c r="S132" i="23" s="1"/>
  <c r="M126" i="23"/>
  <c r="J126" i="23"/>
  <c r="J129" i="23" s="1"/>
  <c r="S129" i="23" s="1"/>
  <c r="K129" i="23"/>
  <c r="K128" i="23"/>
  <c r="J128" i="23"/>
  <c r="S128" i="23" s="1"/>
  <c r="J124" i="23"/>
  <c r="S124" i="23" s="1"/>
  <c r="M122" i="23"/>
  <c r="J122" i="23"/>
  <c r="J125" i="23" s="1"/>
  <c r="S125" i="23" s="1"/>
  <c r="K125" i="23"/>
  <c r="K124" i="23"/>
  <c r="M121" i="23"/>
  <c r="J121" i="23"/>
  <c r="J120" i="23"/>
  <c r="P117" i="23"/>
  <c r="N117" i="23"/>
  <c r="M117" i="23"/>
  <c r="J117" i="23"/>
  <c r="M119" i="23"/>
  <c r="N119" i="23"/>
  <c r="J119" i="23"/>
  <c r="P118" i="23"/>
  <c r="L118" i="23"/>
  <c r="J118" i="23"/>
  <c r="J116" i="23"/>
  <c r="M114" i="23"/>
  <c r="J114" i="23"/>
  <c r="M112" i="23"/>
  <c r="J112" i="23"/>
  <c r="M111" i="23"/>
  <c r="J111" i="23"/>
  <c r="J110" i="23"/>
  <c r="J109" i="23"/>
  <c r="M108" i="23"/>
  <c r="J108" i="23"/>
  <c r="J105" i="23"/>
  <c r="J106" i="23"/>
  <c r="J107" i="23"/>
  <c r="J104" i="23"/>
  <c r="M100" i="23"/>
  <c r="J98" i="23"/>
  <c r="M101" i="23"/>
  <c r="J101" i="23"/>
  <c r="P99" i="23"/>
  <c r="M99" i="23"/>
  <c r="M98" i="23"/>
  <c r="N96" i="23"/>
  <c r="K97" i="23"/>
  <c r="K96" i="23"/>
  <c r="K95" i="23"/>
  <c r="K94" i="23"/>
  <c r="J96" i="23"/>
  <c r="J94" i="23"/>
  <c r="J95" i="23"/>
  <c r="M94" i="23"/>
  <c r="J93" i="23"/>
  <c r="M91" i="23"/>
  <c r="J92" i="23"/>
  <c r="J90" i="23"/>
  <c r="M89" i="23"/>
  <c r="J89" i="23"/>
  <c r="J86" i="23"/>
  <c r="J85" i="23"/>
  <c r="M86" i="23"/>
  <c r="L86" i="23"/>
  <c r="M84" i="23"/>
  <c r="J84" i="23"/>
  <c r="O82" i="23"/>
  <c r="J83" i="23"/>
  <c r="O79" i="23"/>
  <c r="P79" i="23"/>
  <c r="M79" i="23"/>
  <c r="L79" i="23"/>
  <c r="J78" i="23"/>
  <c r="J79" i="23" s="1"/>
  <c r="S79" i="23" s="1"/>
  <c r="P76" i="23"/>
  <c r="L76" i="23"/>
  <c r="J75" i="23"/>
  <c r="J76" i="23" s="1"/>
  <c r="M76" i="23"/>
  <c r="P73" i="23"/>
  <c r="M73" i="23"/>
  <c r="L73" i="23"/>
  <c r="J77" i="23"/>
  <c r="J74" i="23"/>
  <c r="L15" i="23"/>
  <c r="J72" i="23"/>
  <c r="J73" i="23" s="1"/>
  <c r="M67" i="23"/>
  <c r="K70" i="23"/>
  <c r="K68" i="23"/>
  <c r="J67" i="23"/>
  <c r="M66" i="23"/>
  <c r="J65" i="23"/>
  <c r="S65" i="23" s="1"/>
  <c r="M63" i="23"/>
  <c r="J63" i="23"/>
  <c r="J64" i="23"/>
  <c r="J62" i="23"/>
  <c r="M55" i="23"/>
  <c r="J55" i="23"/>
  <c r="J57" i="23"/>
  <c r="S57" i="23" s="1"/>
  <c r="K58" i="23"/>
  <c r="K57" i="23"/>
  <c r="M53" i="23"/>
  <c r="K54" i="23"/>
  <c r="M52" i="23"/>
  <c r="J52" i="23"/>
  <c r="J51" i="23"/>
  <c r="M47" i="23"/>
  <c r="J47" i="23"/>
  <c r="J50" i="23" s="1"/>
  <c r="S50" i="23" s="1"/>
  <c r="J48" i="23"/>
  <c r="J49" i="23" s="1"/>
  <c r="S49" i="23" s="1"/>
  <c r="K50" i="23"/>
  <c r="K49" i="23"/>
  <c r="J45" i="23"/>
  <c r="S45" i="23" s="1"/>
  <c r="M43" i="23"/>
  <c r="J43" i="23"/>
  <c r="J46" i="23" s="1"/>
  <c r="S46" i="23" s="1"/>
  <c r="M39" i="23"/>
  <c r="J41" i="23"/>
  <c r="S41" i="23" s="1"/>
  <c r="J39" i="23"/>
  <c r="J42" i="23" s="1"/>
  <c r="S42" i="23" s="1"/>
  <c r="J37" i="23"/>
  <c r="S37" i="23" s="1"/>
  <c r="M35" i="23"/>
  <c r="J35" i="23"/>
  <c r="J38" i="23" s="1"/>
  <c r="S38" i="23" s="1"/>
  <c r="J34" i="23"/>
  <c r="J33" i="23"/>
  <c r="M31" i="23"/>
  <c r="J31" i="23"/>
  <c r="J32" i="23"/>
  <c r="J29" i="23"/>
  <c r="S29" i="23" s="1"/>
  <c r="M27" i="23"/>
  <c r="J27" i="23"/>
  <c r="J30" i="23" s="1"/>
  <c r="S30" i="23" s="1"/>
  <c r="M25" i="23"/>
  <c r="J26" i="23"/>
  <c r="J25" i="23"/>
  <c r="K26" i="23"/>
  <c r="M23" i="23"/>
  <c r="K24" i="23"/>
  <c r="M22" i="23"/>
  <c r="J22" i="23"/>
  <c r="M20" i="23"/>
  <c r="J20" i="23"/>
  <c r="J19" i="23"/>
  <c r="M18" i="23"/>
  <c r="M17" i="23"/>
  <c r="J17" i="23"/>
  <c r="J18" i="23" s="1"/>
  <c r="S18" i="23" s="1"/>
  <c r="M16" i="23"/>
  <c r="M15" i="23"/>
  <c r="K15" i="23"/>
  <c r="J16" i="23"/>
  <c r="J15" i="23"/>
  <c r="Q14" i="23"/>
  <c r="P14" i="23"/>
  <c r="M13" i="23"/>
  <c r="J11" i="23"/>
  <c r="J179" i="23" l="1"/>
  <c r="S179" i="23" s="1"/>
  <c r="S176" i="23"/>
  <c r="J58" i="23"/>
  <c r="S58" i="23" s="1"/>
  <c r="S55" i="23"/>
  <c r="J152" i="23"/>
  <c r="S152" i="23" s="1"/>
  <c r="S148" i="23"/>
  <c r="J153" i="23"/>
  <c r="S153" i="23" s="1"/>
  <c r="J158" i="23"/>
  <c r="S158" i="23" s="1"/>
  <c r="J139" i="23"/>
  <c r="S139" i="23" s="1"/>
  <c r="J100" i="23"/>
  <c r="S100" i="23" s="1"/>
  <c r="O86" i="23"/>
  <c r="S86" i="23" s="1"/>
  <c r="O257" i="23"/>
  <c r="S257" i="23" s="1"/>
  <c r="O114" i="23"/>
  <c r="S114" i="23" s="1"/>
  <c r="J157" i="23" l="1"/>
  <c r="S157" i="23" s="1"/>
  <c r="J161" i="23"/>
  <c r="S161" i="23" s="1"/>
  <c r="O76" i="23"/>
  <c r="S76" i="23" s="1"/>
  <c r="O258" i="23"/>
  <c r="S258" i="23" s="1"/>
  <c r="O73" i="23"/>
  <c r="S73" i="23" s="1"/>
  <c r="O84" i="23"/>
  <c r="S84" i="23" s="1"/>
  <c r="O62" i="23"/>
  <c r="S62" i="23" s="1"/>
  <c r="J826" i="23" l="1"/>
  <c r="O63" i="23"/>
  <c r="S63" i="23" s="1"/>
  <c r="S11" i="23"/>
  <c r="S10" i="23"/>
  <c r="S826" i="23" l="1"/>
  <c r="U826" i="23"/>
</calcChain>
</file>

<file path=xl/sharedStrings.xml><?xml version="1.0" encoding="utf-8"?>
<sst xmlns="http://schemas.openxmlformats.org/spreadsheetml/2006/main" count="3294" uniqueCount="217">
  <si>
    <t>Poznámka</t>
  </si>
  <si>
    <t>m</t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</si>
  <si>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</si>
  <si>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t>CELKEM</t>
  </si>
  <si>
    <t>Umístění, popis konstrukce</t>
  </si>
  <si>
    <t>podlaží</t>
  </si>
  <si>
    <t>místnost</t>
  </si>
  <si>
    <t>část m.</t>
  </si>
  <si>
    <t>Kód</t>
  </si>
  <si>
    <t>Výměra</t>
  </si>
  <si>
    <t>Celková plocha</t>
  </si>
  <si>
    <t>Typ</t>
  </si>
  <si>
    <t>Popis</t>
  </si>
  <si>
    <t>m2</t>
  </si>
  <si>
    <t>Výška</t>
  </si>
  <si>
    <t>Označení ve výkrese</t>
  </si>
  <si>
    <t>Rozměry</t>
  </si>
  <si>
    <t>VNITŘNÍ POVRCHY STĚN - REKAPITULACE</t>
  </si>
  <si>
    <t>Výměry celkem</t>
  </si>
  <si>
    <t>Základní</t>
  </si>
  <si>
    <t>Odečet otvorů</t>
  </si>
  <si>
    <t>Přípočet plochy</t>
  </si>
  <si>
    <t>Obklady (I)</t>
  </si>
  <si>
    <t>Omítky (I)</t>
  </si>
  <si>
    <t>Malby, nátěry (I)</t>
  </si>
  <si>
    <t>Nátěry, ostatní</t>
  </si>
  <si>
    <t>Délka, obvod místnosti</t>
  </si>
  <si>
    <t>Okna</t>
  </si>
  <si>
    <t>Dveře</t>
  </si>
  <si>
    <t>Otvory</t>
  </si>
  <si>
    <t>Ostatní plochy</t>
  </si>
  <si>
    <t>Ostění, nadpraží</t>
  </si>
  <si>
    <t>Parapet</t>
  </si>
  <si>
    <t>Ostatní</t>
  </si>
  <si>
    <t>Umístění</t>
  </si>
  <si>
    <t>1NP</t>
  </si>
  <si>
    <t>01</t>
  </si>
  <si>
    <t>02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</si>
  <si>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</si>
  <si>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</si>
  <si>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</si>
  <si>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</si>
  <si>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</si>
  <si>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</si>
  <si>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</si>
  <si>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</si>
  <si>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</si>
  <si>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10a</t>
  </si>
  <si>
    <t>10b</t>
  </si>
  <si>
    <t>11a</t>
  </si>
  <si>
    <t>11b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</si>
  <si>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</si>
  <si>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</si>
  <si>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</si>
  <si>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</si>
  <si>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</si>
  <si>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</si>
  <si>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</si>
  <si>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</si>
  <si>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</si>
  <si>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</si>
  <si>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1</t>
  </si>
  <si>
    <t>2</t>
  </si>
  <si>
    <t>23</t>
  </si>
  <si>
    <t>24</t>
  </si>
  <si>
    <t>25</t>
  </si>
  <si>
    <t>26</t>
  </si>
  <si>
    <t>27</t>
  </si>
  <si>
    <t>28</t>
  </si>
  <si>
    <t>03</t>
  </si>
  <si>
    <t>51</t>
  </si>
  <si>
    <t>53</t>
  </si>
  <si>
    <t>54</t>
  </si>
  <si>
    <t>2NP</t>
  </si>
  <si>
    <t>A6 - VNITŘNÍ POVRCHY STĚN</t>
  </si>
  <si>
    <t>O2</t>
  </si>
  <si>
    <t>O3</t>
  </si>
  <si>
    <t>O4</t>
  </si>
  <si>
    <t>O5</t>
  </si>
  <si>
    <t>O6</t>
  </si>
  <si>
    <t>O1a</t>
  </si>
  <si>
    <t>O1b</t>
  </si>
  <si>
    <t>o1a</t>
  </si>
  <si>
    <t>o3</t>
  </si>
  <si>
    <t>o1b</t>
  </si>
  <si>
    <t>o2</t>
  </si>
  <si>
    <t>o4</t>
  </si>
  <si>
    <t>o5</t>
  </si>
  <si>
    <t>a</t>
  </si>
  <si>
    <t>SDK</t>
  </si>
  <si>
    <t>b</t>
  </si>
  <si>
    <t>c</t>
  </si>
  <si>
    <t>pod mezipodestou</t>
  </si>
  <si>
    <t>pod ramenem R06</t>
  </si>
  <si>
    <t>zdivo</t>
  </si>
  <si>
    <t>zateplení vnitřní stěny ETICS MV tl.150</t>
  </si>
  <si>
    <t>o6</t>
  </si>
  <si>
    <t>pod podestou</t>
  </si>
  <si>
    <t>pod ramenem R02</t>
  </si>
  <si>
    <t>o7</t>
  </si>
  <si>
    <t>O7</t>
  </si>
  <si>
    <t>zateplení vnitřní stěny ETICS MV tl.270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</si>
  <si>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</si>
  <si>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</si>
  <si>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</si>
  <si>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</si>
  <si>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</si>
  <si>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</si>
  <si>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</si>
  <si>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</si>
  <si>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</si>
  <si>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</si>
  <si>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</si>
  <si>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</si>
  <si>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</si>
  <si>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</si>
  <si>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</si>
  <si>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</si>
  <si>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</si>
  <si>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</si>
  <si>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</si>
  <si>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</si>
  <si>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</si>
  <si>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</si>
  <si>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52</t>
  </si>
  <si>
    <t>UC1</t>
  </si>
  <si>
    <t>podesta 1NP</t>
  </si>
  <si>
    <t>1NP-mezi ramenem R01-R02</t>
  </si>
  <si>
    <t>mezipodesta do +3,350</t>
  </si>
  <si>
    <t>1NP-nad ramenem R01do +3,350</t>
  </si>
  <si>
    <t>1NP-nad ramenem R02do +3,350</t>
  </si>
  <si>
    <t>obvod.stěny od +3,350 do +9,550</t>
  </si>
  <si>
    <t>UC2</t>
  </si>
  <si>
    <t>chodba 1NP</t>
  </si>
  <si>
    <t>nad ramenem R05</t>
  </si>
  <si>
    <t>mezipodesta +0,775</t>
  </si>
  <si>
    <t>nad ramenem R06 do +3,550</t>
  </si>
  <si>
    <t>mezipodesta +2,325 do 3,550</t>
  </si>
  <si>
    <t>nad ramenem R07 do +3,550</t>
  </si>
  <si>
    <t>V1</t>
  </si>
  <si>
    <t>šachta 1NP</t>
  </si>
  <si>
    <t>šachta 2NP-3NP</t>
  </si>
  <si>
    <t>obvodové stěny</t>
  </si>
  <si>
    <t>výtahové šachty, ost.</t>
  </si>
  <si>
    <t>kolem střední části</t>
  </si>
  <si>
    <t>kolem obvodové části</t>
  </si>
  <si>
    <t>na beton</t>
  </si>
  <si>
    <t>na zdivo</t>
  </si>
  <si>
    <t>krajní chodby</t>
  </si>
  <si>
    <t>vnitřní stěny</t>
  </si>
  <si>
    <t>malé místnosti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</si>
  <si>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</si>
  <si>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</si>
  <si>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</si>
  <si>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</si>
  <si>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</si>
  <si>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</si>
  <si>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</si>
  <si>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</si>
  <si>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</si>
  <si>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</si>
  <si>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</si>
  <si>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</si>
  <si>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</si>
  <si>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</si>
  <si>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</si>
  <si>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</si>
  <si>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</si>
  <si>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</si>
  <si>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</si>
  <si>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</si>
  <si>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</si>
  <si>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</si>
  <si>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</si>
  <si>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</si>
  <si>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</si>
  <si>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</si>
  <si>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</si>
  <si>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</si>
  <si>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pod ramenem R11</t>
  </si>
  <si>
    <t>podesta 2NP</t>
  </si>
  <si>
    <t>podesta 2NP, chodba</t>
  </si>
  <si>
    <t>UC3</t>
  </si>
  <si>
    <t>nad ramenem R10 do +9,300</t>
  </si>
  <si>
    <t>nad mezipodestou do +9,300</t>
  </si>
  <si>
    <t>nad ramenem R11 do +9,300</t>
  </si>
  <si>
    <t>obvod.stěny od +3,550 do +9,300</t>
  </si>
  <si>
    <t>3NP</t>
  </si>
  <si>
    <t>3</t>
  </si>
  <si>
    <t>podesta 3NP, chodba</t>
  </si>
  <si>
    <t>podesta 3NP</t>
  </si>
  <si>
    <t xml:space="preserve">    na SDK</t>
  </si>
  <si>
    <t xml:space="preserve">    na beton</t>
  </si>
  <si>
    <t xml:space="preserve">    na zdivo</t>
  </si>
  <si>
    <t>keramický obklad stěn, hydroizolační stěrka tl.15mm, z toho:</t>
  </si>
  <si>
    <t>mokré pr.</t>
  </si>
  <si>
    <t>výmalba na SDK, z toho:</t>
  </si>
  <si>
    <t xml:space="preserve">     suché prostředí</t>
  </si>
  <si>
    <t xml:space="preserve">     mokré prostředí</t>
  </si>
  <si>
    <t>výmalba na omítku, z toho:</t>
  </si>
  <si>
    <t>HI</t>
  </si>
  <si>
    <t>hydroizolační stěrka pod keramický obklad</t>
  </si>
  <si>
    <t>Hydroizolční stěrka</t>
  </si>
  <si>
    <t>umyvadlo</t>
  </si>
  <si>
    <t>hi</t>
  </si>
  <si>
    <t>vanička</t>
  </si>
  <si>
    <t>umývátko</t>
  </si>
  <si>
    <t>sprcha</t>
  </si>
  <si>
    <t>11c</t>
  </si>
  <si>
    <t>výlevka</t>
  </si>
  <si>
    <t>dřez</t>
  </si>
  <si>
    <t>vana</t>
  </si>
  <si>
    <t>sprchy 2NP</t>
  </si>
  <si>
    <t>sádrová stěrka tl.5mm, výmalba, z toho:</t>
  </si>
  <si>
    <t>sádrová omítka na ž.b. tl.10mm, výmalba pro suché prostředí</t>
  </si>
  <si>
    <t xml:space="preserve">    na omítku</t>
  </si>
  <si>
    <t>omyvatelný nátěr, z toho: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</si>
</sst>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49" fontId="0" fillId="0" borderId="0" xfId="0" applyNumberFormat="1"/>
    <xf numFmtId="49" fontId="4" fillId="3" borderId="1" xfId="0" applyNumberFormat="1" applyFont="1" applyFill="1" applyBorder="1"/>
    <xf numFmtId="49" fontId="5" fillId="3" borderId="1" xfId="0" applyNumberFormat="1" applyFont="1" applyFill="1" applyBorder="1"/>
    <xf numFmtId="4" fontId="5" fillId="3" borderId="1" xfId="0" applyNumberFormat="1" applyFont="1" applyFill="1" applyBorder="1" applyAlignment="1">
      <alignment vertical="center"/>
    </xf>
    <xf numFmtId="49" fontId="2" fillId="0" borderId="1" xfId="0" applyNumberFormat="1" applyFont="1" applyBorder="1"/>
    <xf numFmtId="164" fontId="5" fillId="3" borderId="1" xfId="0" applyNumberFormat="1" applyFont="1" applyFill="1" applyBorder="1" applyAlignment="1">
      <alignment vertical="center"/>
    </xf>
    <xf numFmtId="0" fontId="0" fillId="0" borderId="1" xfId="0" applyBorder="1"/>
    <xf numFmtId="4" fontId="0" fillId="0" borderId="1" xfId="0" applyNumberForma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7" fillId="0" borderId="10" xfId="0" applyNumberFormat="1" applyFont="1" applyBorder="1" applyAlignment="1">
      <alignment horizontal="right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17" xfId="0" quotePrefix="1" applyNumberFormat="1" applyFont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49" fontId="0" fillId="0" borderId="10" xfId="0" applyNumberFormat="1" applyBorder="1"/>
    <xf numFmtId="49" fontId="0" fillId="0" borderId="12" xfId="0" applyNumberFormat="1" applyBorder="1"/>
    <xf numFmtId="49" fontId="0" fillId="0" borderId="17" xfId="0" applyNumberFormat="1" applyBorder="1" applyAlignment="1">
      <alignment horizontal="center" vertical="center"/>
    </xf>
    <xf numFmtId="49" fontId="4" fillId="3" borderId="10" xfId="0" applyNumberFormat="1" applyFont="1" applyFill="1" applyBorder="1"/>
    <xf numFmtId="49" fontId="4" fillId="3" borderId="12" xfId="0" applyNumberFormat="1" applyFont="1" applyFill="1" applyBorder="1"/>
    <xf numFmtId="49" fontId="4" fillId="3" borderId="17" xfId="0" applyNumberFormat="1" applyFont="1" applyFill="1" applyBorder="1"/>
    <xf numFmtId="4" fontId="0" fillId="4" borderId="10" xfId="0" applyNumberFormat="1" applyFill="1" applyBorder="1" applyAlignment="1">
      <alignment vertical="center"/>
    </xf>
    <xf numFmtId="0" fontId="10" fillId="0" borderId="1" xfId="0" applyFont="1" applyBorder="1"/>
    <xf numFmtId="0" fontId="0" fillId="2" borderId="5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right" vertical="center" wrapText="1"/>
    </xf>
    <xf numFmtId="49" fontId="0" fillId="0" borderId="10" xfId="0" applyNumberFormat="1" applyBorder="1" applyAlignment="1">
      <alignment horizontal="left" vertical="center"/>
    </xf>
    <xf numFmtId="4" fontId="6" fillId="0" borderId="1" xfId="0" applyNumberFormat="1" applyFont="1" applyBorder="1" applyAlignment="1">
      <alignment vertical="center"/>
    </xf>
    <xf numFmtId="49" fontId="6" fillId="0" borderId="17" xfId="0" applyNumberFormat="1" applyFont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49" fontId="5" fillId="0" borderId="5" xfId="0" applyNumberFormat="1" applyFont="1" applyBorder="1"/>
    <xf numFmtId="49" fontId="5" fillId="0" borderId="6" xfId="0" applyNumberFormat="1" applyFont="1" applyBorder="1"/>
    <xf numFmtId="49" fontId="5" fillId="0" borderId="16" xfId="0" applyNumberFormat="1" applyFont="1" applyBorder="1"/>
    <xf numFmtId="49" fontId="2" fillId="0" borderId="17" xfId="0" quotePrefix="1" applyNumberFormat="1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 vertical="center"/>
    </xf>
    <xf numFmtId="49" fontId="6" fillId="0" borderId="17" xfId="0" quotePrefix="1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5" fillId="0" borderId="10" xfId="0" applyNumberFormat="1" applyFont="1" applyBorder="1"/>
    <xf numFmtId="49" fontId="7" fillId="7" borderId="12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49" fontId="12" fillId="0" borderId="17" xfId="0" quotePrefix="1" applyNumberFormat="1" applyFont="1" applyBorder="1" applyAlignment="1">
      <alignment horizontal="left" vertical="center"/>
    </xf>
    <xf numFmtId="49" fontId="0" fillId="0" borderId="10" xfId="0" applyNumberFormat="1" applyFill="1" applyBorder="1" applyAlignment="1">
      <alignment horizontal="left" vertical="center"/>
    </xf>
    <xf numFmtId="0" fontId="7" fillId="2" borderId="24" xfId="0" applyFont="1" applyFill="1" applyBorder="1" applyAlignment="1">
      <alignment horizontal="center" vertical="center" textRotation="90" wrapText="1"/>
    </xf>
    <xf numFmtId="0" fontId="7" fillId="2" borderId="25" xfId="0" applyFont="1" applyFill="1" applyBorder="1" applyAlignment="1">
      <alignment horizontal="center" vertical="center" textRotation="90" wrapText="1"/>
    </xf>
    <xf numFmtId="0" fontId="7" fillId="2" borderId="26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 textRotation="90"/>
    </xf>
    <xf numFmtId="0" fontId="2" fillId="2" borderId="3" xfId="0" applyFont="1" applyFill="1" applyBorder="1" applyAlignment="1">
      <alignment horizontal="center" vertical="center" textRotation="90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0" fontId="0" fillId="6" borderId="11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</cellXfs>
  <cellStyles count="1">
    <cellStyle name="Normální" xfId="0" builtinId="0"/>
  </cellStyles>
  <dxfs count="3667">
    <dxf>
      <font>
        <color rgb="FF9C0006"/>
      </font>
      <fill>
        <patternFill>
          <bgColor rgb="FFFFC7CE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  <dxf>
      <fill>
        <patternFill>
          <bgColor theme="2"/>
        </patternFill>
      </fill>
    </dxf>
    <dxf>
      <fill>
        <patternFill>
          <bgColor theme="7" tint="0.39994506668294322"/>
        </patternFill>
      </fill>
    </dxf>
    <dxf>
      <fill>
        <patternFill>
          <bgColor rgb="FFB5FC74"/>
        </patternFill>
      </fill>
    </dxf>
    <dxf>
      <fill>
        <patternFill>
          <bgColor rgb="FFB38251"/>
        </patternFill>
      </fill>
    </dxf>
    <dxf>
      <fill>
        <patternFill>
          <bgColor rgb="FFC283F1"/>
        </patternFill>
      </fill>
    </dxf>
    <dxf>
      <fill>
        <patternFill>
          <bgColor rgb="FF4D77FD"/>
        </patternFill>
      </fill>
    </dxf>
  </dxfs>
  <tableStyles count="0" defaultTableStyle="TableStyleMedium2" defaultPivotStyle="PivotStyleLight16"/>
  <colors>
    <mruColors>
      <color rgb="FF4D77FD"/>
      <color rgb="FFB38251"/>
      <color rgb="FFBA8E62"/>
      <color rgb="FF908E8C"/>
      <color rgb="FFA27800"/>
      <color rgb="FF69A4D9"/>
      <color rgb="FF0091FE"/>
      <color rgb="FFC283F1"/>
      <color rgb="FFB66BEF"/>
      <color rgb="FFCAAE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87A1F-A7C7-4F5A-9662-A42EB2FB88DC}">
  <sheetPr>
    <tabColor rgb="FF0070C0"/>
    <pageSetUpPr fitToPage="1"/>
  </sheetPr>
  <dimension ref="A1:U827"/>
  <sheetViews>
    <sheetView tabSelected="1" zoomScaleNormal="100" workbookViewId="0">
      <pane xSplit="9" ySplit="9" topLeftCell="J10" activePane="bottomRight" state="frozen"/>
      <selection pane="topRight" activeCell="G1" sqref="G1"/>
      <selection pane="bottomLeft" activeCell="A8" sqref="A8"/>
      <selection pane="bottomRight" activeCell="I756" sqref="I756"/>
    </sheetView>
  </sheetViews>
  <sheetFormatPr defaultRowHeight="15" x14ac:dyDescent="0.25"/>
  <cols>
    <col min="1" max="1" width="2.85546875" customWidth="1"/>
    <col min="2" max="2" width="3.140625" customWidth="1"/>
    <col min="3" max="3" width="4.28515625" customWidth="1"/>
    <col min="4" max="4" width="9" customWidth="1"/>
    <col min="5" max="5" width="5.7109375" customWidth="1"/>
    <col min="6" max="7" width="5.42578125" customWidth="1"/>
    <col min="8" max="8" width="6" customWidth="1"/>
    <col min="9" max="9" width="22.5703125" customWidth="1"/>
    <col min="10" max="17" width="8.42578125" customWidth="1"/>
    <col min="18" max="18" width="7.7109375" customWidth="1"/>
    <col min="19" max="19" width="10" customWidth="1"/>
    <col min="20" max="20" width="20.7109375" customWidth="1"/>
    <col min="21" max="21" width="1" customWidth="1"/>
    <col min="22" max="34" width="7.7109375" customWidth="1"/>
    <col min="35" max="35" width="0.85546875" customWidth="1"/>
  </cols>
  <sheetData>
    <row r="1" spans="1:21" ht="18.75" x14ac:dyDescent="0.3">
      <c r="A1" s="1" t="s">
        <v>74</v>
      </c>
      <c r="B1" s="1"/>
      <c r="C1" s="1"/>
      <c r="D1" s="1"/>
      <c r="E1" s="1"/>
      <c r="F1" s="1"/>
      <c r="G1" s="1"/>
      <c r="H1" s="1"/>
      <c r="I1" s="1"/>
    </row>
    <row r="2" spans="1:21" ht="15.75" thickBot="1" x14ac:dyDescent="0.3"/>
    <row r="3" spans="1:21" ht="15" customHeight="1" x14ac:dyDescent="0.25">
      <c r="A3" s="77" t="s">
        <v>4</v>
      </c>
      <c r="B3" s="75"/>
      <c r="C3" s="75"/>
      <c r="D3" s="75"/>
      <c r="E3" s="75"/>
      <c r="F3" s="75"/>
      <c r="G3" s="75"/>
      <c r="H3" s="75"/>
      <c r="I3" s="76"/>
      <c r="J3" s="74" t="s">
        <v>16</v>
      </c>
      <c r="K3" s="75"/>
      <c r="L3" s="75"/>
      <c r="M3" s="75"/>
      <c r="N3" s="75"/>
      <c r="O3" s="75"/>
      <c r="P3" s="75"/>
      <c r="Q3" s="75"/>
      <c r="R3" s="76"/>
      <c r="S3" s="25" t="s">
        <v>18</v>
      </c>
      <c r="T3" s="69" t="s">
        <v>0</v>
      </c>
      <c r="U3" s="31"/>
    </row>
    <row r="4" spans="1:21" ht="18.75" customHeight="1" x14ac:dyDescent="0.25">
      <c r="A4" s="73" t="s">
        <v>34</v>
      </c>
      <c r="B4" s="72"/>
      <c r="C4" s="72"/>
      <c r="D4" s="71"/>
      <c r="E4" s="66" t="s">
        <v>8</v>
      </c>
      <c r="F4" s="67"/>
      <c r="G4" s="67"/>
      <c r="H4" s="68"/>
      <c r="I4" s="63" t="s">
        <v>12</v>
      </c>
      <c r="J4" s="70" t="s">
        <v>19</v>
      </c>
      <c r="K4" s="71"/>
      <c r="L4" s="70" t="s">
        <v>20</v>
      </c>
      <c r="M4" s="72"/>
      <c r="N4" s="72"/>
      <c r="O4" s="71"/>
      <c r="P4" s="70" t="s">
        <v>21</v>
      </c>
      <c r="Q4" s="72"/>
      <c r="R4" s="71"/>
      <c r="S4" s="54" t="s">
        <v>10</v>
      </c>
      <c r="T4" s="54"/>
      <c r="U4" s="32"/>
    </row>
    <row r="5" spans="1:21" ht="16.5" customHeight="1" x14ac:dyDescent="0.25">
      <c r="A5" s="50" t="s">
        <v>5</v>
      </c>
      <c r="B5" s="55" t="s">
        <v>6</v>
      </c>
      <c r="C5" s="58" t="s">
        <v>7</v>
      </c>
      <c r="D5" s="55" t="s">
        <v>15</v>
      </c>
      <c r="E5" s="61" t="s">
        <v>22</v>
      </c>
      <c r="F5" s="61" t="s">
        <v>23</v>
      </c>
      <c r="G5" s="61" t="s">
        <v>24</v>
      </c>
      <c r="H5" s="61" t="s">
        <v>25</v>
      </c>
      <c r="I5" s="64"/>
      <c r="J5" s="53" t="s">
        <v>26</v>
      </c>
      <c r="K5" s="53" t="s">
        <v>14</v>
      </c>
      <c r="L5" s="53" t="s">
        <v>27</v>
      </c>
      <c r="M5" s="53" t="s">
        <v>28</v>
      </c>
      <c r="N5" s="53" t="s">
        <v>29</v>
      </c>
      <c r="O5" s="53" t="s">
        <v>30</v>
      </c>
      <c r="P5" s="53" t="s">
        <v>31</v>
      </c>
      <c r="Q5" s="53" t="s">
        <v>32</v>
      </c>
      <c r="R5" s="53" t="s">
        <v>33</v>
      </c>
      <c r="S5" s="54"/>
      <c r="T5" s="54"/>
      <c r="U5" s="32"/>
    </row>
    <row r="6" spans="1:21" ht="16.5" customHeight="1" x14ac:dyDescent="0.25">
      <c r="A6" s="51"/>
      <c r="B6" s="56"/>
      <c r="C6" s="59"/>
      <c r="D6" s="56"/>
      <c r="E6" s="61"/>
      <c r="F6" s="61"/>
      <c r="G6" s="61"/>
      <c r="H6" s="61"/>
      <c r="I6" s="6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32"/>
    </row>
    <row r="7" spans="1:21" ht="16.5" customHeight="1" x14ac:dyDescent="0.25">
      <c r="A7" s="51"/>
      <c r="B7" s="56"/>
      <c r="C7" s="59"/>
      <c r="D7" s="56"/>
      <c r="E7" s="61"/>
      <c r="F7" s="61"/>
      <c r="G7" s="61"/>
      <c r="H7" s="61"/>
      <c r="I7" s="6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32"/>
    </row>
    <row r="8" spans="1:21" x14ac:dyDescent="0.25">
      <c r="A8" s="51"/>
      <c r="B8" s="56"/>
      <c r="C8" s="59"/>
      <c r="D8" s="56"/>
      <c r="E8" s="61"/>
      <c r="F8" s="61"/>
      <c r="G8" s="61"/>
      <c r="H8" s="61"/>
      <c r="I8" s="64"/>
      <c r="J8" s="54"/>
      <c r="K8" s="54"/>
      <c r="L8" s="54"/>
      <c r="M8" s="54"/>
      <c r="N8" s="54"/>
      <c r="O8" s="54"/>
      <c r="P8" s="54"/>
      <c r="Q8" s="54"/>
      <c r="R8" s="54"/>
      <c r="S8" s="54"/>
      <c r="T8" s="33"/>
      <c r="U8" s="34"/>
    </row>
    <row r="9" spans="1:21" ht="15.75" thickBot="1" x14ac:dyDescent="0.3">
      <c r="A9" s="52"/>
      <c r="B9" s="57"/>
      <c r="C9" s="60"/>
      <c r="D9" s="57"/>
      <c r="E9" s="62"/>
      <c r="F9" s="62"/>
      <c r="G9" s="62"/>
      <c r="H9" s="62"/>
      <c r="I9" s="65"/>
      <c r="J9" s="35" t="s">
        <v>1</v>
      </c>
      <c r="K9" s="35" t="s">
        <v>1</v>
      </c>
      <c r="L9" s="35" t="s">
        <v>2</v>
      </c>
      <c r="M9" s="35" t="s">
        <v>2</v>
      </c>
      <c r="N9" s="35" t="s">
        <v>2</v>
      </c>
      <c r="O9" s="35" t="s">
        <v>2</v>
      </c>
      <c r="P9" s="35" t="s">
        <v>2</v>
      </c>
      <c r="Q9" s="35" t="s">
        <v>2</v>
      </c>
      <c r="R9" s="35" t="s">
        <v>2</v>
      </c>
      <c r="S9" s="35" t="s">
        <v>2</v>
      </c>
      <c r="T9" s="35"/>
      <c r="U9" s="36"/>
    </row>
    <row r="10" spans="1:21" x14ac:dyDescent="0.25">
      <c r="A10" s="37" t="s">
        <v>35</v>
      </c>
      <c r="B10" s="38"/>
      <c r="C10" s="39"/>
      <c r="D10" s="40"/>
      <c r="E10" s="42"/>
      <c r="F10" s="42"/>
      <c r="G10" s="42"/>
      <c r="H10" s="10"/>
      <c r="I10" s="15"/>
      <c r="J10" s="9"/>
      <c r="K10" s="9"/>
      <c r="L10" s="9"/>
      <c r="M10" s="9"/>
      <c r="N10" s="9"/>
      <c r="O10" s="9"/>
      <c r="P10" s="9"/>
      <c r="Q10" s="9"/>
      <c r="R10" s="9"/>
      <c r="S10" s="23" t="str">
        <f t="shared" ref="S10:S73" si="0">IF(AND(ISBLANK(E10),ISBLANK(F10),ISBLANK(G10),ISBLANK(H10)),"",IF(J10*K10-L10-M10-N10-O10+P10+Q10+R10=0,"",J10*K10-L10-M10-N10-O10+P10+Q10+R10))</f>
        <v/>
      </c>
      <c r="T10" s="24"/>
      <c r="U10" s="8"/>
    </row>
    <row r="11" spans="1:21" x14ac:dyDescent="0.25">
      <c r="A11" s="12" t="s">
        <v>61</v>
      </c>
      <c r="B11" s="13" t="s">
        <v>36</v>
      </c>
      <c r="C11" s="14"/>
      <c r="D11" s="40"/>
      <c r="E11" s="42"/>
      <c r="F11" s="42"/>
      <c r="G11" s="42" t="s">
        <v>82</v>
      </c>
      <c r="H11" s="10"/>
      <c r="I11" s="15"/>
      <c r="J11" s="9">
        <f>0.4+0.1</f>
        <v>0.5</v>
      </c>
      <c r="K11" s="9">
        <v>3.1</v>
      </c>
      <c r="L11" s="9"/>
      <c r="M11" s="9"/>
      <c r="N11" s="9"/>
      <c r="O11" s="9"/>
      <c r="P11" s="9"/>
      <c r="Q11" s="9"/>
      <c r="R11" s="9"/>
      <c r="S11" s="23">
        <f t="shared" si="0"/>
        <v>1.55</v>
      </c>
      <c r="T11" s="24"/>
      <c r="U11" s="8"/>
    </row>
    <row r="12" spans="1:21" x14ac:dyDescent="0.25">
      <c r="A12" s="12" t="s">
        <v>61</v>
      </c>
      <c r="B12" s="13" t="s">
        <v>36</v>
      </c>
      <c r="C12" s="14"/>
      <c r="D12" s="40"/>
      <c r="E12" s="42"/>
      <c r="F12" s="42" t="s">
        <v>83</v>
      </c>
      <c r="G12" s="42"/>
      <c r="H12" s="10"/>
      <c r="I12" s="15"/>
      <c r="J12" s="9">
        <v>0.11</v>
      </c>
      <c r="K12" s="9">
        <v>3.1</v>
      </c>
      <c r="L12" s="9"/>
      <c r="M12" s="9"/>
      <c r="N12" s="9"/>
      <c r="O12" s="9"/>
      <c r="P12" s="9"/>
      <c r="Q12" s="9"/>
      <c r="R12" s="9"/>
      <c r="S12" s="23">
        <f t="shared" si="0"/>
        <v>0.34100000000000003</v>
      </c>
      <c r="T12" s="24"/>
      <c r="U12" s="8"/>
    </row>
    <row r="13" spans="1:21" x14ac:dyDescent="0.25">
      <c r="A13" s="12" t="s">
        <v>61</v>
      </c>
      <c r="B13" s="13" t="s">
        <v>37</v>
      </c>
      <c r="C13" s="14"/>
      <c r="D13" s="40"/>
      <c r="E13" s="42"/>
      <c r="F13" s="42" t="s">
        <v>83</v>
      </c>
      <c r="G13" s="42"/>
      <c r="H13" s="10"/>
      <c r="I13" s="15"/>
      <c r="J13" s="9">
        <v>6.6</v>
      </c>
      <c r="K13" s="9">
        <v>3.1</v>
      </c>
      <c r="L13" s="9"/>
      <c r="M13" s="9">
        <f>(0.8+1.35)*3.1+0.8*2.155</f>
        <v>8.3890000000000011</v>
      </c>
      <c r="N13" s="9"/>
      <c r="O13" s="9"/>
      <c r="P13" s="9"/>
      <c r="Q13" s="9"/>
      <c r="R13" s="9"/>
      <c r="S13" s="23">
        <f t="shared" si="0"/>
        <v>12.071</v>
      </c>
      <c r="T13" s="24"/>
      <c r="U13" s="8"/>
    </row>
    <row r="14" spans="1:21" x14ac:dyDescent="0.25">
      <c r="A14" s="12" t="s">
        <v>61</v>
      </c>
      <c r="B14" s="13" t="s">
        <v>69</v>
      </c>
      <c r="C14" s="14"/>
      <c r="D14" s="40"/>
      <c r="E14" s="42"/>
      <c r="F14" s="42"/>
      <c r="G14" s="42" t="s">
        <v>82</v>
      </c>
      <c r="H14" s="10"/>
      <c r="I14" s="15"/>
      <c r="J14" s="9">
        <v>14.28</v>
      </c>
      <c r="K14" s="9">
        <v>3.1</v>
      </c>
      <c r="L14" s="9"/>
      <c r="M14" s="9"/>
      <c r="N14" s="9"/>
      <c r="O14" s="9"/>
      <c r="P14" s="9">
        <f>(0.4+1*1)*0.35</f>
        <v>0.48999999999999994</v>
      </c>
      <c r="Q14" s="9">
        <f>0.4*0.35</f>
        <v>0.13999999999999999</v>
      </c>
      <c r="R14" s="9"/>
      <c r="S14" s="23">
        <f t="shared" si="0"/>
        <v>44.898000000000003</v>
      </c>
      <c r="T14" s="24"/>
      <c r="U14" s="8"/>
    </row>
    <row r="15" spans="1:21" x14ac:dyDescent="0.25">
      <c r="A15" s="12" t="s">
        <v>61</v>
      </c>
      <c r="B15" s="13" t="s">
        <v>38</v>
      </c>
      <c r="C15" s="14"/>
      <c r="D15" s="40"/>
      <c r="E15" s="42"/>
      <c r="F15" s="42"/>
      <c r="G15" s="42" t="s">
        <v>82</v>
      </c>
      <c r="H15" s="10"/>
      <c r="I15" s="16"/>
      <c r="J15" s="9">
        <f>53.1-(1.5*2+6.4+3.41+2.4)</f>
        <v>37.89</v>
      </c>
      <c r="K15" s="9">
        <f>3.1-1.5</f>
        <v>1.6</v>
      </c>
      <c r="L15" s="9">
        <f>0.6*1.7*4</f>
        <v>4.08</v>
      </c>
      <c r="M15" s="9">
        <f>(0.8*4+0.9+1.4+0.8+1+0.8*2+0.7+0.9)*(2-1.5)</f>
        <v>5.25</v>
      </c>
      <c r="N15" s="9"/>
      <c r="O15" s="9"/>
      <c r="P15" s="9"/>
      <c r="Q15" s="9"/>
      <c r="R15" s="9"/>
      <c r="S15" s="23">
        <f t="shared" si="0"/>
        <v>51.294000000000004</v>
      </c>
      <c r="T15" s="24"/>
      <c r="U15" s="8"/>
    </row>
    <row r="16" spans="1:21" x14ac:dyDescent="0.25">
      <c r="A16" s="12" t="s">
        <v>61</v>
      </c>
      <c r="B16" s="13" t="s">
        <v>38</v>
      </c>
      <c r="C16" s="14"/>
      <c r="D16" s="40"/>
      <c r="E16" s="42"/>
      <c r="F16" s="42"/>
      <c r="G16" s="42" t="s">
        <v>87</v>
      </c>
      <c r="H16" s="10"/>
      <c r="I16" s="16" t="s">
        <v>89</v>
      </c>
      <c r="J16" s="9">
        <f>53.1-(1.5*2+6.4+3.41+2.4)</f>
        <v>37.89</v>
      </c>
      <c r="K16" s="9">
        <v>1.5</v>
      </c>
      <c r="L16" s="9"/>
      <c r="M16" s="9">
        <f>(0.8*4+0.9+1.4+0.8+1+0.8*2+0.7+0.9)*(1.5)</f>
        <v>15.75</v>
      </c>
      <c r="N16" s="9"/>
      <c r="O16" s="9"/>
      <c r="P16" s="9"/>
      <c r="Q16" s="9"/>
      <c r="R16" s="9"/>
      <c r="S16" s="23">
        <f t="shared" si="0"/>
        <v>41.085000000000001</v>
      </c>
      <c r="T16" s="24"/>
      <c r="U16" s="8"/>
    </row>
    <row r="17" spans="1:21" x14ac:dyDescent="0.25">
      <c r="A17" s="12" t="s">
        <v>61</v>
      </c>
      <c r="B17" s="13" t="s">
        <v>39</v>
      </c>
      <c r="C17" s="14"/>
      <c r="D17" s="40"/>
      <c r="E17" s="42"/>
      <c r="F17" s="42" t="s">
        <v>83</v>
      </c>
      <c r="G17" s="42"/>
      <c r="H17" s="10"/>
      <c r="I17" s="16"/>
      <c r="J17" s="9">
        <f>1.8+1.825</f>
        <v>3.625</v>
      </c>
      <c r="K17" s="9">
        <v>2.8</v>
      </c>
      <c r="L17" s="9"/>
      <c r="M17" s="9">
        <f>0.8*2.155</f>
        <v>1.724</v>
      </c>
      <c r="N17" s="9"/>
      <c r="O17" s="9"/>
      <c r="P17" s="9"/>
      <c r="Q17" s="9"/>
      <c r="R17" s="9"/>
      <c r="S17" s="23">
        <f t="shared" si="0"/>
        <v>8.4259999999999984</v>
      </c>
      <c r="T17" s="24"/>
      <c r="U17" s="8"/>
    </row>
    <row r="18" spans="1:21" x14ac:dyDescent="0.25">
      <c r="A18" s="12" t="s">
        <v>61</v>
      </c>
      <c r="B18" s="13" t="s">
        <v>39</v>
      </c>
      <c r="C18" s="14"/>
      <c r="D18" s="40"/>
      <c r="E18" s="42"/>
      <c r="F18" s="42"/>
      <c r="G18" s="42" t="s">
        <v>82</v>
      </c>
      <c r="H18" s="10"/>
      <c r="I18" s="16"/>
      <c r="J18" s="9">
        <f>10.7-J17</f>
        <v>7.0749999999999993</v>
      </c>
      <c r="K18" s="9">
        <v>2.8</v>
      </c>
      <c r="L18" s="9"/>
      <c r="M18" s="9">
        <f>0.8*2</f>
        <v>1.6</v>
      </c>
      <c r="N18" s="9"/>
      <c r="O18" s="9"/>
      <c r="P18" s="9"/>
      <c r="Q18" s="9"/>
      <c r="R18" s="9"/>
      <c r="S18" s="23">
        <f t="shared" si="0"/>
        <v>18.209999999999994</v>
      </c>
      <c r="T18" s="24"/>
      <c r="U18" s="8"/>
    </row>
    <row r="19" spans="1:21" x14ac:dyDescent="0.25">
      <c r="A19" s="12" t="s">
        <v>61</v>
      </c>
      <c r="B19" s="13" t="s">
        <v>40</v>
      </c>
      <c r="C19" s="14"/>
      <c r="D19" s="40"/>
      <c r="E19" s="42"/>
      <c r="F19" s="42" t="s">
        <v>83</v>
      </c>
      <c r="G19" s="42"/>
      <c r="H19" s="10"/>
      <c r="I19" s="16"/>
      <c r="J19" s="9">
        <f>1.5+2.39</f>
        <v>3.89</v>
      </c>
      <c r="K19" s="9">
        <v>2.6</v>
      </c>
      <c r="L19" s="9"/>
      <c r="M19" s="9"/>
      <c r="N19" s="9"/>
      <c r="O19" s="9"/>
      <c r="P19" s="9"/>
      <c r="Q19" s="9"/>
      <c r="R19" s="9"/>
      <c r="S19" s="23">
        <f t="shared" si="0"/>
        <v>10.114000000000001</v>
      </c>
      <c r="T19" s="24"/>
      <c r="U19" s="8"/>
    </row>
    <row r="20" spans="1:21" x14ac:dyDescent="0.25">
      <c r="A20" s="12" t="s">
        <v>61</v>
      </c>
      <c r="B20" s="13" t="s">
        <v>40</v>
      </c>
      <c r="C20" s="14"/>
      <c r="D20" s="40"/>
      <c r="E20" s="42"/>
      <c r="F20" s="42"/>
      <c r="G20" s="42" t="s">
        <v>82</v>
      </c>
      <c r="H20" s="10"/>
      <c r="I20" s="16"/>
      <c r="J20" s="9">
        <f>1.5+2.39</f>
        <v>3.89</v>
      </c>
      <c r="K20" s="9">
        <v>2.6</v>
      </c>
      <c r="L20" s="9"/>
      <c r="M20" s="9">
        <f>0.8*2+0.7*2</f>
        <v>3</v>
      </c>
      <c r="N20" s="9"/>
      <c r="O20" s="9"/>
      <c r="P20" s="9"/>
      <c r="Q20" s="9"/>
      <c r="R20" s="9"/>
      <c r="S20" s="23">
        <f t="shared" si="0"/>
        <v>7.1140000000000008</v>
      </c>
      <c r="T20" s="24"/>
      <c r="U20" s="8"/>
    </row>
    <row r="21" spans="1:21" x14ac:dyDescent="0.25">
      <c r="A21" s="12" t="s">
        <v>61</v>
      </c>
      <c r="B21" s="13" t="s">
        <v>41</v>
      </c>
      <c r="C21" s="14"/>
      <c r="D21" s="40"/>
      <c r="E21" s="42"/>
      <c r="F21" s="42" t="s">
        <v>83</v>
      </c>
      <c r="G21" s="42"/>
      <c r="H21" s="10"/>
      <c r="I21" s="16"/>
      <c r="J21" s="9">
        <v>1.05</v>
      </c>
      <c r="K21" s="9">
        <v>2.6</v>
      </c>
      <c r="L21" s="9"/>
      <c r="M21" s="9"/>
      <c r="N21" s="9"/>
      <c r="O21" s="9"/>
      <c r="P21" s="9"/>
      <c r="Q21" s="9"/>
      <c r="R21" s="9"/>
      <c r="S21" s="23">
        <f t="shared" si="0"/>
        <v>2.7300000000000004</v>
      </c>
      <c r="T21" s="24"/>
      <c r="U21" s="8"/>
    </row>
    <row r="22" spans="1:21" x14ac:dyDescent="0.25">
      <c r="A22" s="12" t="s">
        <v>61</v>
      </c>
      <c r="B22" s="13" t="s">
        <v>41</v>
      </c>
      <c r="C22" s="14"/>
      <c r="D22" s="40"/>
      <c r="E22" s="42"/>
      <c r="F22" s="42"/>
      <c r="G22" s="42" t="s">
        <v>82</v>
      </c>
      <c r="H22" s="10"/>
      <c r="I22" s="16"/>
      <c r="J22" s="9">
        <f>1.05+1.5*2</f>
        <v>4.05</v>
      </c>
      <c r="K22" s="9">
        <v>2.6</v>
      </c>
      <c r="L22" s="9"/>
      <c r="M22" s="9">
        <f>0.7*2</f>
        <v>1.4</v>
      </c>
      <c r="N22" s="9"/>
      <c r="O22" s="9"/>
      <c r="P22" s="9"/>
      <c r="Q22" s="9"/>
      <c r="R22" s="9"/>
      <c r="S22" s="23">
        <f t="shared" si="0"/>
        <v>9.129999999999999</v>
      </c>
      <c r="T22" s="24"/>
      <c r="U22" s="8"/>
    </row>
    <row r="23" spans="1:21" x14ac:dyDescent="0.25">
      <c r="A23" s="12" t="s">
        <v>61</v>
      </c>
      <c r="B23" s="13" t="s">
        <v>42</v>
      </c>
      <c r="C23" s="14"/>
      <c r="D23" s="40" t="s">
        <v>195</v>
      </c>
      <c r="E23" s="42" t="s">
        <v>86</v>
      </c>
      <c r="F23" s="42"/>
      <c r="G23" s="42"/>
      <c r="H23" s="10"/>
      <c r="I23" s="16" t="s">
        <v>89</v>
      </c>
      <c r="J23" s="9">
        <v>10.3</v>
      </c>
      <c r="K23" s="9">
        <v>2</v>
      </c>
      <c r="L23" s="9"/>
      <c r="M23" s="9">
        <f>0.9*2</f>
        <v>1.8</v>
      </c>
      <c r="N23" s="9"/>
      <c r="O23" s="9"/>
      <c r="P23" s="9"/>
      <c r="Q23" s="9"/>
      <c r="R23" s="9"/>
      <c r="S23" s="23">
        <f t="shared" si="0"/>
        <v>18.8</v>
      </c>
      <c r="T23" s="24"/>
      <c r="U23" s="8"/>
    </row>
    <row r="24" spans="1:21" x14ac:dyDescent="0.25">
      <c r="A24" s="12" t="s">
        <v>61</v>
      </c>
      <c r="B24" s="13" t="s">
        <v>42</v>
      </c>
      <c r="C24" s="14"/>
      <c r="D24" s="40" t="s">
        <v>195</v>
      </c>
      <c r="E24" s="42"/>
      <c r="F24" s="42"/>
      <c r="G24" s="42" t="s">
        <v>82</v>
      </c>
      <c r="H24" s="10"/>
      <c r="I24" s="16"/>
      <c r="J24" s="9">
        <v>10.3</v>
      </c>
      <c r="K24" s="9">
        <f>2.6-2</f>
        <v>0.60000000000000009</v>
      </c>
      <c r="L24" s="9"/>
      <c r="M24" s="9"/>
      <c r="N24" s="9"/>
      <c r="O24" s="9"/>
      <c r="P24" s="9"/>
      <c r="Q24" s="9"/>
      <c r="R24" s="9"/>
      <c r="S24" s="23">
        <f t="shared" si="0"/>
        <v>6.1800000000000015</v>
      </c>
      <c r="T24" s="24"/>
      <c r="U24" s="8"/>
    </row>
    <row r="25" spans="1:21" x14ac:dyDescent="0.25">
      <c r="A25" s="12" t="s">
        <v>61</v>
      </c>
      <c r="B25" s="13" t="s">
        <v>43</v>
      </c>
      <c r="C25" s="14"/>
      <c r="D25" s="40" t="s">
        <v>195</v>
      </c>
      <c r="E25" s="42" t="s">
        <v>86</v>
      </c>
      <c r="F25" s="42"/>
      <c r="G25" s="42"/>
      <c r="H25" s="10"/>
      <c r="I25" s="16" t="s">
        <v>89</v>
      </c>
      <c r="J25" s="9">
        <f>5.92+5.22</f>
        <v>11.14</v>
      </c>
      <c r="K25" s="9">
        <v>2</v>
      </c>
      <c r="L25" s="9"/>
      <c r="M25" s="9">
        <f>0.7*2*3</f>
        <v>4.1999999999999993</v>
      </c>
      <c r="N25" s="9"/>
      <c r="O25" s="9"/>
      <c r="P25" s="9"/>
      <c r="Q25" s="9"/>
      <c r="R25" s="9"/>
      <c r="S25" s="23">
        <f t="shared" si="0"/>
        <v>18.080000000000002</v>
      </c>
      <c r="T25" s="24"/>
      <c r="U25" s="8"/>
    </row>
    <row r="26" spans="1:21" x14ac:dyDescent="0.25">
      <c r="A26" s="12" t="s">
        <v>61</v>
      </c>
      <c r="B26" s="13" t="s">
        <v>43</v>
      </c>
      <c r="C26" s="14"/>
      <c r="D26" s="40" t="s">
        <v>195</v>
      </c>
      <c r="E26" s="42"/>
      <c r="F26" s="42"/>
      <c r="G26" s="42" t="s">
        <v>82</v>
      </c>
      <c r="H26" s="10"/>
      <c r="I26" s="16"/>
      <c r="J26" s="9">
        <f>5.92+5.22</f>
        <v>11.14</v>
      </c>
      <c r="K26" s="9">
        <f>2.6-2</f>
        <v>0.60000000000000009</v>
      </c>
      <c r="L26" s="9"/>
      <c r="M26" s="9"/>
      <c r="N26" s="9"/>
      <c r="O26" s="9"/>
      <c r="P26" s="9"/>
      <c r="Q26" s="9"/>
      <c r="R26" s="9"/>
      <c r="S26" s="23">
        <f t="shared" si="0"/>
        <v>6.6840000000000011</v>
      </c>
      <c r="T26" s="24"/>
      <c r="U26" s="8"/>
    </row>
    <row r="27" spans="1:21" x14ac:dyDescent="0.25">
      <c r="A27" s="12" t="s">
        <v>61</v>
      </c>
      <c r="B27" s="13" t="s">
        <v>44</v>
      </c>
      <c r="C27" s="14" t="s">
        <v>88</v>
      </c>
      <c r="D27" s="40" t="s">
        <v>195</v>
      </c>
      <c r="E27" s="42" t="s">
        <v>86</v>
      </c>
      <c r="F27" s="42"/>
      <c r="G27" s="42"/>
      <c r="H27" s="10"/>
      <c r="I27" s="16" t="s">
        <v>89</v>
      </c>
      <c r="J27" s="9">
        <f>2.25+1.65*2</f>
        <v>5.55</v>
      </c>
      <c r="K27" s="9">
        <v>2</v>
      </c>
      <c r="L27" s="9"/>
      <c r="M27" s="9">
        <f>0.8*2+0.7*2</f>
        <v>3</v>
      </c>
      <c r="N27" s="9"/>
      <c r="O27" s="9"/>
      <c r="P27" s="9"/>
      <c r="Q27" s="9"/>
      <c r="R27" s="9"/>
      <c r="S27" s="23">
        <f t="shared" si="0"/>
        <v>8.1</v>
      </c>
      <c r="T27" s="24"/>
      <c r="U27" s="8"/>
    </row>
    <row r="28" spans="1:21" x14ac:dyDescent="0.25">
      <c r="A28" s="12" t="s">
        <v>61</v>
      </c>
      <c r="B28" s="13" t="s">
        <v>44</v>
      </c>
      <c r="C28" s="14" t="s">
        <v>88</v>
      </c>
      <c r="D28" s="40" t="s">
        <v>195</v>
      </c>
      <c r="E28" s="42" t="s">
        <v>86</v>
      </c>
      <c r="F28" s="42"/>
      <c r="G28" s="42"/>
      <c r="H28" s="10"/>
      <c r="I28" s="16" t="s">
        <v>146</v>
      </c>
      <c r="J28" s="9">
        <v>2.25</v>
      </c>
      <c r="K28" s="9">
        <v>2</v>
      </c>
      <c r="L28" s="9"/>
      <c r="M28" s="9"/>
      <c r="N28" s="9"/>
      <c r="O28" s="9"/>
      <c r="P28" s="9"/>
      <c r="Q28" s="9"/>
      <c r="R28" s="9"/>
      <c r="S28" s="23">
        <f t="shared" si="0"/>
        <v>4.5</v>
      </c>
      <c r="T28" s="24"/>
      <c r="U28" s="8"/>
    </row>
    <row r="29" spans="1:21" x14ac:dyDescent="0.25">
      <c r="A29" s="12" t="s">
        <v>61</v>
      </c>
      <c r="B29" s="13" t="s">
        <v>44</v>
      </c>
      <c r="C29" s="14" t="s">
        <v>88</v>
      </c>
      <c r="D29" s="40" t="s">
        <v>195</v>
      </c>
      <c r="E29" s="42"/>
      <c r="F29" s="42" t="s">
        <v>83</v>
      </c>
      <c r="G29" s="42"/>
      <c r="H29" s="10"/>
      <c r="I29" s="16"/>
      <c r="J29" s="9">
        <f>J28</f>
        <v>2.25</v>
      </c>
      <c r="K29" s="9">
        <v>0.6</v>
      </c>
      <c r="L29" s="9"/>
      <c r="M29" s="9"/>
      <c r="N29" s="9"/>
      <c r="O29" s="9"/>
      <c r="P29" s="9"/>
      <c r="Q29" s="9"/>
      <c r="R29" s="9"/>
      <c r="S29" s="23">
        <f t="shared" si="0"/>
        <v>1.3499999999999999</v>
      </c>
      <c r="T29" s="24"/>
      <c r="U29" s="8"/>
    </row>
    <row r="30" spans="1:21" x14ac:dyDescent="0.25">
      <c r="A30" s="12" t="s">
        <v>61</v>
      </c>
      <c r="B30" s="13" t="s">
        <v>44</v>
      </c>
      <c r="C30" s="14" t="s">
        <v>88</v>
      </c>
      <c r="D30" s="40" t="s">
        <v>195</v>
      </c>
      <c r="E30" s="42"/>
      <c r="F30" s="42"/>
      <c r="G30" s="42" t="s">
        <v>82</v>
      </c>
      <c r="H30" s="10"/>
      <c r="I30" s="16"/>
      <c r="J30" s="9">
        <f>J27</f>
        <v>5.55</v>
      </c>
      <c r="K30" s="9">
        <v>0.6</v>
      </c>
      <c r="L30" s="9"/>
      <c r="M30" s="9"/>
      <c r="N30" s="9"/>
      <c r="O30" s="9"/>
      <c r="P30" s="9"/>
      <c r="Q30" s="9"/>
      <c r="R30" s="9"/>
      <c r="S30" s="23">
        <f t="shared" si="0"/>
        <v>3.3299999999999996</v>
      </c>
      <c r="T30" s="24"/>
      <c r="U30" s="8"/>
    </row>
    <row r="31" spans="1:21" x14ac:dyDescent="0.25">
      <c r="A31" s="12" t="s">
        <v>61</v>
      </c>
      <c r="B31" s="13" t="s">
        <v>44</v>
      </c>
      <c r="C31" s="14" t="s">
        <v>90</v>
      </c>
      <c r="D31" s="40" t="s">
        <v>195</v>
      </c>
      <c r="E31" s="42" t="s">
        <v>86</v>
      </c>
      <c r="F31" s="42"/>
      <c r="G31" s="42"/>
      <c r="H31" s="10"/>
      <c r="I31" s="16" t="s">
        <v>89</v>
      </c>
      <c r="J31" s="9">
        <f>1.5+1.8</f>
        <v>3.3</v>
      </c>
      <c r="K31" s="9">
        <v>2</v>
      </c>
      <c r="L31" s="9"/>
      <c r="M31" s="9">
        <f>0.7*2</f>
        <v>1.4</v>
      </c>
      <c r="N31" s="9"/>
      <c r="O31" s="9"/>
      <c r="P31" s="9"/>
      <c r="Q31" s="9"/>
      <c r="R31" s="9"/>
      <c r="S31" s="23">
        <f t="shared" si="0"/>
        <v>5.1999999999999993</v>
      </c>
      <c r="T31" s="24"/>
      <c r="U31" s="8"/>
    </row>
    <row r="32" spans="1:21" x14ac:dyDescent="0.25">
      <c r="A32" s="12" t="s">
        <v>61</v>
      </c>
      <c r="B32" s="13" t="s">
        <v>44</v>
      </c>
      <c r="C32" s="14" t="s">
        <v>90</v>
      </c>
      <c r="D32" s="40" t="s">
        <v>195</v>
      </c>
      <c r="E32" s="42" t="s">
        <v>86</v>
      </c>
      <c r="F32" s="42"/>
      <c r="G32" s="42"/>
      <c r="H32" s="10"/>
      <c r="I32" s="16" t="s">
        <v>146</v>
      </c>
      <c r="J32" s="9">
        <f>1.5+1.8</f>
        <v>3.3</v>
      </c>
      <c r="K32" s="9">
        <v>2</v>
      </c>
      <c r="L32" s="9"/>
      <c r="M32" s="9"/>
      <c r="N32" s="9"/>
      <c r="O32" s="9"/>
      <c r="P32" s="9"/>
      <c r="Q32" s="9"/>
      <c r="R32" s="9"/>
      <c r="S32" s="23">
        <f t="shared" si="0"/>
        <v>6.6</v>
      </c>
      <c r="T32" s="24"/>
      <c r="U32" s="8"/>
    </row>
    <row r="33" spans="1:21" x14ac:dyDescent="0.25">
      <c r="A33" s="12" t="s">
        <v>61</v>
      </c>
      <c r="B33" s="13" t="s">
        <v>44</v>
      </c>
      <c r="C33" s="14" t="s">
        <v>90</v>
      </c>
      <c r="D33" s="40" t="s">
        <v>195</v>
      </c>
      <c r="E33" s="42"/>
      <c r="F33" s="42" t="s">
        <v>83</v>
      </c>
      <c r="G33" s="42"/>
      <c r="H33" s="10"/>
      <c r="I33" s="16"/>
      <c r="J33" s="9">
        <f t="shared" ref="J33:J34" si="1">1.5+1.8</f>
        <v>3.3</v>
      </c>
      <c r="K33" s="9">
        <v>0.6</v>
      </c>
      <c r="L33" s="9"/>
      <c r="M33" s="9"/>
      <c r="N33" s="9"/>
      <c r="O33" s="9"/>
      <c r="P33" s="9"/>
      <c r="Q33" s="9"/>
      <c r="R33" s="9"/>
      <c r="S33" s="23">
        <f t="shared" si="0"/>
        <v>1.9799999999999998</v>
      </c>
      <c r="T33" s="24"/>
      <c r="U33" s="8"/>
    </row>
    <row r="34" spans="1:21" x14ac:dyDescent="0.25">
      <c r="A34" s="12" t="s">
        <v>61</v>
      </c>
      <c r="B34" s="13" t="s">
        <v>44</v>
      </c>
      <c r="C34" s="14" t="s">
        <v>90</v>
      </c>
      <c r="D34" s="40" t="s">
        <v>195</v>
      </c>
      <c r="E34" s="42"/>
      <c r="F34" s="42"/>
      <c r="G34" s="42" t="s">
        <v>82</v>
      </c>
      <c r="H34" s="10"/>
      <c r="I34" s="16"/>
      <c r="J34" s="9">
        <f t="shared" si="1"/>
        <v>3.3</v>
      </c>
      <c r="K34" s="9">
        <v>0.6</v>
      </c>
      <c r="L34" s="9"/>
      <c r="M34" s="9"/>
      <c r="N34" s="9"/>
      <c r="O34" s="9"/>
      <c r="P34" s="9"/>
      <c r="Q34" s="9"/>
      <c r="R34" s="9"/>
      <c r="S34" s="23">
        <f t="shared" si="0"/>
        <v>1.9799999999999998</v>
      </c>
      <c r="T34" s="24"/>
      <c r="U34" s="8"/>
    </row>
    <row r="35" spans="1:21" x14ac:dyDescent="0.25">
      <c r="A35" s="12" t="s">
        <v>61</v>
      </c>
      <c r="B35" s="13" t="s">
        <v>45</v>
      </c>
      <c r="C35" s="14" t="s">
        <v>88</v>
      </c>
      <c r="D35" s="40" t="s">
        <v>195</v>
      </c>
      <c r="E35" s="42" t="s">
        <v>86</v>
      </c>
      <c r="F35" s="42"/>
      <c r="G35" s="42"/>
      <c r="H35" s="10"/>
      <c r="I35" s="16" t="s">
        <v>89</v>
      </c>
      <c r="J35" s="9">
        <f>3.4+1.45*2</f>
        <v>6.3</v>
      </c>
      <c r="K35" s="9">
        <v>2</v>
      </c>
      <c r="L35" s="9"/>
      <c r="M35" s="9">
        <f>0.7*2*3</f>
        <v>4.1999999999999993</v>
      </c>
      <c r="N35" s="9"/>
      <c r="O35" s="9"/>
      <c r="P35" s="9"/>
      <c r="Q35" s="9"/>
      <c r="R35" s="9"/>
      <c r="S35" s="23">
        <f t="shared" si="0"/>
        <v>8.4</v>
      </c>
      <c r="T35" s="24"/>
      <c r="U35" s="8"/>
    </row>
    <row r="36" spans="1:21" x14ac:dyDescent="0.25">
      <c r="A36" s="12" t="s">
        <v>61</v>
      </c>
      <c r="B36" s="13" t="s">
        <v>45</v>
      </c>
      <c r="C36" s="14" t="s">
        <v>88</v>
      </c>
      <c r="D36" s="40" t="s">
        <v>195</v>
      </c>
      <c r="E36" s="42" t="s">
        <v>86</v>
      </c>
      <c r="F36" s="42"/>
      <c r="G36" s="42"/>
      <c r="H36" s="10"/>
      <c r="I36" s="16" t="s">
        <v>146</v>
      </c>
      <c r="J36" s="9">
        <v>3.4</v>
      </c>
      <c r="K36" s="9">
        <v>2</v>
      </c>
      <c r="L36" s="9"/>
      <c r="M36" s="9"/>
      <c r="N36" s="9"/>
      <c r="O36" s="9"/>
      <c r="P36" s="9"/>
      <c r="Q36" s="9"/>
      <c r="R36" s="9"/>
      <c r="S36" s="23">
        <f t="shared" si="0"/>
        <v>6.8</v>
      </c>
      <c r="T36" s="24"/>
      <c r="U36" s="8"/>
    </row>
    <row r="37" spans="1:21" x14ac:dyDescent="0.25">
      <c r="A37" s="12" t="s">
        <v>61</v>
      </c>
      <c r="B37" s="13" t="s">
        <v>45</v>
      </c>
      <c r="C37" s="14" t="s">
        <v>88</v>
      </c>
      <c r="D37" s="40" t="s">
        <v>195</v>
      </c>
      <c r="E37" s="42"/>
      <c r="F37" s="42" t="s">
        <v>83</v>
      </c>
      <c r="G37" s="42"/>
      <c r="H37" s="10"/>
      <c r="I37" s="16"/>
      <c r="J37" s="9">
        <f>J36</f>
        <v>3.4</v>
      </c>
      <c r="K37" s="9">
        <v>0.6</v>
      </c>
      <c r="L37" s="9"/>
      <c r="M37" s="9"/>
      <c r="N37" s="9"/>
      <c r="O37" s="9"/>
      <c r="P37" s="9"/>
      <c r="Q37" s="9"/>
      <c r="R37" s="9"/>
      <c r="S37" s="23">
        <f t="shared" si="0"/>
        <v>2.04</v>
      </c>
      <c r="T37" s="24"/>
      <c r="U37" s="8"/>
    </row>
    <row r="38" spans="1:21" x14ac:dyDescent="0.25">
      <c r="A38" s="12" t="s">
        <v>61</v>
      </c>
      <c r="B38" s="13" t="s">
        <v>45</v>
      </c>
      <c r="C38" s="14" t="s">
        <v>88</v>
      </c>
      <c r="D38" s="40" t="s">
        <v>195</v>
      </c>
      <c r="E38" s="42"/>
      <c r="F38" s="42"/>
      <c r="G38" s="42" t="s">
        <v>82</v>
      </c>
      <c r="H38" s="10"/>
      <c r="I38" s="16"/>
      <c r="J38" s="9">
        <f>J35</f>
        <v>6.3</v>
      </c>
      <c r="K38" s="9">
        <v>0.6</v>
      </c>
      <c r="L38" s="9"/>
      <c r="M38" s="9"/>
      <c r="N38" s="9"/>
      <c r="O38" s="9"/>
      <c r="P38" s="9"/>
      <c r="Q38" s="9"/>
      <c r="R38" s="9"/>
      <c r="S38" s="23">
        <f t="shared" si="0"/>
        <v>3.78</v>
      </c>
      <c r="T38" s="24"/>
      <c r="U38" s="8"/>
    </row>
    <row r="39" spans="1:21" x14ac:dyDescent="0.25">
      <c r="A39" s="12" t="s">
        <v>61</v>
      </c>
      <c r="B39" s="13" t="s">
        <v>45</v>
      </c>
      <c r="C39" s="14" t="s">
        <v>90</v>
      </c>
      <c r="D39" s="40" t="s">
        <v>195</v>
      </c>
      <c r="E39" s="42" t="s">
        <v>86</v>
      </c>
      <c r="F39" s="42"/>
      <c r="G39" s="42"/>
      <c r="H39" s="10"/>
      <c r="I39" s="16" t="s">
        <v>89</v>
      </c>
      <c r="J39" s="9">
        <f>1.5+1.8*2</f>
        <v>5.0999999999999996</v>
      </c>
      <c r="K39" s="9">
        <v>2</v>
      </c>
      <c r="L39" s="9"/>
      <c r="M39" s="9">
        <f>0.7*2</f>
        <v>1.4</v>
      </c>
      <c r="N39" s="9"/>
      <c r="O39" s="9"/>
      <c r="P39" s="9"/>
      <c r="Q39" s="9"/>
      <c r="R39" s="9"/>
      <c r="S39" s="23">
        <f t="shared" si="0"/>
        <v>8.7999999999999989</v>
      </c>
      <c r="T39" s="24"/>
      <c r="U39" s="8"/>
    </row>
    <row r="40" spans="1:21" x14ac:dyDescent="0.25">
      <c r="A40" s="12" t="s">
        <v>61</v>
      </c>
      <c r="B40" s="13" t="s">
        <v>45</v>
      </c>
      <c r="C40" s="14" t="s">
        <v>90</v>
      </c>
      <c r="D40" s="40" t="s">
        <v>195</v>
      </c>
      <c r="E40" s="42" t="s">
        <v>86</v>
      </c>
      <c r="F40" s="42"/>
      <c r="G40" s="42"/>
      <c r="H40" s="10"/>
      <c r="I40" s="16" t="s">
        <v>146</v>
      </c>
      <c r="J40" s="9">
        <v>1.5</v>
      </c>
      <c r="K40" s="9">
        <v>2</v>
      </c>
      <c r="L40" s="9"/>
      <c r="M40" s="9"/>
      <c r="N40" s="9"/>
      <c r="O40" s="9"/>
      <c r="P40" s="9"/>
      <c r="Q40" s="9"/>
      <c r="R40" s="9"/>
      <c r="S40" s="23">
        <f t="shared" si="0"/>
        <v>3</v>
      </c>
      <c r="T40" s="24"/>
      <c r="U40" s="8"/>
    </row>
    <row r="41" spans="1:21" x14ac:dyDescent="0.25">
      <c r="A41" s="12" t="s">
        <v>61</v>
      </c>
      <c r="B41" s="13" t="s">
        <v>45</v>
      </c>
      <c r="C41" s="14" t="s">
        <v>90</v>
      </c>
      <c r="D41" s="40" t="s">
        <v>195</v>
      </c>
      <c r="E41" s="42"/>
      <c r="F41" s="42" t="s">
        <v>83</v>
      </c>
      <c r="G41" s="42"/>
      <c r="H41" s="10"/>
      <c r="I41" s="16"/>
      <c r="J41" s="9">
        <f>J40</f>
        <v>1.5</v>
      </c>
      <c r="K41" s="9">
        <v>0.6</v>
      </c>
      <c r="L41" s="9"/>
      <c r="M41" s="9"/>
      <c r="N41" s="9"/>
      <c r="O41" s="9"/>
      <c r="P41" s="9"/>
      <c r="Q41" s="9"/>
      <c r="R41" s="9"/>
      <c r="S41" s="23">
        <f t="shared" si="0"/>
        <v>0.89999999999999991</v>
      </c>
      <c r="T41" s="24"/>
      <c r="U41" s="8"/>
    </row>
    <row r="42" spans="1:21" x14ac:dyDescent="0.25">
      <c r="A42" s="12" t="s">
        <v>61</v>
      </c>
      <c r="B42" s="13" t="s">
        <v>45</v>
      </c>
      <c r="C42" s="14" t="s">
        <v>90</v>
      </c>
      <c r="D42" s="40" t="s">
        <v>195</v>
      </c>
      <c r="E42" s="42"/>
      <c r="F42" s="42"/>
      <c r="G42" s="42" t="s">
        <v>82</v>
      </c>
      <c r="H42" s="10"/>
      <c r="I42" s="16"/>
      <c r="J42" s="9">
        <f>J39</f>
        <v>5.0999999999999996</v>
      </c>
      <c r="K42" s="9">
        <v>0.6</v>
      </c>
      <c r="L42" s="9"/>
      <c r="M42" s="9"/>
      <c r="N42" s="9"/>
      <c r="O42" s="9"/>
      <c r="P42" s="9"/>
      <c r="Q42" s="9"/>
      <c r="R42" s="9"/>
      <c r="S42" s="23">
        <f t="shared" si="0"/>
        <v>3.0599999999999996</v>
      </c>
      <c r="T42" s="24"/>
      <c r="U42" s="8"/>
    </row>
    <row r="43" spans="1:21" x14ac:dyDescent="0.25">
      <c r="A43" s="12" t="s">
        <v>61</v>
      </c>
      <c r="B43" s="13" t="s">
        <v>45</v>
      </c>
      <c r="C43" s="14" t="s">
        <v>91</v>
      </c>
      <c r="D43" s="40" t="s">
        <v>195</v>
      </c>
      <c r="E43" s="42" t="s">
        <v>86</v>
      </c>
      <c r="F43" s="42"/>
      <c r="G43" s="42"/>
      <c r="H43" s="10"/>
      <c r="I43" s="16" t="s">
        <v>89</v>
      </c>
      <c r="J43" s="9">
        <f>1.5+1.8*2</f>
        <v>5.0999999999999996</v>
      </c>
      <c r="K43" s="9">
        <v>2</v>
      </c>
      <c r="L43" s="9"/>
      <c r="M43" s="9">
        <f>0.7*2</f>
        <v>1.4</v>
      </c>
      <c r="N43" s="9"/>
      <c r="O43" s="9"/>
      <c r="P43" s="9"/>
      <c r="Q43" s="9"/>
      <c r="R43" s="9"/>
      <c r="S43" s="23">
        <f t="shared" si="0"/>
        <v>8.7999999999999989</v>
      </c>
      <c r="T43" s="24"/>
      <c r="U43" s="8"/>
    </row>
    <row r="44" spans="1:21" x14ac:dyDescent="0.25">
      <c r="A44" s="12" t="s">
        <v>61</v>
      </c>
      <c r="B44" s="13" t="s">
        <v>45</v>
      </c>
      <c r="C44" s="14" t="s">
        <v>91</v>
      </c>
      <c r="D44" s="40" t="s">
        <v>195</v>
      </c>
      <c r="E44" s="42" t="s">
        <v>86</v>
      </c>
      <c r="F44" s="42"/>
      <c r="G44" s="42"/>
      <c r="H44" s="10"/>
      <c r="I44" s="16" t="s">
        <v>146</v>
      </c>
      <c r="J44" s="9">
        <v>1.5</v>
      </c>
      <c r="K44" s="9">
        <v>2</v>
      </c>
      <c r="L44" s="9"/>
      <c r="M44" s="9"/>
      <c r="N44" s="9"/>
      <c r="O44" s="9"/>
      <c r="P44" s="9"/>
      <c r="Q44" s="9"/>
      <c r="R44" s="9"/>
      <c r="S44" s="23">
        <f t="shared" si="0"/>
        <v>3</v>
      </c>
      <c r="T44" s="24"/>
      <c r="U44" s="8"/>
    </row>
    <row r="45" spans="1:21" x14ac:dyDescent="0.25">
      <c r="A45" s="12" t="s">
        <v>61</v>
      </c>
      <c r="B45" s="13" t="s">
        <v>45</v>
      </c>
      <c r="C45" s="14" t="s">
        <v>91</v>
      </c>
      <c r="D45" s="40" t="s">
        <v>195</v>
      </c>
      <c r="E45" s="42"/>
      <c r="F45" s="42" t="s">
        <v>83</v>
      </c>
      <c r="G45" s="42"/>
      <c r="H45" s="10"/>
      <c r="I45" s="16"/>
      <c r="J45" s="9">
        <f>J44</f>
        <v>1.5</v>
      </c>
      <c r="K45" s="9">
        <v>0.6</v>
      </c>
      <c r="L45" s="9"/>
      <c r="M45" s="9"/>
      <c r="N45" s="9"/>
      <c r="O45" s="9"/>
      <c r="P45" s="9"/>
      <c r="Q45" s="9"/>
      <c r="R45" s="9"/>
      <c r="S45" s="23">
        <f t="shared" si="0"/>
        <v>0.89999999999999991</v>
      </c>
      <c r="T45" s="24"/>
      <c r="U45" s="8"/>
    </row>
    <row r="46" spans="1:21" x14ac:dyDescent="0.25">
      <c r="A46" s="12" t="s">
        <v>61</v>
      </c>
      <c r="B46" s="13" t="s">
        <v>45</v>
      </c>
      <c r="C46" s="14" t="s">
        <v>91</v>
      </c>
      <c r="D46" s="40" t="s">
        <v>195</v>
      </c>
      <c r="E46" s="42"/>
      <c r="F46" s="42"/>
      <c r="G46" s="42" t="s">
        <v>82</v>
      </c>
      <c r="H46" s="10"/>
      <c r="I46" s="16"/>
      <c r="J46" s="9">
        <f>J43</f>
        <v>5.0999999999999996</v>
      </c>
      <c r="K46" s="9">
        <v>0.6</v>
      </c>
      <c r="L46" s="9"/>
      <c r="M46" s="9"/>
      <c r="N46" s="9"/>
      <c r="O46" s="9"/>
      <c r="P46" s="9"/>
      <c r="Q46" s="9"/>
      <c r="R46" s="9"/>
      <c r="S46" s="23">
        <f t="shared" si="0"/>
        <v>3.0599999999999996</v>
      </c>
      <c r="T46" s="24"/>
      <c r="U46" s="8"/>
    </row>
    <row r="47" spans="1:21" x14ac:dyDescent="0.25">
      <c r="A47" s="12" t="s">
        <v>61</v>
      </c>
      <c r="B47" s="13" t="s">
        <v>46</v>
      </c>
      <c r="C47" s="14"/>
      <c r="D47" s="40"/>
      <c r="E47" s="42" t="s">
        <v>86</v>
      </c>
      <c r="F47" s="42"/>
      <c r="G47" s="42"/>
      <c r="H47" s="10"/>
      <c r="I47" s="16" t="s">
        <v>89</v>
      </c>
      <c r="J47" s="9">
        <f>6.05+4.15</f>
        <v>10.199999999999999</v>
      </c>
      <c r="K47" s="9">
        <v>2</v>
      </c>
      <c r="L47" s="9"/>
      <c r="M47" s="9">
        <f>0.8*2+0.7*2</f>
        <v>3</v>
      </c>
      <c r="N47" s="9"/>
      <c r="O47" s="9"/>
      <c r="P47" s="9"/>
      <c r="Q47" s="9"/>
      <c r="R47" s="9"/>
      <c r="S47" s="23">
        <f t="shared" si="0"/>
        <v>17.399999999999999</v>
      </c>
      <c r="T47" s="24"/>
      <c r="U47" s="8"/>
    </row>
    <row r="48" spans="1:21" x14ac:dyDescent="0.25">
      <c r="A48" s="12" t="s">
        <v>61</v>
      </c>
      <c r="B48" s="13" t="s">
        <v>46</v>
      </c>
      <c r="C48" s="14"/>
      <c r="D48" s="40"/>
      <c r="E48" s="42" t="s">
        <v>86</v>
      </c>
      <c r="F48" s="42"/>
      <c r="G48" s="42"/>
      <c r="H48" s="10"/>
      <c r="I48" s="16" t="s">
        <v>146</v>
      </c>
      <c r="J48" s="9">
        <f>6.05+4.15+(0.4*2+0.2*2)*2</f>
        <v>12.6</v>
      </c>
      <c r="K48" s="9">
        <v>2</v>
      </c>
      <c r="L48" s="9"/>
      <c r="M48" s="9"/>
      <c r="N48" s="9"/>
      <c r="O48" s="9"/>
      <c r="P48" s="9"/>
      <c r="Q48" s="9"/>
      <c r="R48" s="9"/>
      <c r="S48" s="23">
        <f t="shared" si="0"/>
        <v>25.2</v>
      </c>
      <c r="T48" s="24"/>
      <c r="U48" s="8"/>
    </row>
    <row r="49" spans="1:21" x14ac:dyDescent="0.25">
      <c r="A49" s="12" t="s">
        <v>61</v>
      </c>
      <c r="B49" s="13" t="s">
        <v>46</v>
      </c>
      <c r="C49" s="14"/>
      <c r="D49" s="40"/>
      <c r="E49" s="42"/>
      <c r="F49" s="42" t="s">
        <v>83</v>
      </c>
      <c r="G49" s="42"/>
      <c r="H49" s="10"/>
      <c r="I49" s="16"/>
      <c r="J49" s="9">
        <f>J48</f>
        <v>12.6</v>
      </c>
      <c r="K49" s="9">
        <f>2.7-2</f>
        <v>0.70000000000000018</v>
      </c>
      <c r="L49" s="9"/>
      <c r="M49" s="9"/>
      <c r="N49" s="9"/>
      <c r="O49" s="9"/>
      <c r="P49" s="9"/>
      <c r="Q49" s="9"/>
      <c r="R49" s="9"/>
      <c r="S49" s="23">
        <f t="shared" si="0"/>
        <v>8.8200000000000021</v>
      </c>
      <c r="T49" s="24"/>
      <c r="U49" s="8"/>
    </row>
    <row r="50" spans="1:21" x14ac:dyDescent="0.25">
      <c r="A50" s="12" t="s">
        <v>61</v>
      </c>
      <c r="B50" s="13" t="s">
        <v>46</v>
      </c>
      <c r="C50" s="14"/>
      <c r="D50" s="40"/>
      <c r="E50" s="42"/>
      <c r="F50" s="42"/>
      <c r="G50" s="42" t="s">
        <v>82</v>
      </c>
      <c r="H50" s="10"/>
      <c r="I50" s="16"/>
      <c r="J50" s="9">
        <f>J47</f>
        <v>10.199999999999999</v>
      </c>
      <c r="K50" s="9">
        <f>2.7-2</f>
        <v>0.70000000000000018</v>
      </c>
      <c r="L50" s="9"/>
      <c r="M50" s="9"/>
      <c r="N50" s="9"/>
      <c r="O50" s="9"/>
      <c r="P50" s="9"/>
      <c r="Q50" s="9"/>
      <c r="R50" s="9"/>
      <c r="S50" s="23">
        <f t="shared" si="0"/>
        <v>7.1400000000000015</v>
      </c>
      <c r="T50" s="24"/>
      <c r="U50" s="8"/>
    </row>
    <row r="51" spans="1:21" x14ac:dyDescent="0.25">
      <c r="A51" s="12" t="s">
        <v>61</v>
      </c>
      <c r="B51" s="13" t="s">
        <v>51</v>
      </c>
      <c r="C51" s="14"/>
      <c r="D51" s="40"/>
      <c r="E51" s="42"/>
      <c r="F51" s="42" t="s">
        <v>83</v>
      </c>
      <c r="G51" s="42"/>
      <c r="H51" s="10"/>
      <c r="I51" s="16"/>
      <c r="J51" s="9">
        <f>2.5+5.15</f>
        <v>7.65</v>
      </c>
      <c r="K51" s="9">
        <v>3.35</v>
      </c>
      <c r="L51" s="9"/>
      <c r="M51" s="9"/>
      <c r="N51" s="9"/>
      <c r="O51" s="9"/>
      <c r="P51" s="9"/>
      <c r="Q51" s="9"/>
      <c r="R51" s="9"/>
      <c r="S51" s="23">
        <f t="shared" si="0"/>
        <v>25.627500000000001</v>
      </c>
      <c r="T51" s="24"/>
      <c r="U51" s="8"/>
    </row>
    <row r="52" spans="1:21" x14ac:dyDescent="0.25">
      <c r="A52" s="12" t="s">
        <v>61</v>
      </c>
      <c r="B52" s="13" t="s">
        <v>51</v>
      </c>
      <c r="C52" s="14"/>
      <c r="D52" s="40"/>
      <c r="E52" s="42"/>
      <c r="F52" s="42"/>
      <c r="G52" s="42" t="s">
        <v>82</v>
      </c>
      <c r="H52" s="10"/>
      <c r="I52" s="16"/>
      <c r="J52" s="9">
        <f>2.5+5.15</f>
        <v>7.65</v>
      </c>
      <c r="K52" s="9">
        <v>3.35</v>
      </c>
      <c r="L52" s="9"/>
      <c r="M52" s="9">
        <f>1*2</f>
        <v>2</v>
      </c>
      <c r="N52" s="9"/>
      <c r="O52" s="9"/>
      <c r="P52" s="9"/>
      <c r="Q52" s="9"/>
      <c r="R52" s="9"/>
      <c r="S52" s="23">
        <f t="shared" si="0"/>
        <v>23.627500000000001</v>
      </c>
      <c r="T52" s="24"/>
      <c r="U52" s="8"/>
    </row>
    <row r="53" spans="1:21" x14ac:dyDescent="0.25">
      <c r="A53" s="12" t="s">
        <v>61</v>
      </c>
      <c r="B53" s="13" t="s">
        <v>52</v>
      </c>
      <c r="C53" s="14"/>
      <c r="D53" s="40" t="s">
        <v>195</v>
      </c>
      <c r="E53" s="42" t="s">
        <v>86</v>
      </c>
      <c r="F53" s="42"/>
      <c r="G53" s="42"/>
      <c r="H53" s="10"/>
      <c r="I53" s="16" t="s">
        <v>89</v>
      </c>
      <c r="J53" s="9">
        <v>10.3</v>
      </c>
      <c r="K53" s="9">
        <v>2</v>
      </c>
      <c r="L53" s="9"/>
      <c r="M53" s="9">
        <f>0.8*2</f>
        <v>1.6</v>
      </c>
      <c r="N53" s="9"/>
      <c r="O53" s="9"/>
      <c r="P53" s="9"/>
      <c r="Q53" s="9"/>
      <c r="R53" s="9"/>
      <c r="S53" s="23">
        <f t="shared" si="0"/>
        <v>19</v>
      </c>
      <c r="T53" s="24"/>
      <c r="U53" s="8"/>
    </row>
    <row r="54" spans="1:21" x14ac:dyDescent="0.25">
      <c r="A54" s="12" t="s">
        <v>61</v>
      </c>
      <c r="B54" s="13" t="s">
        <v>52</v>
      </c>
      <c r="C54" s="14"/>
      <c r="D54" s="40" t="s">
        <v>195</v>
      </c>
      <c r="E54" s="42"/>
      <c r="F54" s="42"/>
      <c r="G54" s="42" t="s">
        <v>82</v>
      </c>
      <c r="H54" s="10"/>
      <c r="I54" s="16"/>
      <c r="J54" s="9">
        <v>10.3</v>
      </c>
      <c r="K54" s="9">
        <f>2.8-2</f>
        <v>0.79999999999999982</v>
      </c>
      <c r="L54" s="9"/>
      <c r="M54" s="9"/>
      <c r="N54" s="9"/>
      <c r="O54" s="9"/>
      <c r="P54" s="9"/>
      <c r="Q54" s="9"/>
      <c r="R54" s="9"/>
      <c r="S54" s="23">
        <f t="shared" si="0"/>
        <v>8.2399999999999984</v>
      </c>
      <c r="T54" s="24"/>
      <c r="U54" s="8"/>
    </row>
    <row r="55" spans="1:21" x14ac:dyDescent="0.25">
      <c r="A55" s="12" t="s">
        <v>61</v>
      </c>
      <c r="B55" s="13" t="s">
        <v>53</v>
      </c>
      <c r="C55" s="14"/>
      <c r="D55" s="40" t="s">
        <v>195</v>
      </c>
      <c r="E55" s="42" t="s">
        <v>86</v>
      </c>
      <c r="F55" s="42"/>
      <c r="G55" s="42"/>
      <c r="H55" s="10"/>
      <c r="I55" s="16" t="s">
        <v>89</v>
      </c>
      <c r="J55" s="9">
        <f>11.6-J56</f>
        <v>7.6999999999999993</v>
      </c>
      <c r="K55" s="9">
        <v>2</v>
      </c>
      <c r="L55" s="9"/>
      <c r="M55" s="9">
        <f>1.4*2</f>
        <v>2.8</v>
      </c>
      <c r="N55" s="9"/>
      <c r="O55" s="9"/>
      <c r="P55" s="9"/>
      <c r="Q55" s="9"/>
      <c r="R55" s="9"/>
      <c r="S55" s="23">
        <f t="shared" si="0"/>
        <v>12.599999999999998</v>
      </c>
      <c r="T55" s="24"/>
      <c r="U55" s="8"/>
    </row>
    <row r="56" spans="1:21" x14ac:dyDescent="0.25">
      <c r="A56" s="12" t="s">
        <v>61</v>
      </c>
      <c r="B56" s="13" t="s">
        <v>53</v>
      </c>
      <c r="C56" s="14"/>
      <c r="D56" s="40" t="s">
        <v>195</v>
      </c>
      <c r="E56" s="42" t="s">
        <v>86</v>
      </c>
      <c r="F56" s="42"/>
      <c r="G56" s="42"/>
      <c r="H56" s="10"/>
      <c r="I56" s="16" t="s">
        <v>146</v>
      </c>
      <c r="J56" s="9">
        <v>3.9</v>
      </c>
      <c r="K56" s="9">
        <v>2</v>
      </c>
      <c r="L56" s="9"/>
      <c r="M56" s="9"/>
      <c r="N56" s="9"/>
      <c r="O56" s="9"/>
      <c r="P56" s="9"/>
      <c r="Q56" s="9"/>
      <c r="R56" s="9"/>
      <c r="S56" s="23">
        <f t="shared" si="0"/>
        <v>7.8</v>
      </c>
      <c r="T56" s="24"/>
      <c r="U56" s="8"/>
    </row>
    <row r="57" spans="1:21" x14ac:dyDescent="0.25">
      <c r="A57" s="12" t="s">
        <v>61</v>
      </c>
      <c r="B57" s="13" t="s">
        <v>53</v>
      </c>
      <c r="C57" s="14"/>
      <c r="D57" s="40" t="s">
        <v>195</v>
      </c>
      <c r="E57" s="42"/>
      <c r="F57" s="42" t="s">
        <v>83</v>
      </c>
      <c r="G57" s="42"/>
      <c r="H57" s="10"/>
      <c r="I57" s="16"/>
      <c r="J57" s="9">
        <f>J56</f>
        <v>3.9</v>
      </c>
      <c r="K57" s="9">
        <f>2.8-2</f>
        <v>0.79999999999999982</v>
      </c>
      <c r="L57" s="9"/>
      <c r="M57" s="9"/>
      <c r="N57" s="9"/>
      <c r="O57" s="9"/>
      <c r="P57" s="9"/>
      <c r="Q57" s="9"/>
      <c r="R57" s="9"/>
      <c r="S57" s="23">
        <f t="shared" si="0"/>
        <v>3.1199999999999992</v>
      </c>
      <c r="T57" s="24"/>
      <c r="U57" s="8"/>
    </row>
    <row r="58" spans="1:21" x14ac:dyDescent="0.25">
      <c r="A58" s="12" t="s">
        <v>61</v>
      </c>
      <c r="B58" s="13" t="s">
        <v>53</v>
      </c>
      <c r="C58" s="14"/>
      <c r="D58" s="40" t="s">
        <v>195</v>
      </c>
      <c r="E58" s="42"/>
      <c r="F58" s="42"/>
      <c r="G58" s="42" t="s">
        <v>82</v>
      </c>
      <c r="H58" s="10"/>
      <c r="I58" s="16"/>
      <c r="J58" s="9">
        <f>J55</f>
        <v>7.6999999999999993</v>
      </c>
      <c r="K58" s="9">
        <f>2.8-2</f>
        <v>0.79999999999999982</v>
      </c>
      <c r="L58" s="9"/>
      <c r="M58" s="9"/>
      <c r="N58" s="9"/>
      <c r="O58" s="9"/>
      <c r="P58" s="9"/>
      <c r="Q58" s="9"/>
      <c r="R58" s="9"/>
      <c r="S58" s="23">
        <f t="shared" si="0"/>
        <v>6.1599999999999984</v>
      </c>
      <c r="T58" s="24"/>
      <c r="U58" s="8"/>
    </row>
    <row r="59" spans="1:21" x14ac:dyDescent="0.25">
      <c r="A59" s="12" t="s">
        <v>61</v>
      </c>
      <c r="B59" s="13" t="s">
        <v>54</v>
      </c>
      <c r="C59" s="14"/>
      <c r="D59" s="40"/>
      <c r="E59" s="42" t="s">
        <v>86</v>
      </c>
      <c r="F59" s="42"/>
      <c r="G59" s="42"/>
      <c r="H59" s="10"/>
      <c r="I59" s="16" t="s">
        <v>89</v>
      </c>
      <c r="J59" s="9">
        <v>2.2000000000000002</v>
      </c>
      <c r="K59" s="9">
        <v>0.8</v>
      </c>
      <c r="L59" s="9"/>
      <c r="M59" s="9"/>
      <c r="N59" s="9"/>
      <c r="O59" s="9"/>
      <c r="P59" s="9"/>
      <c r="Q59" s="9"/>
      <c r="R59" s="9"/>
      <c r="S59" s="23">
        <f t="shared" si="0"/>
        <v>1.7600000000000002</v>
      </c>
      <c r="T59" s="24"/>
      <c r="U59" s="8"/>
    </row>
    <row r="60" spans="1:21" x14ac:dyDescent="0.25">
      <c r="A60" s="12" t="s">
        <v>61</v>
      </c>
      <c r="B60" s="13" t="s">
        <v>54</v>
      </c>
      <c r="C60" s="14"/>
      <c r="D60" s="40"/>
      <c r="E60" s="42" t="s">
        <v>86</v>
      </c>
      <c r="F60" s="42"/>
      <c r="G60" s="42"/>
      <c r="H60" s="10"/>
      <c r="I60" s="16" t="s">
        <v>89</v>
      </c>
      <c r="J60" s="9">
        <v>0.8</v>
      </c>
      <c r="K60" s="9">
        <v>1.5</v>
      </c>
      <c r="L60" s="9"/>
      <c r="M60" s="9"/>
      <c r="N60" s="9"/>
      <c r="O60" s="9"/>
      <c r="P60" s="9"/>
      <c r="Q60" s="9"/>
      <c r="R60" s="9"/>
      <c r="S60" s="23">
        <f t="shared" si="0"/>
        <v>1.2000000000000002</v>
      </c>
      <c r="T60" s="24"/>
      <c r="U60" s="8"/>
    </row>
    <row r="61" spans="1:21" x14ac:dyDescent="0.25">
      <c r="A61" s="12" t="s">
        <v>61</v>
      </c>
      <c r="B61" s="13" t="s">
        <v>54</v>
      </c>
      <c r="C61" s="14"/>
      <c r="D61" s="40"/>
      <c r="E61" s="42" t="s">
        <v>86</v>
      </c>
      <c r="F61" s="42"/>
      <c r="G61" s="42"/>
      <c r="H61" s="10"/>
      <c r="I61" s="16" t="s">
        <v>146</v>
      </c>
      <c r="J61" s="9">
        <v>2.5</v>
      </c>
      <c r="K61" s="9">
        <v>0.8</v>
      </c>
      <c r="L61" s="9"/>
      <c r="M61" s="9"/>
      <c r="N61" s="9"/>
      <c r="O61" s="9"/>
      <c r="P61" s="9"/>
      <c r="Q61" s="9"/>
      <c r="R61" s="9"/>
      <c r="S61" s="23">
        <f t="shared" si="0"/>
        <v>2</v>
      </c>
      <c r="T61" s="24"/>
      <c r="U61" s="8"/>
    </row>
    <row r="62" spans="1:21" x14ac:dyDescent="0.25">
      <c r="A62" s="12" t="s">
        <v>61</v>
      </c>
      <c r="B62" s="13" t="s">
        <v>54</v>
      </c>
      <c r="C62" s="14"/>
      <c r="D62" s="40"/>
      <c r="E62" s="42"/>
      <c r="F62" s="42" t="s">
        <v>83</v>
      </c>
      <c r="G62" s="42"/>
      <c r="H62" s="10"/>
      <c r="I62" s="16"/>
      <c r="J62" s="9">
        <f>2.7+9.85+4.8+0.75</f>
        <v>18.100000000000001</v>
      </c>
      <c r="K62" s="9">
        <v>3.1</v>
      </c>
      <c r="L62" s="9"/>
      <c r="M62" s="9"/>
      <c r="N62" s="9"/>
      <c r="O62" s="9">
        <f>S61</f>
        <v>2</v>
      </c>
      <c r="P62" s="9"/>
      <c r="Q62" s="9"/>
      <c r="R62" s="9"/>
      <c r="S62" s="23">
        <f t="shared" si="0"/>
        <v>54.110000000000007</v>
      </c>
      <c r="T62" s="24"/>
      <c r="U62" s="8"/>
    </row>
    <row r="63" spans="1:21" x14ac:dyDescent="0.25">
      <c r="A63" s="12" t="s">
        <v>61</v>
      </c>
      <c r="B63" s="13" t="s">
        <v>54</v>
      </c>
      <c r="C63" s="14"/>
      <c r="D63" s="40"/>
      <c r="E63" s="42"/>
      <c r="F63" s="42"/>
      <c r="G63" s="42" t="s">
        <v>82</v>
      </c>
      <c r="H63" s="10"/>
      <c r="I63" s="16"/>
      <c r="J63" s="9">
        <f>4.65+0.7+0.1</f>
        <v>5.45</v>
      </c>
      <c r="K63" s="9">
        <v>3.1</v>
      </c>
      <c r="L63" s="9"/>
      <c r="M63" s="9">
        <f>0.8*2</f>
        <v>1.6</v>
      </c>
      <c r="N63" s="9"/>
      <c r="O63" s="9">
        <f>S59+S60</f>
        <v>2.9600000000000004</v>
      </c>
      <c r="P63" s="9"/>
      <c r="Q63" s="9"/>
      <c r="R63" s="9"/>
      <c r="S63" s="23">
        <f t="shared" si="0"/>
        <v>12.334999999999999</v>
      </c>
      <c r="T63" s="24"/>
      <c r="U63" s="8"/>
    </row>
    <row r="64" spans="1:21" x14ac:dyDescent="0.25">
      <c r="A64" s="12" t="s">
        <v>61</v>
      </c>
      <c r="B64" s="13" t="s">
        <v>54</v>
      </c>
      <c r="C64" s="14"/>
      <c r="D64" s="40"/>
      <c r="E64" s="42"/>
      <c r="F64" s="42" t="s">
        <v>84</v>
      </c>
      <c r="G64" s="42"/>
      <c r="H64" s="10"/>
      <c r="I64" s="16"/>
      <c r="J64" s="9">
        <f>1.1+0.1</f>
        <v>1.2000000000000002</v>
      </c>
      <c r="K64" s="9">
        <v>3.1</v>
      </c>
      <c r="L64" s="9"/>
      <c r="M64" s="9"/>
      <c r="N64" s="9"/>
      <c r="O64" s="9"/>
      <c r="P64" s="9"/>
      <c r="Q64" s="9"/>
      <c r="R64" s="9"/>
      <c r="S64" s="23">
        <f t="shared" si="0"/>
        <v>3.7200000000000006</v>
      </c>
      <c r="T64" s="24"/>
      <c r="U64" s="8"/>
    </row>
    <row r="65" spans="1:21" x14ac:dyDescent="0.25">
      <c r="A65" s="12" t="s">
        <v>61</v>
      </c>
      <c r="B65" s="13" t="s">
        <v>55</v>
      </c>
      <c r="C65" s="14"/>
      <c r="D65" s="40"/>
      <c r="E65" s="42"/>
      <c r="F65" s="42" t="s">
        <v>83</v>
      </c>
      <c r="G65" s="42"/>
      <c r="H65" s="10"/>
      <c r="I65" s="16"/>
      <c r="J65" s="9">
        <f>11.9-J66</f>
        <v>7.25</v>
      </c>
      <c r="K65" s="9">
        <v>2.8</v>
      </c>
      <c r="L65" s="9"/>
      <c r="M65" s="9"/>
      <c r="N65" s="9"/>
      <c r="O65" s="9"/>
      <c r="P65" s="9"/>
      <c r="Q65" s="9"/>
      <c r="R65" s="9"/>
      <c r="S65" s="23">
        <f t="shared" si="0"/>
        <v>20.299999999999997</v>
      </c>
      <c r="T65" s="24"/>
      <c r="U65" s="8"/>
    </row>
    <row r="66" spans="1:21" x14ac:dyDescent="0.25">
      <c r="A66" s="12" t="s">
        <v>61</v>
      </c>
      <c r="B66" s="13" t="s">
        <v>55</v>
      </c>
      <c r="C66" s="14"/>
      <c r="D66" s="40"/>
      <c r="E66" s="42"/>
      <c r="F66" s="42"/>
      <c r="G66" s="42" t="s">
        <v>82</v>
      </c>
      <c r="H66" s="10"/>
      <c r="I66" s="16"/>
      <c r="J66" s="9">
        <v>4.6500000000000004</v>
      </c>
      <c r="K66" s="9">
        <v>2.8</v>
      </c>
      <c r="L66" s="9"/>
      <c r="M66" s="9">
        <f>0.8*2</f>
        <v>1.6</v>
      </c>
      <c r="N66" s="9"/>
      <c r="O66" s="9"/>
      <c r="P66" s="9"/>
      <c r="Q66" s="9"/>
      <c r="R66" s="9"/>
      <c r="S66" s="23">
        <f t="shared" si="0"/>
        <v>11.42</v>
      </c>
      <c r="T66" s="24"/>
      <c r="U66" s="8"/>
    </row>
    <row r="67" spans="1:21" x14ac:dyDescent="0.25">
      <c r="A67" s="12" t="s">
        <v>61</v>
      </c>
      <c r="B67" s="13" t="s">
        <v>56</v>
      </c>
      <c r="C67" s="14"/>
      <c r="D67" s="40"/>
      <c r="E67" s="42"/>
      <c r="F67" s="42" t="s">
        <v>83</v>
      </c>
      <c r="G67" s="42"/>
      <c r="H67" s="10"/>
      <c r="I67" s="16" t="s">
        <v>92</v>
      </c>
      <c r="J67" s="9">
        <f>2.4+1.1*2</f>
        <v>4.5999999999999996</v>
      </c>
      <c r="K67" s="9">
        <v>2.0299999999999998</v>
      </c>
      <c r="L67" s="9"/>
      <c r="M67" s="9">
        <f>0.7*2</f>
        <v>1.4</v>
      </c>
      <c r="N67" s="9"/>
      <c r="O67" s="9"/>
      <c r="P67" s="9"/>
      <c r="Q67" s="9"/>
      <c r="R67" s="9"/>
      <c r="S67" s="23">
        <f t="shared" si="0"/>
        <v>7.9379999999999988</v>
      </c>
      <c r="T67" s="24"/>
      <c r="U67" s="8"/>
    </row>
    <row r="68" spans="1:21" x14ac:dyDescent="0.25">
      <c r="A68" s="12" t="s">
        <v>61</v>
      </c>
      <c r="B68" s="13" t="s">
        <v>56</v>
      </c>
      <c r="C68" s="14"/>
      <c r="D68" s="40"/>
      <c r="E68" s="42"/>
      <c r="F68" s="42" t="s">
        <v>83</v>
      </c>
      <c r="G68" s="42"/>
      <c r="H68" s="10"/>
      <c r="I68" s="16" t="s">
        <v>93</v>
      </c>
      <c r="J68" s="9">
        <v>2.7</v>
      </c>
      <c r="K68" s="9">
        <f>(2.03+0.491)/2</f>
        <v>1.2605</v>
      </c>
      <c r="L68" s="9"/>
      <c r="M68" s="9"/>
      <c r="N68" s="9"/>
      <c r="O68" s="9"/>
      <c r="P68" s="9"/>
      <c r="Q68" s="9"/>
      <c r="R68" s="9"/>
      <c r="S68" s="23">
        <f t="shared" si="0"/>
        <v>3.4033500000000001</v>
      </c>
      <c r="T68" s="24"/>
      <c r="U68" s="8"/>
    </row>
    <row r="69" spans="1:21" x14ac:dyDescent="0.25">
      <c r="A69" s="12" t="s">
        <v>61</v>
      </c>
      <c r="B69" s="13" t="s">
        <v>56</v>
      </c>
      <c r="C69" s="14"/>
      <c r="D69" s="40"/>
      <c r="E69" s="42"/>
      <c r="F69" s="42"/>
      <c r="G69" s="42" t="s">
        <v>82</v>
      </c>
      <c r="H69" s="10"/>
      <c r="I69" s="16" t="s">
        <v>92</v>
      </c>
      <c r="J69" s="9">
        <v>1</v>
      </c>
      <c r="K69" s="9">
        <v>0.49099999999999999</v>
      </c>
      <c r="L69" s="9"/>
      <c r="M69" s="9"/>
      <c r="N69" s="9"/>
      <c r="O69" s="9"/>
      <c r="P69" s="9"/>
      <c r="Q69" s="9"/>
      <c r="R69" s="9"/>
      <c r="S69" s="23">
        <f t="shared" si="0"/>
        <v>0.49099999999999999</v>
      </c>
      <c r="T69" s="24"/>
      <c r="U69" s="8"/>
    </row>
    <row r="70" spans="1:21" x14ac:dyDescent="0.25">
      <c r="A70" s="12" t="s">
        <v>61</v>
      </c>
      <c r="B70" s="13" t="s">
        <v>56</v>
      </c>
      <c r="C70" s="14"/>
      <c r="D70" s="40"/>
      <c r="E70" s="42"/>
      <c r="F70" s="42"/>
      <c r="G70" s="42" t="s">
        <v>82</v>
      </c>
      <c r="H70" s="10"/>
      <c r="I70" s="16" t="s">
        <v>93</v>
      </c>
      <c r="J70" s="9">
        <v>2.7</v>
      </c>
      <c r="K70" s="9">
        <f>(2.03+0.491)/2</f>
        <v>1.2605</v>
      </c>
      <c r="L70" s="9"/>
      <c r="M70" s="9"/>
      <c r="N70" s="9"/>
      <c r="O70" s="9"/>
      <c r="P70" s="9"/>
      <c r="Q70" s="9"/>
      <c r="R70" s="9"/>
      <c r="S70" s="23">
        <f t="shared" si="0"/>
        <v>3.4033500000000001</v>
      </c>
      <c r="T70" s="24"/>
      <c r="U70" s="8"/>
    </row>
    <row r="71" spans="1:21" x14ac:dyDescent="0.25">
      <c r="A71" s="12" t="s">
        <v>61</v>
      </c>
      <c r="B71" s="13" t="s">
        <v>56</v>
      </c>
      <c r="C71" s="14"/>
      <c r="D71" s="40"/>
      <c r="E71" s="42"/>
      <c r="F71" s="42"/>
      <c r="G71" s="42" t="s">
        <v>82</v>
      </c>
      <c r="H71" s="10"/>
      <c r="I71" s="16" t="s">
        <v>92</v>
      </c>
      <c r="J71" s="9">
        <v>1.4</v>
      </c>
      <c r="K71" s="9">
        <v>2.0299999999999998</v>
      </c>
      <c r="L71" s="9"/>
      <c r="M71" s="9"/>
      <c r="N71" s="9"/>
      <c r="O71" s="9"/>
      <c r="P71" s="9"/>
      <c r="Q71" s="9"/>
      <c r="R71" s="9"/>
      <c r="S71" s="23">
        <f t="shared" si="0"/>
        <v>2.8419999999999996</v>
      </c>
      <c r="T71" s="24"/>
      <c r="U71" s="8"/>
    </row>
    <row r="72" spans="1:21" x14ac:dyDescent="0.25">
      <c r="A72" s="12" t="s">
        <v>61</v>
      </c>
      <c r="B72" s="13" t="s">
        <v>57</v>
      </c>
      <c r="C72" s="14"/>
      <c r="D72" s="40"/>
      <c r="E72" s="42"/>
      <c r="F72" s="42" t="s">
        <v>83</v>
      </c>
      <c r="G72" s="42"/>
      <c r="H72" s="10"/>
      <c r="I72" s="16"/>
      <c r="J72" s="9">
        <f>0.175*2+0.375*2+0.2*2</f>
        <v>1.5</v>
      </c>
      <c r="K72" s="9">
        <v>3.1</v>
      </c>
      <c r="L72" s="9"/>
      <c r="M72" s="9"/>
      <c r="N72" s="9"/>
      <c r="O72" s="9"/>
      <c r="P72" s="9"/>
      <c r="Q72" s="9"/>
      <c r="R72" s="9"/>
      <c r="S72" s="23">
        <f t="shared" si="0"/>
        <v>4.6500000000000004</v>
      </c>
      <c r="T72" s="24"/>
      <c r="U72" s="8"/>
    </row>
    <row r="73" spans="1:21" x14ac:dyDescent="0.25">
      <c r="A73" s="12" t="s">
        <v>61</v>
      </c>
      <c r="B73" s="13" t="s">
        <v>57</v>
      </c>
      <c r="C73" s="14"/>
      <c r="D73" s="40"/>
      <c r="E73" s="42"/>
      <c r="F73" s="42"/>
      <c r="G73" s="42" t="s">
        <v>82</v>
      </c>
      <c r="H73" s="10"/>
      <c r="I73" s="16"/>
      <c r="J73" s="9">
        <f>18.1-J72</f>
        <v>16.600000000000001</v>
      </c>
      <c r="K73" s="9">
        <v>3.1</v>
      </c>
      <c r="L73" s="9">
        <f>2.25*2.3+0.6*1.7</f>
        <v>6.1950000000000003</v>
      </c>
      <c r="M73" s="9">
        <f>0.8*2</f>
        <v>1.6</v>
      </c>
      <c r="N73" s="9"/>
      <c r="O73" s="9">
        <f>S74</f>
        <v>2.48</v>
      </c>
      <c r="P73" s="9">
        <f>(2.25+2.3*2)*0.375</f>
        <v>2.5687499999999996</v>
      </c>
      <c r="Q73" s="9"/>
      <c r="R73" s="9"/>
      <c r="S73" s="23">
        <f t="shared" si="0"/>
        <v>43.753750000000011</v>
      </c>
      <c r="T73" s="24"/>
      <c r="U73" s="8"/>
    </row>
    <row r="74" spans="1:21" x14ac:dyDescent="0.25">
      <c r="A74" s="12" t="s">
        <v>61</v>
      </c>
      <c r="B74" s="13" t="s">
        <v>57</v>
      </c>
      <c r="C74" s="14"/>
      <c r="D74" s="40"/>
      <c r="E74" s="42"/>
      <c r="F74" s="42"/>
      <c r="G74" s="42" t="s">
        <v>87</v>
      </c>
      <c r="H74" s="10"/>
      <c r="I74" s="16" t="s">
        <v>89</v>
      </c>
      <c r="J74" s="9">
        <f>1.2+0.35</f>
        <v>1.5499999999999998</v>
      </c>
      <c r="K74" s="9">
        <v>1.6</v>
      </c>
      <c r="L74" s="9"/>
      <c r="M74" s="9"/>
      <c r="N74" s="9"/>
      <c r="O74" s="9"/>
      <c r="P74" s="9"/>
      <c r="Q74" s="9"/>
      <c r="R74" s="9"/>
      <c r="S74" s="23">
        <f t="shared" ref="S74:S137" si="2">IF(AND(ISBLANK(E74),ISBLANK(F74),ISBLANK(G74),ISBLANK(H74)),"",IF(J74*K74-L74-M74-N74-O74+P74+Q74+R74=0,"",J74*K74-L74-M74-N74-O74+P74+Q74+R74))</f>
        <v>2.48</v>
      </c>
      <c r="T74" s="24"/>
      <c r="U74" s="8"/>
    </row>
    <row r="75" spans="1:21" x14ac:dyDescent="0.25">
      <c r="A75" s="12" t="s">
        <v>61</v>
      </c>
      <c r="B75" s="13" t="s">
        <v>58</v>
      </c>
      <c r="C75" s="14"/>
      <c r="D75" s="40"/>
      <c r="E75" s="42"/>
      <c r="F75" s="42" t="s">
        <v>83</v>
      </c>
      <c r="G75" s="42"/>
      <c r="H75" s="10"/>
      <c r="I75" s="16"/>
      <c r="J75" s="9">
        <f>0.375*2+0.2</f>
        <v>0.95</v>
      </c>
      <c r="K75" s="9">
        <v>3.1</v>
      </c>
      <c r="L75" s="9"/>
      <c r="M75" s="9"/>
      <c r="N75" s="9"/>
      <c r="O75" s="9"/>
      <c r="P75" s="9"/>
      <c r="Q75" s="9"/>
      <c r="R75" s="9"/>
      <c r="S75" s="23">
        <f t="shared" si="2"/>
        <v>2.9449999999999998</v>
      </c>
      <c r="T75" s="24"/>
      <c r="U75" s="8"/>
    </row>
    <row r="76" spans="1:21" x14ac:dyDescent="0.25">
      <c r="A76" s="12" t="s">
        <v>61</v>
      </c>
      <c r="B76" s="13" t="s">
        <v>58</v>
      </c>
      <c r="C76" s="14"/>
      <c r="D76" s="40"/>
      <c r="E76" s="42"/>
      <c r="F76" s="42"/>
      <c r="G76" s="42" t="s">
        <v>82</v>
      </c>
      <c r="H76" s="10"/>
      <c r="I76" s="16"/>
      <c r="J76" s="9">
        <f>19-J75</f>
        <v>18.05</v>
      </c>
      <c r="K76" s="9">
        <v>3.1</v>
      </c>
      <c r="L76" s="9">
        <f>3.3*2.3+0.6*1.7</f>
        <v>8.61</v>
      </c>
      <c r="M76" s="9">
        <f>0.8*2</f>
        <v>1.6</v>
      </c>
      <c r="N76" s="9"/>
      <c r="O76" s="9">
        <f>S77</f>
        <v>2.48</v>
      </c>
      <c r="P76" s="9">
        <f>(3.3+2.3*2)*0.375</f>
        <v>2.9624999999999999</v>
      </c>
      <c r="Q76" s="9"/>
      <c r="R76" s="9"/>
      <c r="S76" s="23">
        <f t="shared" si="2"/>
        <v>46.227500000000006</v>
      </c>
      <c r="T76" s="24"/>
      <c r="U76" s="8"/>
    </row>
    <row r="77" spans="1:21" x14ac:dyDescent="0.25">
      <c r="A77" s="12" t="s">
        <v>61</v>
      </c>
      <c r="B77" s="13" t="s">
        <v>58</v>
      </c>
      <c r="C77" s="14"/>
      <c r="D77" s="40"/>
      <c r="E77" s="42"/>
      <c r="F77" s="42"/>
      <c r="G77" s="42" t="s">
        <v>87</v>
      </c>
      <c r="H77" s="10"/>
      <c r="I77" s="16" t="s">
        <v>89</v>
      </c>
      <c r="J77" s="9">
        <f>1.2+0.35</f>
        <v>1.5499999999999998</v>
      </c>
      <c r="K77" s="9">
        <v>1.6</v>
      </c>
      <c r="L77" s="9"/>
      <c r="M77" s="9"/>
      <c r="N77" s="9"/>
      <c r="O77" s="9"/>
      <c r="P77" s="9"/>
      <c r="Q77" s="9"/>
      <c r="R77" s="9"/>
      <c r="S77" s="23">
        <f t="shared" si="2"/>
        <v>2.48</v>
      </c>
      <c r="T77" s="24"/>
      <c r="U77" s="8"/>
    </row>
    <row r="78" spans="1:21" x14ac:dyDescent="0.25">
      <c r="A78" s="12" t="s">
        <v>61</v>
      </c>
      <c r="B78" s="13" t="s">
        <v>59</v>
      </c>
      <c r="C78" s="14"/>
      <c r="D78" s="40"/>
      <c r="E78" s="42"/>
      <c r="F78" s="42" t="s">
        <v>83</v>
      </c>
      <c r="G78" s="42"/>
      <c r="H78" s="10"/>
      <c r="I78" s="16"/>
      <c r="J78" s="9">
        <f>0.375*2+0.2</f>
        <v>0.95</v>
      </c>
      <c r="K78" s="9">
        <v>3.1</v>
      </c>
      <c r="L78" s="9"/>
      <c r="M78" s="9"/>
      <c r="N78" s="9"/>
      <c r="O78" s="9"/>
      <c r="P78" s="9"/>
      <c r="Q78" s="9"/>
      <c r="R78" s="9"/>
      <c r="S78" s="23">
        <f t="shared" si="2"/>
        <v>2.9449999999999998</v>
      </c>
      <c r="T78" s="24"/>
      <c r="U78" s="8"/>
    </row>
    <row r="79" spans="1:21" x14ac:dyDescent="0.25">
      <c r="A79" s="12" t="s">
        <v>61</v>
      </c>
      <c r="B79" s="13" t="s">
        <v>59</v>
      </c>
      <c r="C79" s="14"/>
      <c r="D79" s="40"/>
      <c r="E79" s="42"/>
      <c r="F79" s="42"/>
      <c r="G79" s="42" t="s">
        <v>82</v>
      </c>
      <c r="H79" s="10"/>
      <c r="I79" s="16"/>
      <c r="J79" s="9">
        <f>19.78-J78-5.45</f>
        <v>13.380000000000003</v>
      </c>
      <c r="K79" s="9">
        <v>3.1</v>
      </c>
      <c r="L79" s="9">
        <f>3.3*2.3+0.6*1.7</f>
        <v>8.61</v>
      </c>
      <c r="M79" s="9">
        <f>0.8*2</f>
        <v>1.6</v>
      </c>
      <c r="N79" s="9"/>
      <c r="O79" s="9">
        <f>0.35*1.6</f>
        <v>0.55999999999999994</v>
      </c>
      <c r="P79" s="9">
        <f>(3.3+2.3*2)*0.375</f>
        <v>2.9624999999999999</v>
      </c>
      <c r="Q79" s="9"/>
      <c r="R79" s="9"/>
      <c r="S79" s="23">
        <f t="shared" si="2"/>
        <v>33.670500000000011</v>
      </c>
      <c r="T79" s="24"/>
      <c r="U79" s="8"/>
    </row>
    <row r="80" spans="1:21" x14ac:dyDescent="0.25">
      <c r="A80" s="12" t="s">
        <v>61</v>
      </c>
      <c r="B80" s="13" t="s">
        <v>59</v>
      </c>
      <c r="C80" s="14"/>
      <c r="D80" s="40"/>
      <c r="E80" s="42"/>
      <c r="F80" s="42"/>
      <c r="G80" s="42" t="s">
        <v>87</v>
      </c>
      <c r="H80" s="10"/>
      <c r="I80" s="16" t="s">
        <v>147</v>
      </c>
      <c r="J80" s="9">
        <v>1.2</v>
      </c>
      <c r="K80" s="9">
        <v>1.6</v>
      </c>
      <c r="L80" s="9"/>
      <c r="M80" s="9"/>
      <c r="N80" s="9"/>
      <c r="O80" s="9"/>
      <c r="P80" s="9"/>
      <c r="Q80" s="9"/>
      <c r="R80" s="9"/>
      <c r="S80" s="23">
        <f t="shared" si="2"/>
        <v>1.92</v>
      </c>
      <c r="T80" s="24"/>
      <c r="U80" s="8"/>
    </row>
    <row r="81" spans="1:21" x14ac:dyDescent="0.25">
      <c r="A81" s="12" t="s">
        <v>61</v>
      </c>
      <c r="B81" s="13" t="s">
        <v>59</v>
      </c>
      <c r="C81" s="14"/>
      <c r="D81" s="40"/>
      <c r="E81" s="42"/>
      <c r="F81" s="42"/>
      <c r="G81" s="42" t="s">
        <v>87</v>
      </c>
      <c r="H81" s="10"/>
      <c r="I81" s="16" t="s">
        <v>89</v>
      </c>
      <c r="J81" s="9">
        <v>0.35</v>
      </c>
      <c r="K81" s="9">
        <v>1.6</v>
      </c>
      <c r="L81" s="9"/>
      <c r="M81" s="9"/>
      <c r="N81" s="9"/>
      <c r="O81" s="9"/>
      <c r="P81" s="9"/>
      <c r="Q81" s="9"/>
      <c r="R81" s="9"/>
      <c r="S81" s="23">
        <f t="shared" si="2"/>
        <v>0.55999999999999994</v>
      </c>
      <c r="T81" s="24"/>
      <c r="U81" s="8"/>
    </row>
    <row r="82" spans="1:21" x14ac:dyDescent="0.25">
      <c r="A82" s="12" t="s">
        <v>61</v>
      </c>
      <c r="B82" s="13" t="s">
        <v>59</v>
      </c>
      <c r="C82" s="14"/>
      <c r="D82" s="40"/>
      <c r="E82" s="42"/>
      <c r="F82" s="42" t="s">
        <v>84</v>
      </c>
      <c r="G82" s="42"/>
      <c r="H82" s="10"/>
      <c r="I82" s="16"/>
      <c r="J82" s="9">
        <v>2.54</v>
      </c>
      <c r="K82" s="9">
        <v>3.1</v>
      </c>
      <c r="L82" s="9"/>
      <c r="M82" s="9"/>
      <c r="N82" s="9"/>
      <c r="O82" s="9">
        <f>1.2*1.6</f>
        <v>1.92</v>
      </c>
      <c r="P82" s="9"/>
      <c r="Q82" s="9"/>
      <c r="R82" s="9"/>
      <c r="S82" s="23">
        <f t="shared" si="2"/>
        <v>5.9540000000000006</v>
      </c>
      <c r="T82" s="24"/>
      <c r="U82" s="8"/>
    </row>
    <row r="83" spans="1:21" x14ac:dyDescent="0.25">
      <c r="A83" s="12" t="s">
        <v>61</v>
      </c>
      <c r="B83" s="13" t="s">
        <v>59</v>
      </c>
      <c r="C83" s="14"/>
      <c r="D83" s="40"/>
      <c r="E83" s="42"/>
      <c r="F83" s="42" t="s">
        <v>85</v>
      </c>
      <c r="G83" s="42"/>
      <c r="H83" s="10"/>
      <c r="I83" s="16"/>
      <c r="J83" s="9">
        <f>5.45-2.54</f>
        <v>2.91</v>
      </c>
      <c r="K83" s="9">
        <v>3.1</v>
      </c>
      <c r="L83" s="9"/>
      <c r="M83" s="9"/>
      <c r="N83" s="9"/>
      <c r="O83" s="9"/>
      <c r="P83" s="9"/>
      <c r="Q83" s="9"/>
      <c r="R83" s="9"/>
      <c r="S83" s="23">
        <f t="shared" si="2"/>
        <v>9.0210000000000008</v>
      </c>
      <c r="T83" s="24"/>
      <c r="U83" s="8"/>
    </row>
    <row r="84" spans="1:21" x14ac:dyDescent="0.25">
      <c r="A84" s="12" t="s">
        <v>61</v>
      </c>
      <c r="B84" s="13" t="s">
        <v>60</v>
      </c>
      <c r="C84" s="14"/>
      <c r="D84" s="40"/>
      <c r="E84" s="42"/>
      <c r="F84" s="42" t="s">
        <v>84</v>
      </c>
      <c r="G84" s="42"/>
      <c r="H84" s="10"/>
      <c r="I84" s="16"/>
      <c r="J84" s="9">
        <f>2.54*2</f>
        <v>5.08</v>
      </c>
      <c r="K84" s="9">
        <v>3.1</v>
      </c>
      <c r="L84" s="9"/>
      <c r="M84" s="9">
        <f>0.9*2</f>
        <v>1.8</v>
      </c>
      <c r="N84" s="9"/>
      <c r="O84" s="9">
        <f>S88</f>
        <v>2.4000000000000004</v>
      </c>
      <c r="P84" s="9"/>
      <c r="Q84" s="9"/>
      <c r="R84" s="9"/>
      <c r="S84" s="23">
        <f t="shared" si="2"/>
        <v>11.548</v>
      </c>
      <c r="T84" s="24"/>
      <c r="U84" s="8"/>
    </row>
    <row r="85" spans="1:21" x14ac:dyDescent="0.25">
      <c r="A85" s="12" t="s">
        <v>61</v>
      </c>
      <c r="B85" s="13" t="s">
        <v>60</v>
      </c>
      <c r="C85" s="14"/>
      <c r="D85" s="40"/>
      <c r="E85" s="42"/>
      <c r="F85" s="42" t="s">
        <v>85</v>
      </c>
      <c r="G85" s="42"/>
      <c r="H85" s="10"/>
      <c r="I85" s="16"/>
      <c r="J85" s="9">
        <f>(5.45-2.54)*2+0.45</f>
        <v>6.2700000000000005</v>
      </c>
      <c r="K85" s="9">
        <v>3.1</v>
      </c>
      <c r="L85" s="9"/>
      <c r="M85" s="9"/>
      <c r="N85" s="9"/>
      <c r="O85" s="9"/>
      <c r="P85" s="9"/>
      <c r="Q85" s="9"/>
      <c r="R85" s="9"/>
      <c r="S85" s="23">
        <f t="shared" si="2"/>
        <v>19.437000000000001</v>
      </c>
      <c r="T85" s="24"/>
      <c r="U85" s="8"/>
    </row>
    <row r="86" spans="1:21" x14ac:dyDescent="0.25">
      <c r="A86" s="12" t="s">
        <v>61</v>
      </c>
      <c r="B86" s="13" t="s">
        <v>60</v>
      </c>
      <c r="C86" s="14"/>
      <c r="D86" s="40"/>
      <c r="E86" s="42"/>
      <c r="F86" s="42"/>
      <c r="G86" s="42" t="s">
        <v>82</v>
      </c>
      <c r="H86" s="10"/>
      <c r="I86" s="16"/>
      <c r="J86" s="9">
        <f>2.53*2+0.45</f>
        <v>5.51</v>
      </c>
      <c r="K86" s="9">
        <v>3.1</v>
      </c>
      <c r="L86" s="9">
        <f>2.2*3.1+0.6*1.7</f>
        <v>7.8400000000000016</v>
      </c>
      <c r="M86" s="9">
        <f>0.9*2</f>
        <v>1.8</v>
      </c>
      <c r="N86" s="9"/>
      <c r="O86" s="9">
        <f>S87</f>
        <v>0.48</v>
      </c>
      <c r="P86" s="9"/>
      <c r="Q86" s="9"/>
      <c r="R86" s="9"/>
      <c r="S86" s="23">
        <f t="shared" si="2"/>
        <v>6.9609999999999985</v>
      </c>
      <c r="T86" s="24"/>
      <c r="U86" s="8"/>
    </row>
    <row r="87" spans="1:21" x14ac:dyDescent="0.25">
      <c r="A87" s="12" t="s">
        <v>61</v>
      </c>
      <c r="B87" s="13" t="s">
        <v>60</v>
      </c>
      <c r="C87" s="14"/>
      <c r="D87" s="40"/>
      <c r="E87" s="42" t="s">
        <v>86</v>
      </c>
      <c r="F87" s="42"/>
      <c r="G87" s="42"/>
      <c r="H87" s="10"/>
      <c r="I87" s="16" t="s">
        <v>89</v>
      </c>
      <c r="J87" s="9">
        <v>0.6</v>
      </c>
      <c r="K87" s="9">
        <v>0.8</v>
      </c>
      <c r="L87" s="9"/>
      <c r="M87" s="9"/>
      <c r="N87" s="9"/>
      <c r="O87" s="9"/>
      <c r="P87" s="9"/>
      <c r="Q87" s="9"/>
      <c r="R87" s="9"/>
      <c r="S87" s="23">
        <f t="shared" si="2"/>
        <v>0.48</v>
      </c>
      <c r="T87" s="24"/>
      <c r="U87" s="8"/>
    </row>
    <row r="88" spans="1:21" x14ac:dyDescent="0.25">
      <c r="A88" s="12" t="s">
        <v>61</v>
      </c>
      <c r="B88" s="13" t="s">
        <v>60</v>
      </c>
      <c r="C88" s="14"/>
      <c r="D88" s="40"/>
      <c r="E88" s="42" t="s">
        <v>86</v>
      </c>
      <c r="F88" s="42"/>
      <c r="G88" s="42"/>
      <c r="H88" s="10"/>
      <c r="I88" s="16" t="s">
        <v>94</v>
      </c>
      <c r="J88" s="9">
        <v>3</v>
      </c>
      <c r="K88" s="9">
        <v>0.8</v>
      </c>
      <c r="L88" s="9"/>
      <c r="M88" s="9"/>
      <c r="N88" s="9"/>
      <c r="O88" s="9"/>
      <c r="P88" s="9"/>
      <c r="Q88" s="9"/>
      <c r="R88" s="9"/>
      <c r="S88" s="23">
        <f t="shared" si="2"/>
        <v>2.4000000000000004</v>
      </c>
      <c r="T88" s="24"/>
      <c r="U88" s="8"/>
    </row>
    <row r="89" spans="1:21" x14ac:dyDescent="0.25">
      <c r="A89" s="12" t="s">
        <v>61</v>
      </c>
      <c r="B89" s="13" t="s">
        <v>63</v>
      </c>
      <c r="C89" s="14"/>
      <c r="D89" s="40"/>
      <c r="E89" s="42"/>
      <c r="F89" s="42" t="s">
        <v>83</v>
      </c>
      <c r="G89" s="42"/>
      <c r="H89" s="10"/>
      <c r="I89" s="16"/>
      <c r="J89" s="9">
        <f>3.4+2.05</f>
        <v>5.4499999999999993</v>
      </c>
      <c r="K89" s="9">
        <v>3.1</v>
      </c>
      <c r="L89" s="9"/>
      <c r="M89" s="9">
        <f>0.9*2</f>
        <v>1.8</v>
      </c>
      <c r="N89" s="9"/>
      <c r="O89" s="9"/>
      <c r="P89" s="9"/>
      <c r="Q89" s="9"/>
      <c r="R89" s="9"/>
      <c r="S89" s="23">
        <f t="shared" si="2"/>
        <v>15.094999999999999</v>
      </c>
      <c r="T89" s="24"/>
      <c r="U89" s="8"/>
    </row>
    <row r="90" spans="1:21" x14ac:dyDescent="0.25">
      <c r="A90" s="12" t="s">
        <v>61</v>
      </c>
      <c r="B90" s="13" t="s">
        <v>63</v>
      </c>
      <c r="C90" s="14"/>
      <c r="D90" s="40"/>
      <c r="E90" s="42"/>
      <c r="F90" s="42"/>
      <c r="G90" s="42" t="s">
        <v>82</v>
      </c>
      <c r="H90" s="10"/>
      <c r="I90" s="16"/>
      <c r="J90" s="9">
        <f>0.4*2+0.45</f>
        <v>1.25</v>
      </c>
      <c r="K90" s="9">
        <v>3.1</v>
      </c>
      <c r="L90" s="9"/>
      <c r="M90" s="9"/>
      <c r="N90" s="9"/>
      <c r="O90" s="9"/>
      <c r="P90" s="9"/>
      <c r="Q90" s="9"/>
      <c r="R90" s="9"/>
      <c r="S90" s="23">
        <f t="shared" si="2"/>
        <v>3.875</v>
      </c>
      <c r="T90" s="24"/>
      <c r="U90" s="8"/>
    </row>
    <row r="91" spans="1:21" x14ac:dyDescent="0.25">
      <c r="A91" s="12" t="s">
        <v>61</v>
      </c>
      <c r="B91" s="13" t="s">
        <v>63</v>
      </c>
      <c r="C91" s="14"/>
      <c r="D91" s="40"/>
      <c r="E91" s="42"/>
      <c r="F91" s="42" t="s">
        <v>84</v>
      </c>
      <c r="G91" s="42"/>
      <c r="H91" s="10"/>
      <c r="I91" s="16"/>
      <c r="J91" s="9">
        <v>2.54</v>
      </c>
      <c r="K91" s="9">
        <v>3.1</v>
      </c>
      <c r="L91" s="9"/>
      <c r="M91" s="9">
        <f>0.9*2</f>
        <v>1.8</v>
      </c>
      <c r="N91" s="9"/>
      <c r="O91" s="9"/>
      <c r="P91" s="9"/>
      <c r="Q91" s="9"/>
      <c r="R91" s="9"/>
      <c r="S91" s="23">
        <f t="shared" si="2"/>
        <v>6.0740000000000007</v>
      </c>
      <c r="T91" s="24"/>
      <c r="U91" s="8"/>
    </row>
    <row r="92" spans="1:21" x14ac:dyDescent="0.25">
      <c r="A92" s="12" t="s">
        <v>61</v>
      </c>
      <c r="B92" s="13" t="s">
        <v>63</v>
      </c>
      <c r="C92" s="14"/>
      <c r="D92" s="40"/>
      <c r="E92" s="42"/>
      <c r="F92" s="42" t="s">
        <v>85</v>
      </c>
      <c r="G92" s="42"/>
      <c r="H92" s="10"/>
      <c r="I92" s="16"/>
      <c r="J92" s="9">
        <f>5.45-2.54+0.45</f>
        <v>3.3600000000000003</v>
      </c>
      <c r="K92" s="9">
        <v>3.1</v>
      </c>
      <c r="L92" s="9"/>
      <c r="M92" s="9"/>
      <c r="N92" s="9"/>
      <c r="O92" s="9"/>
      <c r="P92" s="9"/>
      <c r="Q92" s="9"/>
      <c r="R92" s="9"/>
      <c r="S92" s="23">
        <f t="shared" si="2"/>
        <v>10.416000000000002</v>
      </c>
      <c r="T92" s="24"/>
      <c r="U92" s="8"/>
    </row>
    <row r="93" spans="1:21" x14ac:dyDescent="0.25">
      <c r="A93" s="12" t="s">
        <v>61</v>
      </c>
      <c r="B93" s="13" t="s">
        <v>64</v>
      </c>
      <c r="C93" s="14"/>
      <c r="D93" s="40"/>
      <c r="E93" s="42"/>
      <c r="F93" s="42" t="s">
        <v>83</v>
      </c>
      <c r="G93" s="42"/>
      <c r="H93" s="10"/>
      <c r="I93" s="16"/>
      <c r="J93" s="9">
        <f>5*2+7*2-3.5+0.3*2</f>
        <v>21.1</v>
      </c>
      <c r="K93" s="9">
        <v>2.8</v>
      </c>
      <c r="L93" s="9"/>
      <c r="M93" s="9"/>
      <c r="N93" s="9"/>
      <c r="O93" s="9"/>
      <c r="P93" s="9"/>
      <c r="Q93" s="9"/>
      <c r="R93" s="9"/>
      <c r="S93" s="23">
        <f t="shared" si="2"/>
        <v>59.08</v>
      </c>
      <c r="T93" s="24"/>
      <c r="U93" s="8"/>
    </row>
    <row r="94" spans="1:21" x14ac:dyDescent="0.25">
      <c r="A94" s="12" t="s">
        <v>61</v>
      </c>
      <c r="B94" s="13" t="s">
        <v>65</v>
      </c>
      <c r="C94" s="14"/>
      <c r="D94" s="40"/>
      <c r="E94" s="42"/>
      <c r="F94" s="42"/>
      <c r="G94" s="42"/>
      <c r="H94" s="10" t="s">
        <v>96</v>
      </c>
      <c r="I94" s="16" t="s">
        <v>97</v>
      </c>
      <c r="J94" s="9">
        <f>1.47+1.8*2</f>
        <v>5.07</v>
      </c>
      <c r="K94" s="9">
        <f>3.35+0.2</f>
        <v>3.5500000000000003</v>
      </c>
      <c r="L94" s="9"/>
      <c r="M94" s="9">
        <f>0.8*2</f>
        <v>1.6</v>
      </c>
      <c r="N94" s="9"/>
      <c r="O94" s="9"/>
      <c r="P94" s="9"/>
      <c r="Q94" s="9"/>
      <c r="R94" s="9"/>
      <c r="S94" s="23">
        <f t="shared" si="2"/>
        <v>16.398500000000002</v>
      </c>
      <c r="T94" s="24"/>
      <c r="U94" s="8"/>
    </row>
    <row r="95" spans="1:21" x14ac:dyDescent="0.25">
      <c r="A95" s="12" t="s">
        <v>61</v>
      </c>
      <c r="B95" s="13" t="s">
        <v>65</v>
      </c>
      <c r="C95" s="14"/>
      <c r="D95" s="40"/>
      <c r="E95" s="42"/>
      <c r="F95" s="42"/>
      <c r="G95" s="42"/>
      <c r="H95" s="10" t="s">
        <v>96</v>
      </c>
      <c r="I95" s="16" t="s">
        <v>98</v>
      </c>
      <c r="J95" s="9">
        <f>3.6*2+0.35</f>
        <v>7.55</v>
      </c>
      <c r="K95" s="9">
        <f>(3.35+1.416)/2+0.2</f>
        <v>2.5830000000000002</v>
      </c>
      <c r="L95" s="9"/>
      <c r="M95" s="9"/>
      <c r="N95" s="9"/>
      <c r="O95" s="9"/>
      <c r="P95" s="9"/>
      <c r="Q95" s="9"/>
      <c r="R95" s="9"/>
      <c r="S95" s="23">
        <f t="shared" si="2"/>
        <v>19.501650000000001</v>
      </c>
      <c r="T95" s="24"/>
      <c r="U95" s="8"/>
    </row>
    <row r="96" spans="1:21" x14ac:dyDescent="0.25">
      <c r="A96" s="12" t="s">
        <v>61</v>
      </c>
      <c r="B96" s="13" t="s">
        <v>65</v>
      </c>
      <c r="C96" s="14"/>
      <c r="D96" s="40"/>
      <c r="E96" s="42"/>
      <c r="F96" s="42"/>
      <c r="G96" s="42"/>
      <c r="H96" s="10" t="s">
        <v>96</v>
      </c>
      <c r="I96" s="16" t="s">
        <v>92</v>
      </c>
      <c r="J96" s="9">
        <f>2.7*2+1.515-0.82</f>
        <v>6.0949999999999998</v>
      </c>
      <c r="K96" s="9">
        <f>1.416+0.2</f>
        <v>1.6159999999999999</v>
      </c>
      <c r="L96" s="9"/>
      <c r="M96" s="9"/>
      <c r="N96" s="9">
        <f>2.39*0.8</f>
        <v>1.9120000000000001</v>
      </c>
      <c r="O96" s="9"/>
      <c r="P96" s="9"/>
      <c r="Q96" s="9"/>
      <c r="R96" s="9"/>
      <c r="S96" s="23">
        <f t="shared" si="2"/>
        <v>7.9375199999999984</v>
      </c>
      <c r="T96" s="24"/>
      <c r="U96" s="8"/>
    </row>
    <row r="97" spans="1:21" x14ac:dyDescent="0.25">
      <c r="A97" s="12" t="s">
        <v>61</v>
      </c>
      <c r="B97" s="13" t="s">
        <v>65</v>
      </c>
      <c r="C97" s="14"/>
      <c r="D97" s="40"/>
      <c r="E97" s="42"/>
      <c r="F97" s="42"/>
      <c r="G97" s="42"/>
      <c r="H97" s="10" t="s">
        <v>99</v>
      </c>
      <c r="I97" s="16" t="s">
        <v>92</v>
      </c>
      <c r="J97" s="9">
        <v>1.5149999999999999</v>
      </c>
      <c r="K97" s="9">
        <f>1.416+0.2</f>
        <v>1.6159999999999999</v>
      </c>
      <c r="L97" s="9"/>
      <c r="M97" s="9"/>
      <c r="N97" s="9"/>
      <c r="O97" s="9"/>
      <c r="P97" s="9"/>
      <c r="Q97" s="9"/>
      <c r="R97" s="9"/>
      <c r="S97" s="23">
        <f t="shared" si="2"/>
        <v>2.4482399999999997</v>
      </c>
      <c r="T97" s="24"/>
      <c r="U97" s="8"/>
    </row>
    <row r="98" spans="1:21" x14ac:dyDescent="0.25">
      <c r="A98" s="12" t="s">
        <v>61</v>
      </c>
      <c r="B98" s="13" t="s">
        <v>66</v>
      </c>
      <c r="C98" s="14"/>
      <c r="D98" s="40"/>
      <c r="E98" s="42"/>
      <c r="F98" s="42" t="s">
        <v>83</v>
      </c>
      <c r="G98" s="42"/>
      <c r="H98" s="10"/>
      <c r="I98" s="16"/>
      <c r="J98" s="9">
        <f>3.25+2.5*2+0.5</f>
        <v>8.75</v>
      </c>
      <c r="K98" s="9">
        <v>2.8</v>
      </c>
      <c r="L98" s="9"/>
      <c r="M98" s="9">
        <f>1.6*2.28+0.7*2</f>
        <v>5.048</v>
      </c>
      <c r="N98" s="9"/>
      <c r="O98" s="9"/>
      <c r="P98" s="9"/>
      <c r="Q98" s="9"/>
      <c r="R98" s="9"/>
      <c r="S98" s="23">
        <f t="shared" si="2"/>
        <v>19.451999999999998</v>
      </c>
      <c r="T98" s="24"/>
      <c r="U98" s="8"/>
    </row>
    <row r="99" spans="1:21" x14ac:dyDescent="0.25">
      <c r="A99" s="12" t="s">
        <v>61</v>
      </c>
      <c r="B99" s="13" t="s">
        <v>66</v>
      </c>
      <c r="C99" s="14"/>
      <c r="D99" s="40"/>
      <c r="E99" s="42"/>
      <c r="F99" s="42" t="s">
        <v>83</v>
      </c>
      <c r="G99" s="42"/>
      <c r="H99" s="10"/>
      <c r="I99" s="16"/>
      <c r="J99" s="9">
        <v>7.55</v>
      </c>
      <c r="K99" s="9">
        <v>3.1</v>
      </c>
      <c r="L99" s="9"/>
      <c r="M99" s="9">
        <f>2.17*3.1*2</f>
        <v>13.454000000000001</v>
      </c>
      <c r="N99" s="9"/>
      <c r="O99" s="9"/>
      <c r="P99" s="9">
        <f>(2.17+3.1*2)*0.25*2</f>
        <v>4.1850000000000005</v>
      </c>
      <c r="Q99" s="9"/>
      <c r="R99" s="9"/>
      <c r="S99" s="23">
        <f t="shared" si="2"/>
        <v>14.136000000000001</v>
      </c>
      <c r="T99" s="24"/>
      <c r="U99" s="8"/>
    </row>
    <row r="100" spans="1:21" x14ac:dyDescent="0.25">
      <c r="A100" s="12" t="s">
        <v>61</v>
      </c>
      <c r="B100" s="13" t="s">
        <v>66</v>
      </c>
      <c r="C100" s="14"/>
      <c r="D100" s="40"/>
      <c r="E100" s="42"/>
      <c r="F100" s="42"/>
      <c r="G100" s="42" t="s">
        <v>82</v>
      </c>
      <c r="H100" s="10"/>
      <c r="I100" s="16"/>
      <c r="J100" s="9">
        <f>88.5-J98-J99-J101</f>
        <v>62.75</v>
      </c>
      <c r="K100" s="9">
        <v>2.8</v>
      </c>
      <c r="L100" s="9"/>
      <c r="M100" s="9">
        <f>0.9*2.155+0.8*2+1.4*2*2+0.9*2*3+0.9*2+1.4*2+0.9*2*2+0.8*2+0.8*2+0.9*2*2+1*2+1.4*2</f>
        <v>34.339500000000008</v>
      </c>
      <c r="N100" s="9"/>
      <c r="O100" s="9"/>
      <c r="P100" s="9"/>
      <c r="Q100" s="9"/>
      <c r="R100" s="9"/>
      <c r="S100" s="23">
        <f t="shared" si="2"/>
        <v>141.36049999999997</v>
      </c>
      <c r="T100" s="24"/>
      <c r="U100" s="8"/>
    </row>
    <row r="101" spans="1:21" x14ac:dyDescent="0.25">
      <c r="A101" s="12" t="s">
        <v>61</v>
      </c>
      <c r="B101" s="13" t="s">
        <v>66</v>
      </c>
      <c r="C101" s="14"/>
      <c r="D101" s="40"/>
      <c r="E101" s="42"/>
      <c r="F101" s="42"/>
      <c r="G101" s="42" t="s">
        <v>82</v>
      </c>
      <c r="H101" s="10"/>
      <c r="I101" s="16"/>
      <c r="J101" s="9">
        <f>4.55+2.45*2</f>
        <v>9.4499999999999993</v>
      </c>
      <c r="K101" s="9">
        <v>3.1</v>
      </c>
      <c r="L101" s="9"/>
      <c r="M101" s="9">
        <f>0.9*2*2+0.8*2</f>
        <v>5.2</v>
      </c>
      <c r="N101" s="9"/>
      <c r="O101" s="9"/>
      <c r="P101" s="9"/>
      <c r="Q101" s="9"/>
      <c r="R101" s="9"/>
      <c r="S101" s="23">
        <f t="shared" si="2"/>
        <v>24.094999999999999</v>
      </c>
      <c r="T101" s="24"/>
      <c r="U101" s="8"/>
    </row>
    <row r="102" spans="1:21" x14ac:dyDescent="0.25">
      <c r="A102" s="12" t="s">
        <v>61</v>
      </c>
      <c r="B102" s="13" t="s">
        <v>66</v>
      </c>
      <c r="C102" s="14"/>
      <c r="D102" s="40"/>
      <c r="E102" s="42"/>
      <c r="F102" s="42"/>
      <c r="G102" s="42" t="s">
        <v>82</v>
      </c>
      <c r="H102" s="10"/>
      <c r="I102" s="16" t="s">
        <v>150</v>
      </c>
      <c r="J102" s="9">
        <f>3.3+3.6-J103</f>
        <v>6.25</v>
      </c>
      <c r="K102" s="9">
        <v>3.1</v>
      </c>
      <c r="L102" s="9"/>
      <c r="M102" s="9">
        <f>0.9*2</f>
        <v>1.8</v>
      </c>
      <c r="N102" s="9"/>
      <c r="O102" s="9"/>
      <c r="P102" s="9"/>
      <c r="Q102" s="9"/>
      <c r="R102" s="9"/>
      <c r="S102" s="23">
        <f t="shared" si="2"/>
        <v>17.574999999999999</v>
      </c>
      <c r="T102" s="24"/>
      <c r="U102" s="8"/>
    </row>
    <row r="103" spans="1:21" x14ac:dyDescent="0.25">
      <c r="A103" s="12" t="s">
        <v>61</v>
      </c>
      <c r="B103" s="13" t="s">
        <v>66</v>
      </c>
      <c r="C103" s="14"/>
      <c r="D103" s="40"/>
      <c r="E103" s="42"/>
      <c r="F103" s="42" t="s">
        <v>83</v>
      </c>
      <c r="G103" s="42"/>
      <c r="H103" s="10"/>
      <c r="I103" s="16" t="s">
        <v>150</v>
      </c>
      <c r="J103" s="9">
        <v>0.65</v>
      </c>
      <c r="K103" s="9">
        <v>3.1</v>
      </c>
      <c r="L103" s="9"/>
      <c r="M103" s="9"/>
      <c r="N103" s="9"/>
      <c r="O103" s="9"/>
      <c r="P103" s="9"/>
      <c r="Q103" s="9"/>
      <c r="R103" s="9"/>
      <c r="S103" s="23">
        <f t="shared" si="2"/>
        <v>2.0150000000000001</v>
      </c>
      <c r="T103" s="24"/>
      <c r="U103" s="8"/>
    </row>
    <row r="104" spans="1:21" x14ac:dyDescent="0.25">
      <c r="A104" s="12" t="s">
        <v>61</v>
      </c>
      <c r="B104" s="13" t="s">
        <v>67</v>
      </c>
      <c r="C104" s="14"/>
      <c r="D104" s="40"/>
      <c r="E104" s="42"/>
      <c r="F104" s="42" t="s">
        <v>83</v>
      </c>
      <c r="G104" s="42"/>
      <c r="H104" s="10"/>
      <c r="I104" s="16"/>
      <c r="J104" s="9">
        <f>11.25+4.15</f>
        <v>15.4</v>
      </c>
      <c r="K104" s="9">
        <v>3.1</v>
      </c>
      <c r="L104" s="9"/>
      <c r="M104" s="9"/>
      <c r="N104" s="9"/>
      <c r="O104" s="9"/>
      <c r="P104" s="9"/>
      <c r="Q104" s="9"/>
      <c r="R104" s="9"/>
      <c r="S104" s="23">
        <f t="shared" si="2"/>
        <v>47.74</v>
      </c>
      <c r="T104" s="24"/>
      <c r="U104" s="8"/>
    </row>
    <row r="105" spans="1:21" x14ac:dyDescent="0.25">
      <c r="A105" s="12" t="s">
        <v>61</v>
      </c>
      <c r="B105" s="13" t="s">
        <v>67</v>
      </c>
      <c r="C105" s="14"/>
      <c r="D105" s="40"/>
      <c r="E105" s="42"/>
      <c r="F105" s="42"/>
      <c r="G105" s="42" t="s">
        <v>82</v>
      </c>
      <c r="H105" s="10"/>
      <c r="I105" s="16"/>
      <c r="J105" s="9">
        <f>0.8+1.1</f>
        <v>1.9000000000000001</v>
      </c>
      <c r="K105" s="9">
        <v>3.1</v>
      </c>
      <c r="L105" s="9"/>
      <c r="M105" s="9"/>
      <c r="N105" s="9"/>
      <c r="O105" s="9"/>
      <c r="P105" s="9"/>
      <c r="Q105" s="9"/>
      <c r="R105" s="9"/>
      <c r="S105" s="23">
        <f t="shared" si="2"/>
        <v>5.8900000000000006</v>
      </c>
      <c r="T105" s="24"/>
      <c r="U105" s="8"/>
    </row>
    <row r="106" spans="1:21" x14ac:dyDescent="0.25">
      <c r="A106" s="12" t="s">
        <v>61</v>
      </c>
      <c r="B106" s="13" t="s">
        <v>67</v>
      </c>
      <c r="C106" s="14"/>
      <c r="D106" s="40"/>
      <c r="E106" s="42"/>
      <c r="F106" s="42" t="s">
        <v>84</v>
      </c>
      <c r="G106" s="42"/>
      <c r="H106" s="10"/>
      <c r="I106" s="16"/>
      <c r="J106" s="9">
        <f>3.055+1.355</f>
        <v>4.41</v>
      </c>
      <c r="K106" s="9">
        <v>3.1</v>
      </c>
      <c r="L106" s="9"/>
      <c r="M106" s="9"/>
      <c r="N106" s="9"/>
      <c r="O106" s="9"/>
      <c r="P106" s="9"/>
      <c r="Q106" s="9"/>
      <c r="R106" s="9"/>
      <c r="S106" s="23">
        <f t="shared" si="2"/>
        <v>13.671000000000001</v>
      </c>
      <c r="T106" s="24"/>
      <c r="U106" s="8"/>
    </row>
    <row r="107" spans="1:21" x14ac:dyDescent="0.25">
      <c r="A107" s="12" t="s">
        <v>61</v>
      </c>
      <c r="B107" s="13" t="s">
        <v>67</v>
      </c>
      <c r="C107" s="14"/>
      <c r="D107" s="40"/>
      <c r="E107" s="42"/>
      <c r="F107" s="42" t="s">
        <v>83</v>
      </c>
      <c r="G107" s="42"/>
      <c r="H107" s="10"/>
      <c r="I107" s="16"/>
      <c r="J107" s="9">
        <f>7.2-4.15</f>
        <v>3.05</v>
      </c>
      <c r="K107" s="9">
        <v>3.35</v>
      </c>
      <c r="L107" s="9"/>
      <c r="M107" s="9"/>
      <c r="N107" s="9"/>
      <c r="O107" s="9"/>
      <c r="P107" s="9"/>
      <c r="Q107" s="9"/>
      <c r="R107" s="9"/>
      <c r="S107" s="23">
        <f t="shared" si="2"/>
        <v>10.217499999999999</v>
      </c>
      <c r="T107" s="24"/>
      <c r="U107" s="8"/>
    </row>
    <row r="108" spans="1:21" x14ac:dyDescent="0.25">
      <c r="A108" s="12" t="s">
        <v>61</v>
      </c>
      <c r="B108" s="13" t="s">
        <v>67</v>
      </c>
      <c r="C108" s="14"/>
      <c r="D108" s="40"/>
      <c r="E108" s="42"/>
      <c r="F108" s="42"/>
      <c r="G108" s="42" t="s">
        <v>82</v>
      </c>
      <c r="H108" s="10"/>
      <c r="I108" s="16"/>
      <c r="J108" s="9">
        <f>4.7-0.8+1.9+0.8+7.2+2.8</f>
        <v>16.600000000000001</v>
      </c>
      <c r="K108" s="9">
        <v>3.35</v>
      </c>
      <c r="L108" s="9"/>
      <c r="M108" s="9">
        <f>1.4*2</f>
        <v>2.8</v>
      </c>
      <c r="N108" s="9"/>
      <c r="O108" s="9"/>
      <c r="P108" s="9"/>
      <c r="Q108" s="9"/>
      <c r="R108" s="9"/>
      <c r="S108" s="23">
        <f t="shared" si="2"/>
        <v>52.810000000000009</v>
      </c>
      <c r="T108" s="24"/>
      <c r="U108" s="8"/>
    </row>
    <row r="109" spans="1:21" x14ac:dyDescent="0.25">
      <c r="A109" s="12" t="s">
        <v>61</v>
      </c>
      <c r="B109" s="13" t="s">
        <v>68</v>
      </c>
      <c r="C109" s="14"/>
      <c r="D109" s="40"/>
      <c r="E109" s="42"/>
      <c r="F109" s="42" t="s">
        <v>83</v>
      </c>
      <c r="G109" s="42"/>
      <c r="H109" s="10"/>
      <c r="I109" s="16"/>
      <c r="J109" s="9">
        <f>3.6+0.7</f>
        <v>4.3</v>
      </c>
      <c r="K109" s="9">
        <v>3.35</v>
      </c>
      <c r="L109" s="9"/>
      <c r="M109" s="9"/>
      <c r="N109" s="9"/>
      <c r="O109" s="9"/>
      <c r="P109" s="9"/>
      <c r="Q109" s="9"/>
      <c r="R109" s="9"/>
      <c r="S109" s="23">
        <f t="shared" si="2"/>
        <v>14.404999999999999</v>
      </c>
      <c r="T109" s="24"/>
      <c r="U109" s="8"/>
    </row>
    <row r="110" spans="1:21" x14ac:dyDescent="0.25">
      <c r="A110" s="12" t="s">
        <v>61</v>
      </c>
      <c r="B110" s="13" t="s">
        <v>68</v>
      </c>
      <c r="C110" s="14"/>
      <c r="D110" s="40"/>
      <c r="E110" s="42"/>
      <c r="F110" s="42" t="s">
        <v>83</v>
      </c>
      <c r="G110" s="42"/>
      <c r="H110" s="10"/>
      <c r="I110" s="16"/>
      <c r="J110" s="9">
        <f>7.4-3.6+0.7+0.25*2</f>
        <v>5</v>
      </c>
      <c r="K110" s="9">
        <v>3.1</v>
      </c>
      <c r="L110" s="9"/>
      <c r="M110" s="9"/>
      <c r="N110" s="9"/>
      <c r="O110" s="9"/>
      <c r="P110" s="9"/>
      <c r="Q110" s="9"/>
      <c r="R110" s="9"/>
      <c r="S110" s="23">
        <f t="shared" si="2"/>
        <v>15.5</v>
      </c>
      <c r="T110" s="24"/>
      <c r="U110" s="8"/>
    </row>
    <row r="111" spans="1:21" x14ac:dyDescent="0.25">
      <c r="A111" s="12" t="s">
        <v>61</v>
      </c>
      <c r="B111" s="13" t="s">
        <v>68</v>
      </c>
      <c r="C111" s="14"/>
      <c r="D111" s="40"/>
      <c r="E111" s="42"/>
      <c r="F111" s="42"/>
      <c r="G111" s="42" t="s">
        <v>82</v>
      </c>
      <c r="H111" s="10"/>
      <c r="I111" s="16"/>
      <c r="J111" s="9">
        <f>3.6+7.1</f>
        <v>10.7</v>
      </c>
      <c r="K111" s="9">
        <v>3.35</v>
      </c>
      <c r="L111" s="9"/>
      <c r="M111" s="9">
        <f>1.4*2</f>
        <v>2.8</v>
      </c>
      <c r="N111" s="9"/>
      <c r="O111" s="9"/>
      <c r="P111" s="9"/>
      <c r="Q111" s="9"/>
      <c r="R111" s="9"/>
      <c r="S111" s="23">
        <f t="shared" si="2"/>
        <v>33.045000000000002</v>
      </c>
      <c r="T111" s="24"/>
      <c r="U111" s="8"/>
    </row>
    <row r="112" spans="1:21" x14ac:dyDescent="0.25">
      <c r="A112" s="12" t="s">
        <v>61</v>
      </c>
      <c r="B112" s="13" t="s">
        <v>68</v>
      </c>
      <c r="C112" s="14"/>
      <c r="D112" s="40"/>
      <c r="E112" s="42"/>
      <c r="F112" s="42"/>
      <c r="G112" s="42" t="s">
        <v>82</v>
      </c>
      <c r="H112" s="10"/>
      <c r="I112" s="16"/>
      <c r="J112" s="9">
        <f>7.1+7.4-3.6</f>
        <v>10.9</v>
      </c>
      <c r="K112" s="9">
        <v>3.1</v>
      </c>
      <c r="L112" s="9"/>
      <c r="M112" s="9">
        <f>0.9*2</f>
        <v>1.8</v>
      </c>
      <c r="N112" s="9"/>
      <c r="O112" s="9"/>
      <c r="P112" s="9"/>
      <c r="Q112" s="9"/>
      <c r="R112" s="9"/>
      <c r="S112" s="23">
        <f t="shared" si="2"/>
        <v>31.99</v>
      </c>
      <c r="T112" s="24"/>
      <c r="U112" s="8"/>
    </row>
    <row r="113" spans="1:21" x14ac:dyDescent="0.25">
      <c r="A113" s="12" t="s">
        <v>61</v>
      </c>
      <c r="B113" s="13" t="s">
        <v>102</v>
      </c>
      <c r="C113" s="14"/>
      <c r="D113" s="40" t="s">
        <v>195</v>
      </c>
      <c r="E113" s="42"/>
      <c r="F113" s="42" t="s">
        <v>83</v>
      </c>
      <c r="G113" s="42"/>
      <c r="H113" s="10"/>
      <c r="I113" s="16"/>
      <c r="J113" s="9">
        <v>3.7</v>
      </c>
      <c r="K113" s="9">
        <v>3.15</v>
      </c>
      <c r="L113" s="9"/>
      <c r="M113" s="9"/>
      <c r="N113" s="9"/>
      <c r="O113" s="9"/>
      <c r="P113" s="9"/>
      <c r="Q113" s="9"/>
      <c r="R113" s="9"/>
      <c r="S113" s="23">
        <f t="shared" si="2"/>
        <v>11.654999999999999</v>
      </c>
      <c r="T113" s="24"/>
      <c r="U113" s="8"/>
    </row>
    <row r="114" spans="1:21" x14ac:dyDescent="0.25">
      <c r="A114" s="12" t="s">
        <v>61</v>
      </c>
      <c r="B114" s="13" t="s">
        <v>102</v>
      </c>
      <c r="C114" s="14"/>
      <c r="D114" s="40" t="s">
        <v>195</v>
      </c>
      <c r="E114" s="42"/>
      <c r="F114" s="42"/>
      <c r="G114" s="42" t="s">
        <v>82</v>
      </c>
      <c r="H114" s="10"/>
      <c r="I114" s="16"/>
      <c r="J114" s="9">
        <f>2.95*2+7+0.15</f>
        <v>13.05</v>
      </c>
      <c r="K114" s="9">
        <v>3.15</v>
      </c>
      <c r="L114" s="9"/>
      <c r="M114" s="9">
        <f>0.9*2</f>
        <v>1.8</v>
      </c>
      <c r="N114" s="9"/>
      <c r="O114" s="9">
        <f>S115</f>
        <v>5.9</v>
      </c>
      <c r="P114" s="9"/>
      <c r="Q114" s="9"/>
      <c r="R114" s="9"/>
      <c r="S114" s="23">
        <f t="shared" si="2"/>
        <v>33.407500000000006</v>
      </c>
      <c r="T114" s="24"/>
      <c r="U114" s="8"/>
    </row>
    <row r="115" spans="1:21" x14ac:dyDescent="0.25">
      <c r="A115" s="12" t="s">
        <v>61</v>
      </c>
      <c r="B115" s="13" t="s">
        <v>102</v>
      </c>
      <c r="C115" s="14"/>
      <c r="D115" s="40" t="s">
        <v>195</v>
      </c>
      <c r="E115" s="42" t="s">
        <v>86</v>
      </c>
      <c r="F115" s="42"/>
      <c r="G115" s="42"/>
      <c r="H115" s="10"/>
      <c r="I115" s="16" t="s">
        <v>89</v>
      </c>
      <c r="J115" s="9">
        <v>2.95</v>
      </c>
      <c r="K115" s="9">
        <v>2</v>
      </c>
      <c r="L115" s="9"/>
      <c r="M115" s="9"/>
      <c r="N115" s="9"/>
      <c r="O115" s="9"/>
      <c r="P115" s="9"/>
      <c r="Q115" s="9"/>
      <c r="R115" s="9"/>
      <c r="S115" s="23">
        <f t="shared" si="2"/>
        <v>5.9</v>
      </c>
      <c r="T115" s="24"/>
      <c r="U115" s="8"/>
    </row>
    <row r="116" spans="1:21" x14ac:dyDescent="0.25">
      <c r="A116" s="12" t="s">
        <v>61</v>
      </c>
      <c r="B116" s="13" t="s">
        <v>103</v>
      </c>
      <c r="C116" s="14"/>
      <c r="D116" s="40" t="s">
        <v>195</v>
      </c>
      <c r="E116" s="42"/>
      <c r="F116" s="42" t="s">
        <v>83</v>
      </c>
      <c r="G116" s="42"/>
      <c r="H116" s="10"/>
      <c r="I116" s="16"/>
      <c r="J116" s="9">
        <f>0.64+1.62</f>
        <v>2.2600000000000002</v>
      </c>
      <c r="K116" s="9">
        <v>2.8</v>
      </c>
      <c r="L116" s="9"/>
      <c r="M116" s="9"/>
      <c r="N116" s="9"/>
      <c r="O116" s="9"/>
      <c r="P116" s="9"/>
      <c r="Q116" s="9"/>
      <c r="R116" s="9"/>
      <c r="S116" s="23">
        <f t="shared" si="2"/>
        <v>6.3280000000000003</v>
      </c>
      <c r="T116" s="24"/>
      <c r="U116" s="8"/>
    </row>
    <row r="117" spans="1:21" x14ac:dyDescent="0.25">
      <c r="A117" s="12" t="s">
        <v>61</v>
      </c>
      <c r="B117" s="13" t="s">
        <v>103</v>
      </c>
      <c r="C117" s="14"/>
      <c r="D117" s="40" t="s">
        <v>195</v>
      </c>
      <c r="E117" s="42"/>
      <c r="F117" s="42"/>
      <c r="G117" s="42" t="s">
        <v>82</v>
      </c>
      <c r="H117" s="10"/>
      <c r="I117" s="16"/>
      <c r="J117" s="9">
        <f>4.45+4.65+0.87*2</f>
        <v>10.840000000000002</v>
      </c>
      <c r="K117" s="9">
        <v>2.8</v>
      </c>
      <c r="L117" s="9"/>
      <c r="M117" s="9">
        <f>0.9*2.1</f>
        <v>1.8900000000000001</v>
      </c>
      <c r="N117" s="9">
        <f>2.1*2.1</f>
        <v>4.41</v>
      </c>
      <c r="O117" s="9"/>
      <c r="P117" s="9">
        <f>(2.1+2.1)*0.15</f>
        <v>0.63</v>
      </c>
      <c r="Q117" s="9"/>
      <c r="R117" s="9"/>
      <c r="S117" s="23">
        <f t="shared" si="2"/>
        <v>24.682000000000002</v>
      </c>
      <c r="T117" s="24"/>
      <c r="U117" s="8"/>
    </row>
    <row r="118" spans="1:21" x14ac:dyDescent="0.25">
      <c r="A118" s="12" t="s">
        <v>61</v>
      </c>
      <c r="B118" s="13" t="s">
        <v>104</v>
      </c>
      <c r="C118" s="14"/>
      <c r="D118" s="40" t="s">
        <v>195</v>
      </c>
      <c r="E118" s="42"/>
      <c r="F118" s="42" t="s">
        <v>83</v>
      </c>
      <c r="G118" s="42"/>
      <c r="H118" s="10"/>
      <c r="I118" s="16"/>
      <c r="J118" s="9">
        <f>3.85+0.9+5.05+7.85+1.1+4.53+0.2</f>
        <v>23.48</v>
      </c>
      <c r="K118" s="9">
        <v>3.35</v>
      </c>
      <c r="L118" s="9">
        <f>2.04*2.3*2+0.65*2.3</f>
        <v>10.878999999999998</v>
      </c>
      <c r="M118" s="9"/>
      <c r="N118" s="9"/>
      <c r="O118" s="9"/>
      <c r="P118" s="9">
        <f>(2.04+2.3*2)*0.2*2+(0.65+2.3*2)*0.2</f>
        <v>3.7060000000000004</v>
      </c>
      <c r="Q118" s="9"/>
      <c r="R118" s="9"/>
      <c r="S118" s="23">
        <f t="shared" si="2"/>
        <v>71.484999999999999</v>
      </c>
      <c r="T118" s="24"/>
      <c r="U118" s="8"/>
    </row>
    <row r="119" spans="1:21" x14ac:dyDescent="0.25">
      <c r="A119" s="12" t="s">
        <v>61</v>
      </c>
      <c r="B119" s="13" t="s">
        <v>104</v>
      </c>
      <c r="C119" s="14"/>
      <c r="D119" s="40" t="s">
        <v>195</v>
      </c>
      <c r="E119" s="42"/>
      <c r="F119" s="42"/>
      <c r="G119" s="42" t="s">
        <v>82</v>
      </c>
      <c r="H119" s="10"/>
      <c r="I119" s="16"/>
      <c r="J119" s="9">
        <f>5.05+4.65+1+0.1</f>
        <v>10.799999999999999</v>
      </c>
      <c r="K119" s="9">
        <v>3.35</v>
      </c>
      <c r="L119" s="9"/>
      <c r="M119" s="9">
        <f>0.9*2+0.9*2.1</f>
        <v>3.6900000000000004</v>
      </c>
      <c r="N119" s="9">
        <f>2.1*2.1</f>
        <v>4.41</v>
      </c>
      <c r="O119" s="9"/>
      <c r="P119" s="9"/>
      <c r="Q119" s="9"/>
      <c r="R119" s="9"/>
      <c r="S119" s="23">
        <f t="shared" si="2"/>
        <v>28.080000000000002</v>
      </c>
      <c r="T119" s="24"/>
      <c r="U119" s="8"/>
    </row>
    <row r="120" spans="1:21" x14ac:dyDescent="0.25">
      <c r="A120" s="12" t="s">
        <v>61</v>
      </c>
      <c r="B120" s="13" t="s">
        <v>105</v>
      </c>
      <c r="C120" s="14"/>
      <c r="D120" s="40" t="s">
        <v>195</v>
      </c>
      <c r="E120" s="42"/>
      <c r="F120" s="42" t="s">
        <v>83</v>
      </c>
      <c r="G120" s="42"/>
      <c r="H120" s="10"/>
      <c r="I120" s="16"/>
      <c r="J120" s="9">
        <f>4.45*2</f>
        <v>8.9</v>
      </c>
      <c r="K120" s="9">
        <v>3.35</v>
      </c>
      <c r="L120" s="9"/>
      <c r="M120" s="9"/>
      <c r="N120" s="9"/>
      <c r="O120" s="9"/>
      <c r="P120" s="9"/>
      <c r="Q120" s="9"/>
      <c r="R120" s="9"/>
      <c r="S120" s="23">
        <f t="shared" si="2"/>
        <v>29.815000000000001</v>
      </c>
      <c r="T120" s="24"/>
      <c r="U120" s="8"/>
    </row>
    <row r="121" spans="1:21" x14ac:dyDescent="0.25">
      <c r="A121" s="12" t="s">
        <v>61</v>
      </c>
      <c r="B121" s="13" t="s">
        <v>105</v>
      </c>
      <c r="C121" s="14"/>
      <c r="D121" s="40" t="s">
        <v>195</v>
      </c>
      <c r="E121" s="42"/>
      <c r="F121" s="42"/>
      <c r="G121" s="42" t="s">
        <v>82</v>
      </c>
      <c r="H121" s="10"/>
      <c r="I121" s="16"/>
      <c r="J121" s="9">
        <f>2.91*2</f>
        <v>5.82</v>
      </c>
      <c r="K121" s="9">
        <v>3.35</v>
      </c>
      <c r="L121" s="9"/>
      <c r="M121" s="9">
        <f>0.9*2</f>
        <v>1.8</v>
      </c>
      <c r="N121" s="9"/>
      <c r="O121" s="9"/>
      <c r="P121" s="9"/>
      <c r="Q121" s="9"/>
      <c r="R121" s="9"/>
      <c r="S121" s="23">
        <f t="shared" si="2"/>
        <v>17.696999999999999</v>
      </c>
      <c r="T121" s="24"/>
      <c r="U121" s="8"/>
    </row>
    <row r="122" spans="1:21" x14ac:dyDescent="0.25">
      <c r="A122" s="12" t="s">
        <v>61</v>
      </c>
      <c r="B122" s="13" t="s">
        <v>106</v>
      </c>
      <c r="C122" s="14"/>
      <c r="D122" s="40"/>
      <c r="E122" s="42" t="s">
        <v>86</v>
      </c>
      <c r="F122" s="42"/>
      <c r="G122" s="42"/>
      <c r="H122" s="10"/>
      <c r="I122" s="16" t="s">
        <v>89</v>
      </c>
      <c r="J122" s="9">
        <f>2.1*2+2.43</f>
        <v>6.6300000000000008</v>
      </c>
      <c r="K122" s="9">
        <v>2</v>
      </c>
      <c r="L122" s="9"/>
      <c r="M122" s="9">
        <f>0.8*2</f>
        <v>1.6</v>
      </c>
      <c r="N122" s="9"/>
      <c r="O122" s="9"/>
      <c r="P122" s="9"/>
      <c r="Q122" s="9"/>
      <c r="R122" s="9"/>
      <c r="S122" s="23">
        <f t="shared" si="2"/>
        <v>11.660000000000002</v>
      </c>
      <c r="T122" s="24"/>
      <c r="U122" s="8"/>
    </row>
    <row r="123" spans="1:21" x14ac:dyDescent="0.25">
      <c r="A123" s="12" t="s">
        <v>61</v>
      </c>
      <c r="B123" s="13" t="s">
        <v>106</v>
      </c>
      <c r="C123" s="14"/>
      <c r="D123" s="40"/>
      <c r="E123" s="42" t="s">
        <v>86</v>
      </c>
      <c r="F123" s="42"/>
      <c r="G123" s="42"/>
      <c r="H123" s="10"/>
      <c r="I123" s="16" t="s">
        <v>146</v>
      </c>
      <c r="J123" s="9">
        <v>2.4300000000000002</v>
      </c>
      <c r="K123" s="9">
        <v>2</v>
      </c>
      <c r="L123" s="9"/>
      <c r="M123" s="9"/>
      <c r="N123" s="9"/>
      <c r="O123" s="9"/>
      <c r="P123" s="9"/>
      <c r="Q123" s="9"/>
      <c r="R123" s="9"/>
      <c r="S123" s="23">
        <f t="shared" si="2"/>
        <v>4.8600000000000003</v>
      </c>
      <c r="T123" s="24"/>
      <c r="U123" s="8"/>
    </row>
    <row r="124" spans="1:21" x14ac:dyDescent="0.25">
      <c r="A124" s="12" t="s">
        <v>61</v>
      </c>
      <c r="B124" s="13" t="s">
        <v>106</v>
      </c>
      <c r="C124" s="14"/>
      <c r="D124" s="40"/>
      <c r="E124" s="42"/>
      <c r="F124" s="42" t="s">
        <v>83</v>
      </c>
      <c r="G124" s="42"/>
      <c r="H124" s="10"/>
      <c r="I124" s="16"/>
      <c r="J124" s="9">
        <f>J123</f>
        <v>2.4300000000000002</v>
      </c>
      <c r="K124" s="9">
        <f>2.8-2</f>
        <v>0.79999999999999982</v>
      </c>
      <c r="L124" s="9"/>
      <c r="M124" s="9"/>
      <c r="N124" s="9"/>
      <c r="O124" s="9"/>
      <c r="P124" s="9"/>
      <c r="Q124" s="9"/>
      <c r="R124" s="9"/>
      <c r="S124" s="23">
        <f t="shared" si="2"/>
        <v>1.9439999999999997</v>
      </c>
      <c r="T124" s="24"/>
      <c r="U124" s="8"/>
    </row>
    <row r="125" spans="1:21" x14ac:dyDescent="0.25">
      <c r="A125" s="12" t="s">
        <v>61</v>
      </c>
      <c r="B125" s="13" t="s">
        <v>106</v>
      </c>
      <c r="C125" s="14"/>
      <c r="D125" s="40"/>
      <c r="E125" s="42"/>
      <c r="F125" s="42"/>
      <c r="G125" s="42" t="s">
        <v>82</v>
      </c>
      <c r="H125" s="10"/>
      <c r="I125" s="16"/>
      <c r="J125" s="9">
        <f>J122</f>
        <v>6.6300000000000008</v>
      </c>
      <c r="K125" s="9">
        <f>2.8-2</f>
        <v>0.79999999999999982</v>
      </c>
      <c r="L125" s="9"/>
      <c r="M125" s="9"/>
      <c r="N125" s="9"/>
      <c r="O125" s="9"/>
      <c r="P125" s="9"/>
      <c r="Q125" s="9"/>
      <c r="R125" s="9"/>
      <c r="S125" s="23">
        <f t="shared" si="2"/>
        <v>5.3039999999999994</v>
      </c>
      <c r="T125" s="24"/>
      <c r="U125" s="8"/>
    </row>
    <row r="126" spans="1:21" x14ac:dyDescent="0.25">
      <c r="A126" s="12" t="s">
        <v>61</v>
      </c>
      <c r="B126" s="13" t="s">
        <v>107</v>
      </c>
      <c r="C126" s="14"/>
      <c r="D126" s="40" t="s">
        <v>195</v>
      </c>
      <c r="E126" s="42" t="s">
        <v>86</v>
      </c>
      <c r="F126" s="42"/>
      <c r="G126" s="42"/>
      <c r="H126" s="10"/>
      <c r="I126" s="16" t="s">
        <v>89</v>
      </c>
      <c r="J126" s="9">
        <f>1.4*2+2.43</f>
        <v>5.23</v>
      </c>
      <c r="K126" s="9">
        <v>2</v>
      </c>
      <c r="L126" s="9"/>
      <c r="M126" s="9">
        <f>0.9*2</f>
        <v>1.8</v>
      </c>
      <c r="N126" s="9"/>
      <c r="O126" s="9"/>
      <c r="P126" s="9"/>
      <c r="Q126" s="9"/>
      <c r="R126" s="9"/>
      <c r="S126" s="23">
        <f t="shared" si="2"/>
        <v>8.66</v>
      </c>
      <c r="T126" s="24"/>
      <c r="U126" s="8"/>
    </row>
    <row r="127" spans="1:21" x14ac:dyDescent="0.25">
      <c r="A127" s="12" t="s">
        <v>61</v>
      </c>
      <c r="B127" s="13" t="s">
        <v>107</v>
      </c>
      <c r="C127" s="14"/>
      <c r="D127" s="40" t="s">
        <v>195</v>
      </c>
      <c r="E127" s="42" t="s">
        <v>86</v>
      </c>
      <c r="F127" s="42"/>
      <c r="G127" s="42"/>
      <c r="H127" s="10"/>
      <c r="I127" s="16" t="s">
        <v>146</v>
      </c>
      <c r="J127" s="9">
        <v>2.4300000000000002</v>
      </c>
      <c r="K127" s="9">
        <v>2</v>
      </c>
      <c r="L127" s="9"/>
      <c r="M127" s="9"/>
      <c r="N127" s="9"/>
      <c r="O127" s="9"/>
      <c r="P127" s="9"/>
      <c r="Q127" s="9"/>
      <c r="R127" s="9"/>
      <c r="S127" s="23">
        <f t="shared" si="2"/>
        <v>4.8600000000000003</v>
      </c>
      <c r="T127" s="24"/>
      <c r="U127" s="8"/>
    </row>
    <row r="128" spans="1:21" x14ac:dyDescent="0.25">
      <c r="A128" s="12" t="s">
        <v>61</v>
      </c>
      <c r="B128" s="13" t="s">
        <v>107</v>
      </c>
      <c r="C128" s="14"/>
      <c r="D128" s="40" t="s">
        <v>195</v>
      </c>
      <c r="E128" s="42"/>
      <c r="F128" s="42" t="s">
        <v>83</v>
      </c>
      <c r="G128" s="42"/>
      <c r="H128" s="10"/>
      <c r="I128" s="16"/>
      <c r="J128" s="9">
        <f>J127</f>
        <v>2.4300000000000002</v>
      </c>
      <c r="K128" s="9">
        <f>2.8-2</f>
        <v>0.79999999999999982</v>
      </c>
      <c r="L128" s="9"/>
      <c r="M128" s="9"/>
      <c r="N128" s="9"/>
      <c r="O128" s="9"/>
      <c r="P128" s="9"/>
      <c r="Q128" s="9"/>
      <c r="R128" s="9"/>
      <c r="S128" s="23">
        <f t="shared" si="2"/>
        <v>1.9439999999999997</v>
      </c>
      <c r="T128" s="24"/>
      <c r="U128" s="8"/>
    </row>
    <row r="129" spans="1:21" x14ac:dyDescent="0.25">
      <c r="A129" s="12" t="s">
        <v>61</v>
      </c>
      <c r="B129" s="13" t="s">
        <v>107</v>
      </c>
      <c r="C129" s="14"/>
      <c r="D129" s="40" t="s">
        <v>195</v>
      </c>
      <c r="E129" s="42"/>
      <c r="F129" s="42"/>
      <c r="G129" s="42" t="s">
        <v>82</v>
      </c>
      <c r="H129" s="10"/>
      <c r="I129" s="16"/>
      <c r="J129" s="9">
        <f>J126</f>
        <v>5.23</v>
      </c>
      <c r="K129" s="9">
        <f>2.8-2</f>
        <v>0.79999999999999982</v>
      </c>
      <c r="L129" s="9"/>
      <c r="M129" s="9"/>
      <c r="N129" s="9"/>
      <c r="O129" s="9"/>
      <c r="P129" s="9"/>
      <c r="Q129" s="9"/>
      <c r="R129" s="9"/>
      <c r="S129" s="23">
        <f t="shared" si="2"/>
        <v>4.1839999999999993</v>
      </c>
      <c r="T129" s="24"/>
      <c r="U129" s="8"/>
    </row>
    <row r="130" spans="1:21" x14ac:dyDescent="0.25">
      <c r="A130" s="12" t="s">
        <v>61</v>
      </c>
      <c r="B130" s="13" t="s">
        <v>108</v>
      </c>
      <c r="C130" s="14"/>
      <c r="D130" s="40" t="s">
        <v>195</v>
      </c>
      <c r="E130" s="42" t="s">
        <v>86</v>
      </c>
      <c r="F130" s="42"/>
      <c r="G130" s="42"/>
      <c r="H130" s="10"/>
      <c r="I130" s="16" t="s">
        <v>89</v>
      </c>
      <c r="J130" s="9">
        <f>1.4*2+1.72</f>
        <v>4.5199999999999996</v>
      </c>
      <c r="K130" s="9">
        <v>2</v>
      </c>
      <c r="L130" s="9"/>
      <c r="M130" s="9">
        <f>0.8*2</f>
        <v>1.6</v>
      </c>
      <c r="N130" s="9"/>
      <c r="O130" s="9"/>
      <c r="P130" s="9"/>
      <c r="Q130" s="9"/>
      <c r="R130" s="9"/>
      <c r="S130" s="23">
        <f t="shared" si="2"/>
        <v>7.4399999999999995</v>
      </c>
      <c r="T130" s="24"/>
      <c r="U130" s="8"/>
    </row>
    <row r="131" spans="1:21" x14ac:dyDescent="0.25">
      <c r="A131" s="12" t="s">
        <v>61</v>
      </c>
      <c r="B131" s="13" t="s">
        <v>108</v>
      </c>
      <c r="C131" s="14"/>
      <c r="D131" s="40" t="s">
        <v>195</v>
      </c>
      <c r="E131" s="42" t="s">
        <v>86</v>
      </c>
      <c r="F131" s="42"/>
      <c r="G131" s="42"/>
      <c r="H131" s="10"/>
      <c r="I131" s="16" t="s">
        <v>146</v>
      </c>
      <c r="J131" s="9">
        <v>1.72</v>
      </c>
      <c r="K131" s="9">
        <v>2</v>
      </c>
      <c r="L131" s="9"/>
      <c r="M131" s="9"/>
      <c r="N131" s="9"/>
      <c r="O131" s="9"/>
      <c r="P131" s="9"/>
      <c r="Q131" s="9"/>
      <c r="R131" s="9"/>
      <c r="S131" s="23">
        <f t="shared" si="2"/>
        <v>3.44</v>
      </c>
      <c r="T131" s="24"/>
      <c r="U131" s="8"/>
    </row>
    <row r="132" spans="1:21" x14ac:dyDescent="0.25">
      <c r="A132" s="12" t="s">
        <v>61</v>
      </c>
      <c r="B132" s="13" t="s">
        <v>108</v>
      </c>
      <c r="C132" s="14"/>
      <c r="D132" s="40" t="s">
        <v>195</v>
      </c>
      <c r="E132" s="42"/>
      <c r="F132" s="42" t="s">
        <v>83</v>
      </c>
      <c r="G132" s="42"/>
      <c r="H132" s="10"/>
      <c r="I132" s="16"/>
      <c r="J132" s="9">
        <f>J131</f>
        <v>1.72</v>
      </c>
      <c r="K132" s="9">
        <f>2.8-2</f>
        <v>0.79999999999999982</v>
      </c>
      <c r="L132" s="9"/>
      <c r="M132" s="9"/>
      <c r="N132" s="9"/>
      <c r="O132" s="9"/>
      <c r="P132" s="9"/>
      <c r="Q132" s="9"/>
      <c r="R132" s="9"/>
      <c r="S132" s="23">
        <f t="shared" si="2"/>
        <v>1.3759999999999997</v>
      </c>
      <c r="T132" s="24"/>
      <c r="U132" s="8"/>
    </row>
    <row r="133" spans="1:21" x14ac:dyDescent="0.25">
      <c r="A133" s="12" t="s">
        <v>61</v>
      </c>
      <c r="B133" s="13" t="s">
        <v>108</v>
      </c>
      <c r="C133" s="14"/>
      <c r="D133" s="40" t="s">
        <v>195</v>
      </c>
      <c r="E133" s="42"/>
      <c r="F133" s="42"/>
      <c r="G133" s="42" t="s">
        <v>82</v>
      </c>
      <c r="H133" s="10"/>
      <c r="I133" s="16"/>
      <c r="J133" s="9">
        <f>J130</f>
        <v>4.5199999999999996</v>
      </c>
      <c r="K133" s="9">
        <f>2.8-2</f>
        <v>0.79999999999999982</v>
      </c>
      <c r="L133" s="9"/>
      <c r="M133" s="9"/>
      <c r="N133" s="9"/>
      <c r="O133" s="9"/>
      <c r="P133" s="9"/>
      <c r="Q133" s="9"/>
      <c r="R133" s="9"/>
      <c r="S133" s="23">
        <f t="shared" si="2"/>
        <v>3.6159999999999988</v>
      </c>
      <c r="T133" s="24"/>
      <c r="U133" s="8"/>
    </row>
    <row r="134" spans="1:21" x14ac:dyDescent="0.25">
      <c r="A134" s="12" t="s">
        <v>61</v>
      </c>
      <c r="B134" s="13" t="s">
        <v>109</v>
      </c>
      <c r="C134" s="14"/>
      <c r="D134" s="40"/>
      <c r="E134" s="42"/>
      <c r="F134" s="42" t="s">
        <v>83</v>
      </c>
      <c r="G134" s="42"/>
      <c r="H134" s="10"/>
      <c r="I134" s="16"/>
      <c r="J134" s="9">
        <v>1.72</v>
      </c>
      <c r="K134" s="9">
        <v>2.8</v>
      </c>
      <c r="L134" s="9"/>
      <c r="M134" s="9"/>
      <c r="N134" s="9"/>
      <c r="O134" s="9"/>
      <c r="P134" s="9"/>
      <c r="Q134" s="9"/>
      <c r="R134" s="9"/>
      <c r="S134" s="23">
        <f t="shared" si="2"/>
        <v>4.8159999999999998</v>
      </c>
      <c r="T134" s="24"/>
      <c r="U134" s="8"/>
    </row>
    <row r="135" spans="1:21" x14ac:dyDescent="0.25">
      <c r="A135" s="12" t="s">
        <v>61</v>
      </c>
      <c r="B135" s="13" t="s">
        <v>109</v>
      </c>
      <c r="C135" s="14"/>
      <c r="D135" s="40"/>
      <c r="E135" s="42"/>
      <c r="F135" s="42"/>
      <c r="G135" s="42" t="s">
        <v>82</v>
      </c>
      <c r="H135" s="10"/>
      <c r="I135" s="16"/>
      <c r="J135" s="9">
        <f>1.72+2.1*2</f>
        <v>5.92</v>
      </c>
      <c r="K135" s="9">
        <v>2.8</v>
      </c>
      <c r="L135" s="9"/>
      <c r="M135" s="9">
        <f>0.9*2</f>
        <v>1.8</v>
      </c>
      <c r="N135" s="9"/>
      <c r="O135" s="9"/>
      <c r="P135" s="9"/>
      <c r="Q135" s="9"/>
      <c r="R135" s="9"/>
      <c r="S135" s="23">
        <f t="shared" si="2"/>
        <v>14.776</v>
      </c>
      <c r="T135" s="24"/>
      <c r="U135" s="8"/>
    </row>
    <row r="136" spans="1:21" x14ac:dyDescent="0.25">
      <c r="A136" s="12" t="s">
        <v>61</v>
      </c>
      <c r="B136" s="13" t="s">
        <v>110</v>
      </c>
      <c r="C136" s="14"/>
      <c r="D136" s="40"/>
      <c r="E136" s="42"/>
      <c r="F136" s="42" t="s">
        <v>83</v>
      </c>
      <c r="G136" s="42"/>
      <c r="H136" s="10"/>
      <c r="I136" s="16"/>
      <c r="J136" s="9">
        <v>3.6</v>
      </c>
      <c r="K136" s="9">
        <v>2.8</v>
      </c>
      <c r="L136" s="9"/>
      <c r="M136" s="9"/>
      <c r="N136" s="9"/>
      <c r="O136" s="9"/>
      <c r="P136" s="9"/>
      <c r="Q136" s="9"/>
      <c r="R136" s="9"/>
      <c r="S136" s="23">
        <f t="shared" si="2"/>
        <v>10.08</v>
      </c>
      <c r="T136" s="24"/>
      <c r="U136" s="8"/>
    </row>
    <row r="137" spans="1:21" x14ac:dyDescent="0.25">
      <c r="A137" s="12" t="s">
        <v>61</v>
      </c>
      <c r="B137" s="13" t="s">
        <v>110</v>
      </c>
      <c r="C137" s="14"/>
      <c r="D137" s="40"/>
      <c r="E137" s="42"/>
      <c r="F137" s="42"/>
      <c r="G137" s="42" t="s">
        <v>82</v>
      </c>
      <c r="H137" s="10"/>
      <c r="I137" s="16"/>
      <c r="J137" s="9">
        <f>3.6+2.2*2</f>
        <v>8</v>
      </c>
      <c r="K137" s="9">
        <v>2.8</v>
      </c>
      <c r="L137" s="9"/>
      <c r="M137" s="9">
        <f>0.9*2</f>
        <v>1.8</v>
      </c>
      <c r="N137" s="9"/>
      <c r="O137" s="9"/>
      <c r="P137" s="9"/>
      <c r="Q137" s="9"/>
      <c r="R137" s="9"/>
      <c r="S137" s="23">
        <f t="shared" si="2"/>
        <v>20.599999999999998</v>
      </c>
      <c r="T137" s="24"/>
      <c r="U137" s="8"/>
    </row>
    <row r="138" spans="1:21" x14ac:dyDescent="0.25">
      <c r="A138" s="12" t="s">
        <v>61</v>
      </c>
      <c r="B138" s="13" t="s">
        <v>111</v>
      </c>
      <c r="C138" s="14"/>
      <c r="D138" s="40"/>
      <c r="E138" s="42"/>
      <c r="F138" s="42" t="s">
        <v>83</v>
      </c>
      <c r="G138" s="42"/>
      <c r="H138" s="10"/>
      <c r="I138" s="16"/>
      <c r="J138" s="9">
        <f>3.4+1.1+0.05</f>
        <v>4.55</v>
      </c>
      <c r="K138" s="9">
        <v>3.1</v>
      </c>
      <c r="L138" s="9">
        <f>1.65*2.3+0.65*2.3</f>
        <v>5.2899999999999991</v>
      </c>
      <c r="M138" s="9"/>
      <c r="N138" s="9"/>
      <c r="O138" s="9"/>
      <c r="P138" s="9"/>
      <c r="Q138" s="9"/>
      <c r="R138" s="9"/>
      <c r="S138" s="23">
        <f t="shared" ref="S138:S201" si="3">IF(AND(ISBLANK(E138),ISBLANK(F138),ISBLANK(G138),ISBLANK(H138)),"",IF(J138*K138-L138-M138-N138-O138+P138+Q138+R138=0,"",J138*K138-L138-M138-N138-O138+P138+Q138+R138))</f>
        <v>8.8150000000000013</v>
      </c>
      <c r="T138" s="24"/>
      <c r="U138" s="8"/>
    </row>
    <row r="139" spans="1:21" x14ac:dyDescent="0.25">
      <c r="A139" s="12" t="s">
        <v>61</v>
      </c>
      <c r="B139" s="13" t="s">
        <v>111</v>
      </c>
      <c r="C139" s="14"/>
      <c r="D139" s="40"/>
      <c r="E139" s="42"/>
      <c r="F139" s="42"/>
      <c r="G139" s="42" t="s">
        <v>82</v>
      </c>
      <c r="H139" s="10"/>
      <c r="I139" s="16"/>
      <c r="J139" s="9">
        <f>12.2-J138</f>
        <v>7.6499999999999995</v>
      </c>
      <c r="K139" s="9">
        <v>3.1</v>
      </c>
      <c r="L139" s="9"/>
      <c r="M139" s="9">
        <f>0.8*2</f>
        <v>1.6</v>
      </c>
      <c r="N139" s="9"/>
      <c r="O139" s="9"/>
      <c r="P139" s="9"/>
      <c r="Q139" s="9"/>
      <c r="R139" s="9"/>
      <c r="S139" s="23">
        <f t="shared" si="3"/>
        <v>22.114999999999998</v>
      </c>
      <c r="T139" s="24"/>
      <c r="U139" s="8"/>
    </row>
    <row r="140" spans="1:21" x14ac:dyDescent="0.25">
      <c r="A140" s="12" t="s">
        <v>61</v>
      </c>
      <c r="B140" s="13" t="s">
        <v>112</v>
      </c>
      <c r="C140" s="14"/>
      <c r="D140" s="40"/>
      <c r="E140" s="42" t="s">
        <v>86</v>
      </c>
      <c r="F140" s="42"/>
      <c r="G140" s="42"/>
      <c r="H140" s="10"/>
      <c r="I140" s="16" t="s">
        <v>89</v>
      </c>
      <c r="J140" s="9">
        <f>3.4+2.2*2</f>
        <v>7.8000000000000007</v>
      </c>
      <c r="K140" s="9">
        <v>2</v>
      </c>
      <c r="L140" s="9"/>
      <c r="M140" s="9">
        <f>0.9*2</f>
        <v>1.8</v>
      </c>
      <c r="N140" s="9"/>
      <c r="O140" s="9"/>
      <c r="P140" s="9"/>
      <c r="Q140" s="9"/>
      <c r="R140" s="9"/>
      <c r="S140" s="23">
        <f t="shared" si="3"/>
        <v>13.8</v>
      </c>
      <c r="T140" s="24"/>
      <c r="U140" s="8"/>
    </row>
    <row r="141" spans="1:21" x14ac:dyDescent="0.25">
      <c r="A141" s="12" t="s">
        <v>61</v>
      </c>
      <c r="B141" s="13" t="s">
        <v>112</v>
      </c>
      <c r="C141" s="14"/>
      <c r="D141" s="40"/>
      <c r="E141" s="42" t="s">
        <v>86</v>
      </c>
      <c r="F141" s="42"/>
      <c r="G141" s="42"/>
      <c r="H141" s="10"/>
      <c r="I141" s="16" t="s">
        <v>146</v>
      </c>
      <c r="J141" s="9">
        <v>3.4</v>
      </c>
      <c r="K141" s="9">
        <v>2</v>
      </c>
      <c r="L141" s="9"/>
      <c r="M141" s="9"/>
      <c r="N141" s="9"/>
      <c r="O141" s="9"/>
      <c r="P141" s="9"/>
      <c r="Q141" s="9"/>
      <c r="R141" s="9"/>
      <c r="S141" s="23">
        <f t="shared" si="3"/>
        <v>6.8</v>
      </c>
      <c r="T141" s="24"/>
      <c r="U141" s="8"/>
    </row>
    <row r="142" spans="1:21" x14ac:dyDescent="0.25">
      <c r="A142" s="12" t="s">
        <v>61</v>
      </c>
      <c r="B142" s="13" t="s">
        <v>112</v>
      </c>
      <c r="C142" s="14"/>
      <c r="D142" s="40"/>
      <c r="E142" s="42"/>
      <c r="F142" s="42" t="s">
        <v>83</v>
      </c>
      <c r="G142" s="42"/>
      <c r="H142" s="10"/>
      <c r="I142" s="16"/>
      <c r="J142" s="9">
        <f>J141</f>
        <v>3.4</v>
      </c>
      <c r="K142" s="9">
        <f>3.1-2</f>
        <v>1.1000000000000001</v>
      </c>
      <c r="L142" s="9"/>
      <c r="M142" s="9"/>
      <c r="N142" s="9"/>
      <c r="O142" s="9"/>
      <c r="P142" s="9"/>
      <c r="Q142" s="9"/>
      <c r="R142" s="9"/>
      <c r="S142" s="23">
        <f t="shared" si="3"/>
        <v>3.74</v>
      </c>
      <c r="T142" s="24"/>
      <c r="U142" s="8"/>
    </row>
    <row r="143" spans="1:21" x14ac:dyDescent="0.25">
      <c r="A143" s="12" t="s">
        <v>61</v>
      </c>
      <c r="B143" s="13" t="s">
        <v>112</v>
      </c>
      <c r="C143" s="14"/>
      <c r="D143" s="40"/>
      <c r="E143" s="42"/>
      <c r="F143" s="42"/>
      <c r="G143" s="42" t="s">
        <v>82</v>
      </c>
      <c r="H143" s="10"/>
      <c r="I143" s="16"/>
      <c r="J143" s="9">
        <f>J140</f>
        <v>7.8000000000000007</v>
      </c>
      <c r="K143" s="9">
        <f>3.1-2</f>
        <v>1.1000000000000001</v>
      </c>
      <c r="L143" s="9"/>
      <c r="M143" s="9"/>
      <c r="N143" s="9"/>
      <c r="O143" s="9"/>
      <c r="P143" s="9"/>
      <c r="Q143" s="9"/>
      <c r="R143" s="9"/>
      <c r="S143" s="23">
        <f t="shared" si="3"/>
        <v>8.5800000000000018</v>
      </c>
      <c r="T143" s="24"/>
      <c r="U143" s="8"/>
    </row>
    <row r="144" spans="1:21" x14ac:dyDescent="0.25">
      <c r="A144" s="12" t="s">
        <v>61</v>
      </c>
      <c r="B144" s="13" t="s">
        <v>113</v>
      </c>
      <c r="C144" s="14"/>
      <c r="D144" s="40"/>
      <c r="E144" s="42" t="s">
        <v>86</v>
      </c>
      <c r="F144" s="42"/>
      <c r="G144" s="42"/>
      <c r="H144" s="10"/>
      <c r="I144" s="16" t="s">
        <v>89</v>
      </c>
      <c r="J144" s="9">
        <f>3.35+1.5*2</f>
        <v>6.35</v>
      </c>
      <c r="K144" s="9">
        <v>2</v>
      </c>
      <c r="L144" s="9"/>
      <c r="M144" s="9">
        <f>0.91*2+1*2</f>
        <v>3.8200000000000003</v>
      </c>
      <c r="N144" s="9"/>
      <c r="O144" s="9"/>
      <c r="P144" s="9"/>
      <c r="Q144" s="9"/>
      <c r="R144" s="9"/>
      <c r="S144" s="23">
        <f t="shared" si="3"/>
        <v>8.879999999999999</v>
      </c>
      <c r="T144" s="24"/>
      <c r="U144" s="8"/>
    </row>
    <row r="145" spans="1:21" x14ac:dyDescent="0.25">
      <c r="A145" s="12" t="s">
        <v>61</v>
      </c>
      <c r="B145" s="13" t="s">
        <v>113</v>
      </c>
      <c r="C145" s="14"/>
      <c r="D145" s="40"/>
      <c r="E145" s="42" t="s">
        <v>86</v>
      </c>
      <c r="F145" s="42"/>
      <c r="G145" s="42"/>
      <c r="H145" s="10"/>
      <c r="I145" s="16" t="s">
        <v>146</v>
      </c>
      <c r="J145" s="9">
        <v>3.35</v>
      </c>
      <c r="K145" s="9">
        <v>2</v>
      </c>
      <c r="L145" s="9"/>
      <c r="M145" s="9"/>
      <c r="N145" s="9"/>
      <c r="O145" s="9"/>
      <c r="P145" s="9"/>
      <c r="Q145" s="9"/>
      <c r="R145" s="9"/>
      <c r="S145" s="23">
        <f t="shared" si="3"/>
        <v>6.7</v>
      </c>
      <c r="T145" s="24"/>
      <c r="U145" s="8"/>
    </row>
    <row r="146" spans="1:21" x14ac:dyDescent="0.25">
      <c r="A146" s="12" t="s">
        <v>61</v>
      </c>
      <c r="B146" s="13" t="s">
        <v>113</v>
      </c>
      <c r="C146" s="14"/>
      <c r="D146" s="40"/>
      <c r="E146" s="42"/>
      <c r="F146" s="42" t="s">
        <v>83</v>
      </c>
      <c r="G146" s="42"/>
      <c r="H146" s="10"/>
      <c r="I146" s="16"/>
      <c r="J146" s="9">
        <f>J145</f>
        <v>3.35</v>
      </c>
      <c r="K146" s="9">
        <f>2.8-2</f>
        <v>0.79999999999999982</v>
      </c>
      <c r="L146" s="9"/>
      <c r="M146" s="9"/>
      <c r="N146" s="9"/>
      <c r="O146" s="9"/>
      <c r="P146" s="9"/>
      <c r="Q146" s="9"/>
      <c r="R146" s="9"/>
      <c r="S146" s="23">
        <f t="shared" si="3"/>
        <v>2.6799999999999993</v>
      </c>
      <c r="T146" s="24"/>
      <c r="U146" s="8"/>
    </row>
    <row r="147" spans="1:21" x14ac:dyDescent="0.25">
      <c r="A147" s="12" t="s">
        <v>61</v>
      </c>
      <c r="B147" s="13" t="s">
        <v>113</v>
      </c>
      <c r="C147" s="14"/>
      <c r="D147" s="40"/>
      <c r="E147" s="42"/>
      <c r="F147" s="42"/>
      <c r="G147" s="42" t="s">
        <v>82</v>
      </c>
      <c r="H147" s="10"/>
      <c r="I147" s="16"/>
      <c r="J147" s="9">
        <f>J144</f>
        <v>6.35</v>
      </c>
      <c r="K147" s="9">
        <f>2.8-2</f>
        <v>0.79999999999999982</v>
      </c>
      <c r="L147" s="9"/>
      <c r="M147" s="9"/>
      <c r="N147" s="9"/>
      <c r="O147" s="9"/>
      <c r="P147" s="9"/>
      <c r="Q147" s="9"/>
      <c r="R147" s="9"/>
      <c r="S147" s="23">
        <f t="shared" si="3"/>
        <v>5.0799999999999983</v>
      </c>
      <c r="T147" s="24"/>
      <c r="U147" s="8"/>
    </row>
    <row r="148" spans="1:21" x14ac:dyDescent="0.25">
      <c r="A148" s="12" t="s">
        <v>61</v>
      </c>
      <c r="B148" s="13" t="s">
        <v>114</v>
      </c>
      <c r="C148" s="14"/>
      <c r="D148" s="40" t="s">
        <v>195</v>
      </c>
      <c r="E148" s="42" t="s">
        <v>86</v>
      </c>
      <c r="F148" s="42"/>
      <c r="G148" s="42"/>
      <c r="H148" s="10"/>
      <c r="I148" s="16" t="s">
        <v>89</v>
      </c>
      <c r="J148" s="9">
        <f>12.5-J149</f>
        <v>9.1</v>
      </c>
      <c r="K148" s="9">
        <v>2</v>
      </c>
      <c r="L148" s="9"/>
      <c r="M148" s="9">
        <f>0.9*2+1*2</f>
        <v>3.8</v>
      </c>
      <c r="N148" s="9"/>
      <c r="O148" s="9"/>
      <c r="P148" s="9"/>
      <c r="Q148" s="9"/>
      <c r="R148" s="9"/>
      <c r="S148" s="23">
        <f t="shared" si="3"/>
        <v>14.399999999999999</v>
      </c>
      <c r="T148" s="24"/>
      <c r="U148" s="8"/>
    </row>
    <row r="149" spans="1:21" x14ac:dyDescent="0.25">
      <c r="A149" s="12" t="s">
        <v>61</v>
      </c>
      <c r="B149" s="13" t="s">
        <v>114</v>
      </c>
      <c r="C149" s="14"/>
      <c r="D149" s="40" t="s">
        <v>195</v>
      </c>
      <c r="E149" s="42" t="s">
        <v>86</v>
      </c>
      <c r="F149" s="42"/>
      <c r="G149" s="42"/>
      <c r="H149" s="10"/>
      <c r="I149" s="16" t="s">
        <v>146</v>
      </c>
      <c r="J149" s="9">
        <v>3.4</v>
      </c>
      <c r="K149" s="9">
        <v>2</v>
      </c>
      <c r="L149" s="9"/>
      <c r="M149" s="9"/>
      <c r="N149" s="9"/>
      <c r="O149" s="9">
        <f>0.78*1.6</f>
        <v>1.2480000000000002</v>
      </c>
      <c r="P149" s="9"/>
      <c r="Q149" s="9"/>
      <c r="R149" s="9"/>
      <c r="S149" s="23">
        <f t="shared" si="3"/>
        <v>5.5519999999999996</v>
      </c>
      <c r="T149" s="24"/>
      <c r="U149" s="8"/>
    </row>
    <row r="150" spans="1:21" x14ac:dyDescent="0.25">
      <c r="A150" s="12" t="s">
        <v>61</v>
      </c>
      <c r="B150" s="13" t="s">
        <v>114</v>
      </c>
      <c r="C150" s="14"/>
      <c r="D150" s="40" t="s">
        <v>195</v>
      </c>
      <c r="E150" s="42" t="s">
        <v>86</v>
      </c>
      <c r="F150" s="42"/>
      <c r="G150" s="42"/>
      <c r="H150" s="10"/>
      <c r="I150" s="16" t="s">
        <v>89</v>
      </c>
      <c r="J150" s="9">
        <f>0.78+0.15</f>
        <v>0.93</v>
      </c>
      <c r="K150" s="9">
        <v>1.6</v>
      </c>
      <c r="L150" s="9"/>
      <c r="M150" s="9"/>
      <c r="N150" s="9"/>
      <c r="O150" s="9"/>
      <c r="P150" s="9"/>
      <c r="Q150" s="9">
        <f>0.78*0.15</f>
        <v>0.11699999999999999</v>
      </c>
      <c r="R150" s="9"/>
      <c r="S150" s="23">
        <f t="shared" si="3"/>
        <v>1.6050000000000002</v>
      </c>
      <c r="T150" s="24"/>
      <c r="U150" s="8"/>
    </row>
    <row r="151" spans="1:21" x14ac:dyDescent="0.25">
      <c r="A151" s="12" t="s">
        <v>61</v>
      </c>
      <c r="B151" s="13" t="s">
        <v>114</v>
      </c>
      <c r="C151" s="14"/>
      <c r="D151" s="40" t="s">
        <v>195</v>
      </c>
      <c r="E151" s="42"/>
      <c r="F151" s="42" t="s">
        <v>83</v>
      </c>
      <c r="G151" s="42"/>
      <c r="H151" s="10"/>
      <c r="I151" s="16"/>
      <c r="J151" s="9">
        <f>J149</f>
        <v>3.4</v>
      </c>
      <c r="K151" s="9">
        <f>2.8-2</f>
        <v>0.79999999999999982</v>
      </c>
      <c r="L151" s="9"/>
      <c r="M151" s="9"/>
      <c r="N151" s="9"/>
      <c r="O151" s="9"/>
      <c r="P151" s="9"/>
      <c r="Q151" s="9"/>
      <c r="R151" s="9"/>
      <c r="S151" s="23">
        <f t="shared" si="3"/>
        <v>2.7199999999999993</v>
      </c>
      <c r="T151" s="24"/>
      <c r="U151" s="8"/>
    </row>
    <row r="152" spans="1:21" x14ac:dyDescent="0.25">
      <c r="A152" s="12" t="s">
        <v>61</v>
      </c>
      <c r="B152" s="13" t="s">
        <v>114</v>
      </c>
      <c r="C152" s="14"/>
      <c r="D152" s="40" t="s">
        <v>195</v>
      </c>
      <c r="E152" s="42"/>
      <c r="F152" s="42"/>
      <c r="G152" s="42" t="s">
        <v>82</v>
      </c>
      <c r="H152" s="10"/>
      <c r="I152" s="16"/>
      <c r="J152" s="9">
        <f>J148</f>
        <v>9.1</v>
      </c>
      <c r="K152" s="9">
        <f>2.8-2</f>
        <v>0.79999999999999982</v>
      </c>
      <c r="L152" s="9"/>
      <c r="M152" s="9"/>
      <c r="N152" s="9"/>
      <c r="O152" s="9"/>
      <c r="P152" s="9"/>
      <c r="Q152" s="9"/>
      <c r="R152" s="9"/>
      <c r="S152" s="23">
        <f t="shared" si="3"/>
        <v>7.2799999999999985</v>
      </c>
      <c r="T152" s="24"/>
      <c r="U152" s="8"/>
    </row>
    <row r="153" spans="1:21" x14ac:dyDescent="0.25">
      <c r="A153" s="12" t="s">
        <v>61</v>
      </c>
      <c r="B153" s="13" t="s">
        <v>115</v>
      </c>
      <c r="C153" s="14"/>
      <c r="D153" s="40" t="s">
        <v>195</v>
      </c>
      <c r="E153" s="42" t="s">
        <v>86</v>
      </c>
      <c r="F153" s="42"/>
      <c r="G153" s="42"/>
      <c r="H153" s="10"/>
      <c r="I153" s="16" t="s">
        <v>89</v>
      </c>
      <c r="J153" s="9">
        <f>48.54+3.32-J154</f>
        <v>35.010000000000005</v>
      </c>
      <c r="K153" s="9">
        <v>2</v>
      </c>
      <c r="L153" s="9"/>
      <c r="M153" s="9">
        <f>1*2+1.4*2</f>
        <v>4.8</v>
      </c>
      <c r="N153" s="9"/>
      <c r="O153" s="9"/>
      <c r="P153" s="9"/>
      <c r="Q153" s="9"/>
      <c r="R153" s="9"/>
      <c r="S153" s="23">
        <f t="shared" si="3"/>
        <v>65.220000000000013</v>
      </c>
      <c r="T153" s="24"/>
      <c r="U153" s="8"/>
    </row>
    <row r="154" spans="1:21" x14ac:dyDescent="0.25">
      <c r="A154" s="12" t="s">
        <v>61</v>
      </c>
      <c r="B154" s="13" t="s">
        <v>115</v>
      </c>
      <c r="C154" s="14"/>
      <c r="D154" s="40" t="s">
        <v>195</v>
      </c>
      <c r="E154" s="42" t="s">
        <v>86</v>
      </c>
      <c r="F154" s="42"/>
      <c r="G154" s="42"/>
      <c r="H154" s="10"/>
      <c r="I154" s="16" t="s">
        <v>146</v>
      </c>
      <c r="J154" s="9">
        <f>9.35+2.55+4.95</f>
        <v>16.849999999999998</v>
      </c>
      <c r="K154" s="9">
        <v>2</v>
      </c>
      <c r="L154" s="9"/>
      <c r="M154" s="9">
        <f>1.4*2+3.375*2</f>
        <v>9.5500000000000007</v>
      </c>
      <c r="N154" s="9"/>
      <c r="O154" s="9"/>
      <c r="P154" s="9"/>
      <c r="Q154" s="9"/>
      <c r="R154" s="9"/>
      <c r="S154" s="23">
        <f t="shared" si="3"/>
        <v>24.149999999999995</v>
      </c>
      <c r="T154" s="24"/>
      <c r="U154" s="8"/>
    </row>
    <row r="155" spans="1:21" x14ac:dyDescent="0.25">
      <c r="A155" s="12" t="s">
        <v>61</v>
      </c>
      <c r="B155" s="13" t="s">
        <v>115</v>
      </c>
      <c r="C155" s="14"/>
      <c r="D155" s="40" t="s">
        <v>195</v>
      </c>
      <c r="E155" s="42" t="s">
        <v>86</v>
      </c>
      <c r="F155" s="42"/>
      <c r="G155" s="42"/>
      <c r="H155" s="10"/>
      <c r="I155" s="16" t="s">
        <v>94</v>
      </c>
      <c r="J155" s="9">
        <v>3.375</v>
      </c>
      <c r="K155" s="9">
        <v>2</v>
      </c>
      <c r="L155" s="9">
        <f>1.43*1</f>
        <v>1.43</v>
      </c>
      <c r="M155" s="9">
        <f>0.8*2</f>
        <v>1.6</v>
      </c>
      <c r="N155" s="9"/>
      <c r="O155" s="9"/>
      <c r="P155" s="9"/>
      <c r="Q155" s="9"/>
      <c r="R155" s="9"/>
      <c r="S155" s="23">
        <f t="shared" si="3"/>
        <v>3.72</v>
      </c>
      <c r="T155" s="24"/>
      <c r="U155" s="8"/>
    </row>
    <row r="156" spans="1:21" x14ac:dyDescent="0.25">
      <c r="A156" s="12" t="s">
        <v>61</v>
      </c>
      <c r="B156" s="13" t="s">
        <v>115</v>
      </c>
      <c r="C156" s="14"/>
      <c r="D156" s="40" t="s">
        <v>195</v>
      </c>
      <c r="E156" s="42"/>
      <c r="F156" s="42" t="s">
        <v>83</v>
      </c>
      <c r="G156" s="42"/>
      <c r="H156" s="10"/>
      <c r="I156" s="16"/>
      <c r="J156" s="9">
        <f>J154</f>
        <v>16.849999999999998</v>
      </c>
      <c r="K156" s="9">
        <f>2.8-2</f>
        <v>0.79999999999999982</v>
      </c>
      <c r="L156" s="9"/>
      <c r="M156" s="9"/>
      <c r="N156" s="9"/>
      <c r="O156" s="9"/>
      <c r="P156" s="9"/>
      <c r="Q156" s="9"/>
      <c r="R156" s="9"/>
      <c r="S156" s="23">
        <f t="shared" si="3"/>
        <v>13.479999999999995</v>
      </c>
      <c r="T156" s="24"/>
      <c r="U156" s="8"/>
    </row>
    <row r="157" spans="1:21" x14ac:dyDescent="0.25">
      <c r="A157" s="12" t="s">
        <v>61</v>
      </c>
      <c r="B157" s="13" t="s">
        <v>115</v>
      </c>
      <c r="C157" s="14"/>
      <c r="D157" s="40" t="s">
        <v>195</v>
      </c>
      <c r="E157" s="42"/>
      <c r="F157" s="42"/>
      <c r="G157" s="42" t="s">
        <v>82</v>
      </c>
      <c r="H157" s="10"/>
      <c r="I157" s="16"/>
      <c r="J157" s="9">
        <f>J153</f>
        <v>35.010000000000005</v>
      </c>
      <c r="K157" s="9">
        <f>2.8-2</f>
        <v>0.79999999999999982</v>
      </c>
      <c r="L157" s="9"/>
      <c r="M157" s="9"/>
      <c r="N157" s="9"/>
      <c r="O157" s="9"/>
      <c r="P157" s="9"/>
      <c r="Q157" s="9"/>
      <c r="R157" s="9"/>
      <c r="S157" s="23">
        <f t="shared" si="3"/>
        <v>28.007999999999999</v>
      </c>
      <c r="T157" s="24"/>
      <c r="U157" s="8"/>
    </row>
    <row r="158" spans="1:21" x14ac:dyDescent="0.25">
      <c r="A158" s="12" t="s">
        <v>61</v>
      </c>
      <c r="B158" s="13" t="s">
        <v>116</v>
      </c>
      <c r="C158" s="14"/>
      <c r="D158" s="40" t="s">
        <v>195</v>
      </c>
      <c r="E158" s="42" t="s">
        <v>86</v>
      </c>
      <c r="F158" s="42"/>
      <c r="G158" s="42"/>
      <c r="H158" s="10"/>
      <c r="I158" s="16" t="s">
        <v>89</v>
      </c>
      <c r="J158" s="9">
        <f>6+5.8-J159</f>
        <v>9.8000000000000007</v>
      </c>
      <c r="K158" s="9">
        <v>2</v>
      </c>
      <c r="L158" s="9"/>
      <c r="M158" s="9">
        <f>0.7*2*2</f>
        <v>2.8</v>
      </c>
      <c r="N158" s="9"/>
      <c r="O158" s="9"/>
      <c r="P158" s="9"/>
      <c r="Q158" s="9"/>
      <c r="R158" s="9"/>
      <c r="S158" s="23">
        <f t="shared" si="3"/>
        <v>16.8</v>
      </c>
      <c r="T158" s="24"/>
      <c r="U158" s="8"/>
    </row>
    <row r="159" spans="1:21" x14ac:dyDescent="0.25">
      <c r="A159" s="12" t="s">
        <v>61</v>
      </c>
      <c r="B159" s="13" t="s">
        <v>116</v>
      </c>
      <c r="C159" s="14"/>
      <c r="D159" s="40" t="s">
        <v>195</v>
      </c>
      <c r="E159" s="42" t="s">
        <v>86</v>
      </c>
      <c r="F159" s="42"/>
      <c r="G159" s="42"/>
      <c r="H159" s="10"/>
      <c r="I159" s="16" t="s">
        <v>146</v>
      </c>
      <c r="J159" s="9">
        <f>1+1</f>
        <v>2</v>
      </c>
      <c r="K159" s="9">
        <v>2</v>
      </c>
      <c r="L159" s="9"/>
      <c r="M159" s="9">
        <f>0.7*2</f>
        <v>1.4</v>
      </c>
      <c r="N159" s="9"/>
      <c r="O159" s="9"/>
      <c r="P159" s="9"/>
      <c r="Q159" s="9"/>
      <c r="R159" s="9"/>
      <c r="S159" s="23">
        <f t="shared" si="3"/>
        <v>2.6</v>
      </c>
      <c r="T159" s="24"/>
      <c r="U159" s="8"/>
    </row>
    <row r="160" spans="1:21" x14ac:dyDescent="0.25">
      <c r="A160" s="12" t="s">
        <v>61</v>
      </c>
      <c r="B160" s="13" t="s">
        <v>116</v>
      </c>
      <c r="C160" s="14"/>
      <c r="D160" s="40" t="s">
        <v>195</v>
      </c>
      <c r="E160" s="42"/>
      <c r="F160" s="42" t="s">
        <v>83</v>
      </c>
      <c r="G160" s="42"/>
      <c r="H160" s="10"/>
      <c r="I160" s="16"/>
      <c r="J160" s="9">
        <f>J159</f>
        <v>2</v>
      </c>
      <c r="K160" s="9">
        <f>2.5-2</f>
        <v>0.5</v>
      </c>
      <c r="L160" s="9"/>
      <c r="M160" s="9"/>
      <c r="N160" s="9"/>
      <c r="O160" s="9"/>
      <c r="P160" s="9"/>
      <c r="Q160" s="9"/>
      <c r="R160" s="9"/>
      <c r="S160" s="23">
        <f t="shared" si="3"/>
        <v>1</v>
      </c>
      <c r="T160" s="24"/>
      <c r="U160" s="8"/>
    </row>
    <row r="161" spans="1:21" x14ac:dyDescent="0.25">
      <c r="A161" s="12" t="s">
        <v>61</v>
      </c>
      <c r="B161" s="13" t="s">
        <v>116</v>
      </c>
      <c r="C161" s="14"/>
      <c r="D161" s="40" t="s">
        <v>195</v>
      </c>
      <c r="E161" s="42"/>
      <c r="F161" s="42"/>
      <c r="G161" s="42" t="s">
        <v>82</v>
      </c>
      <c r="H161" s="10"/>
      <c r="I161" s="16"/>
      <c r="J161" s="9">
        <f>J158</f>
        <v>9.8000000000000007</v>
      </c>
      <c r="K161" s="9">
        <f>2.5-2</f>
        <v>0.5</v>
      </c>
      <c r="L161" s="9"/>
      <c r="M161" s="9"/>
      <c r="N161" s="9"/>
      <c r="O161" s="9"/>
      <c r="P161" s="9"/>
      <c r="Q161" s="9"/>
      <c r="R161" s="9"/>
      <c r="S161" s="23">
        <f t="shared" si="3"/>
        <v>4.9000000000000004</v>
      </c>
      <c r="T161" s="24"/>
      <c r="U161" s="8"/>
    </row>
    <row r="162" spans="1:21" x14ac:dyDescent="0.25">
      <c r="A162" s="12" t="s">
        <v>61</v>
      </c>
      <c r="B162" s="13" t="s">
        <v>117</v>
      </c>
      <c r="C162" s="14"/>
      <c r="D162" s="40"/>
      <c r="E162" s="42"/>
      <c r="F162" s="42" t="s">
        <v>83</v>
      </c>
      <c r="G162" s="42"/>
      <c r="H162" s="10"/>
      <c r="I162" s="16"/>
      <c r="J162" s="9">
        <f>3.55+1.99*2</f>
        <v>7.5299999999999994</v>
      </c>
      <c r="K162" s="9">
        <v>2.6</v>
      </c>
      <c r="L162" s="9"/>
      <c r="M162" s="9">
        <f>0.7*2</f>
        <v>1.4</v>
      </c>
      <c r="N162" s="9"/>
      <c r="O162" s="9"/>
      <c r="P162" s="9"/>
      <c r="Q162" s="9"/>
      <c r="R162" s="9"/>
      <c r="S162" s="23">
        <f t="shared" si="3"/>
        <v>18.178000000000001</v>
      </c>
      <c r="T162" s="24"/>
      <c r="U162" s="8"/>
    </row>
    <row r="163" spans="1:21" x14ac:dyDescent="0.25">
      <c r="A163" s="12" t="s">
        <v>61</v>
      </c>
      <c r="B163" s="13" t="s">
        <v>117</v>
      </c>
      <c r="C163" s="14"/>
      <c r="D163" s="40"/>
      <c r="E163" s="42"/>
      <c r="F163" s="42"/>
      <c r="G163" s="42" t="s">
        <v>82</v>
      </c>
      <c r="H163" s="10"/>
      <c r="I163" s="16"/>
      <c r="J163" s="9">
        <v>3.55</v>
      </c>
      <c r="K163" s="9">
        <v>2.6</v>
      </c>
      <c r="L163" s="9"/>
      <c r="M163" s="9">
        <f>0.8*2</f>
        <v>1.6</v>
      </c>
      <c r="N163" s="9"/>
      <c r="O163" s="9"/>
      <c r="P163" s="9"/>
      <c r="Q163" s="9"/>
      <c r="R163" s="9"/>
      <c r="S163" s="23">
        <f t="shared" si="3"/>
        <v>7.6300000000000008</v>
      </c>
      <c r="T163" s="24"/>
      <c r="U163" s="8"/>
    </row>
    <row r="164" spans="1:21" x14ac:dyDescent="0.25">
      <c r="A164" s="12" t="s">
        <v>61</v>
      </c>
      <c r="B164" s="13" t="s">
        <v>118</v>
      </c>
      <c r="C164" s="14"/>
      <c r="D164" s="40" t="s">
        <v>195</v>
      </c>
      <c r="E164" s="42" t="s">
        <v>86</v>
      </c>
      <c r="F164" s="42"/>
      <c r="G164" s="42"/>
      <c r="H164" s="10"/>
      <c r="I164" s="16" t="s">
        <v>89</v>
      </c>
      <c r="J164" s="9">
        <f>2+2.4*2</f>
        <v>6.8</v>
      </c>
      <c r="K164" s="9">
        <v>2</v>
      </c>
      <c r="L164" s="9"/>
      <c r="M164" s="9"/>
      <c r="N164" s="9"/>
      <c r="O164" s="9"/>
      <c r="P164" s="9"/>
      <c r="Q164" s="9"/>
      <c r="R164" s="9"/>
      <c r="S164" s="23">
        <f t="shared" si="3"/>
        <v>13.6</v>
      </c>
      <c r="T164" s="24"/>
      <c r="U164" s="8"/>
    </row>
    <row r="165" spans="1:21" x14ac:dyDescent="0.25">
      <c r="A165" s="12" t="s">
        <v>61</v>
      </c>
      <c r="B165" s="13" t="s">
        <v>118</v>
      </c>
      <c r="C165" s="14"/>
      <c r="D165" s="40" t="s">
        <v>195</v>
      </c>
      <c r="E165" s="42" t="s">
        <v>86</v>
      </c>
      <c r="F165" s="42"/>
      <c r="G165" s="42"/>
      <c r="H165" s="10"/>
      <c r="I165" s="16" t="s">
        <v>146</v>
      </c>
      <c r="J165" s="9">
        <v>2</v>
      </c>
      <c r="K165" s="9">
        <v>2</v>
      </c>
      <c r="L165" s="9"/>
      <c r="M165" s="9">
        <f>0.7*2</f>
        <v>1.4</v>
      </c>
      <c r="N165" s="9"/>
      <c r="O165" s="9"/>
      <c r="P165" s="9"/>
      <c r="Q165" s="9"/>
      <c r="R165" s="9"/>
      <c r="S165" s="23">
        <f t="shared" si="3"/>
        <v>2.6</v>
      </c>
      <c r="T165" s="24"/>
      <c r="U165" s="8"/>
    </row>
    <row r="166" spans="1:21" x14ac:dyDescent="0.25">
      <c r="A166" s="12" t="s">
        <v>61</v>
      </c>
      <c r="B166" s="13" t="s">
        <v>118</v>
      </c>
      <c r="C166" s="14"/>
      <c r="D166" s="40" t="s">
        <v>195</v>
      </c>
      <c r="E166" s="42"/>
      <c r="F166" s="42" t="s">
        <v>83</v>
      </c>
      <c r="G166" s="42"/>
      <c r="H166" s="10"/>
      <c r="I166" s="16"/>
      <c r="J166" s="9">
        <f>J165</f>
        <v>2</v>
      </c>
      <c r="K166" s="9">
        <f>2.6-2</f>
        <v>0.60000000000000009</v>
      </c>
      <c r="L166" s="9"/>
      <c r="M166" s="9"/>
      <c r="N166" s="9"/>
      <c r="O166" s="9"/>
      <c r="P166" s="9"/>
      <c r="Q166" s="9"/>
      <c r="R166" s="9"/>
      <c r="S166" s="23">
        <f t="shared" si="3"/>
        <v>1.2000000000000002</v>
      </c>
      <c r="T166" s="24"/>
      <c r="U166" s="8"/>
    </row>
    <row r="167" spans="1:21" x14ac:dyDescent="0.25">
      <c r="A167" s="12" t="s">
        <v>61</v>
      </c>
      <c r="B167" s="13" t="s">
        <v>118</v>
      </c>
      <c r="C167" s="14"/>
      <c r="D167" s="40" t="s">
        <v>195</v>
      </c>
      <c r="E167" s="42"/>
      <c r="F167" s="42"/>
      <c r="G167" s="42" t="s">
        <v>82</v>
      </c>
      <c r="H167" s="10"/>
      <c r="I167" s="16"/>
      <c r="J167" s="9">
        <f>J164</f>
        <v>6.8</v>
      </c>
      <c r="K167" s="9">
        <f>2.6-2</f>
        <v>0.60000000000000009</v>
      </c>
      <c r="L167" s="9"/>
      <c r="M167" s="9"/>
      <c r="N167" s="9"/>
      <c r="O167" s="9"/>
      <c r="P167" s="9"/>
      <c r="Q167" s="9"/>
      <c r="R167" s="9"/>
      <c r="S167" s="23">
        <f t="shared" si="3"/>
        <v>4.08</v>
      </c>
      <c r="T167" s="24"/>
      <c r="U167" s="8"/>
    </row>
    <row r="168" spans="1:21" x14ac:dyDescent="0.25">
      <c r="A168" s="12" t="s">
        <v>61</v>
      </c>
      <c r="B168" s="13" t="s">
        <v>119</v>
      </c>
      <c r="C168" s="14"/>
      <c r="D168" s="40"/>
      <c r="E168" s="42"/>
      <c r="F168" s="42" t="s">
        <v>83</v>
      </c>
      <c r="G168" s="42"/>
      <c r="H168" s="10"/>
      <c r="I168" s="16"/>
      <c r="J168" s="9">
        <f>6.615+5.44</f>
        <v>12.055</v>
      </c>
      <c r="K168" s="9">
        <v>3.1</v>
      </c>
      <c r="L168" s="9"/>
      <c r="M168" s="9">
        <f>0.9*2</f>
        <v>1.8</v>
      </c>
      <c r="N168" s="9"/>
      <c r="O168" s="9">
        <f>3.365*2</f>
        <v>6.73</v>
      </c>
      <c r="P168" s="9"/>
      <c r="Q168" s="9"/>
      <c r="R168" s="9"/>
      <c r="S168" s="23">
        <f t="shared" si="3"/>
        <v>28.840500000000002</v>
      </c>
      <c r="T168" s="24"/>
      <c r="U168" s="8"/>
    </row>
    <row r="169" spans="1:21" x14ac:dyDescent="0.25">
      <c r="A169" s="12" t="s">
        <v>61</v>
      </c>
      <c r="B169" s="13" t="s">
        <v>119</v>
      </c>
      <c r="C169" s="14"/>
      <c r="D169" s="40"/>
      <c r="E169" s="42"/>
      <c r="F169" s="42" t="s">
        <v>84</v>
      </c>
      <c r="G169" s="42"/>
      <c r="H169" s="10"/>
      <c r="I169" s="16"/>
      <c r="J169" s="9">
        <f>6.615-J171</f>
        <v>5.36</v>
      </c>
      <c r="K169" s="9">
        <v>3.1</v>
      </c>
      <c r="L169" s="9"/>
      <c r="M169" s="9">
        <f>0.9*2</f>
        <v>1.8</v>
      </c>
      <c r="N169" s="9"/>
      <c r="O169" s="9"/>
      <c r="P169" s="9"/>
      <c r="Q169" s="9"/>
      <c r="R169" s="9"/>
      <c r="S169" s="23">
        <f t="shared" si="3"/>
        <v>14.816000000000003</v>
      </c>
      <c r="T169" s="24"/>
      <c r="U169" s="8"/>
    </row>
    <row r="170" spans="1:21" x14ac:dyDescent="0.25">
      <c r="A170" s="12" t="s">
        <v>61</v>
      </c>
      <c r="B170" s="13" t="s">
        <v>119</v>
      </c>
      <c r="C170" s="14"/>
      <c r="D170" s="40"/>
      <c r="E170" s="42"/>
      <c r="F170" s="42" t="s">
        <v>84</v>
      </c>
      <c r="G170" s="42"/>
      <c r="H170" s="10"/>
      <c r="I170" s="16"/>
      <c r="J170" s="9">
        <v>3.3650000000000002</v>
      </c>
      <c r="K170" s="9">
        <v>2</v>
      </c>
      <c r="L170" s="9">
        <f>1.43*1</f>
        <v>1.43</v>
      </c>
      <c r="M170" s="9">
        <f>0.8*2</f>
        <v>1.6</v>
      </c>
      <c r="N170" s="9"/>
      <c r="O170" s="9"/>
      <c r="P170" s="9"/>
      <c r="Q170" s="9"/>
      <c r="R170" s="9"/>
      <c r="S170" s="23">
        <f t="shared" si="3"/>
        <v>3.7000000000000006</v>
      </c>
      <c r="T170" s="24"/>
      <c r="U170" s="8"/>
    </row>
    <row r="171" spans="1:21" x14ac:dyDescent="0.25">
      <c r="A171" s="12" t="s">
        <v>61</v>
      </c>
      <c r="B171" s="13" t="s">
        <v>119</v>
      </c>
      <c r="C171" s="14"/>
      <c r="D171" s="40"/>
      <c r="E171" s="42"/>
      <c r="F171" s="42" t="s">
        <v>85</v>
      </c>
      <c r="G171" s="42"/>
      <c r="H171" s="10"/>
      <c r="I171" s="16"/>
      <c r="J171" s="9">
        <v>1.2549999999999999</v>
      </c>
      <c r="K171" s="9">
        <v>3.1</v>
      </c>
      <c r="L171" s="9"/>
      <c r="M171" s="9"/>
      <c r="N171" s="9"/>
      <c r="O171" s="9"/>
      <c r="P171" s="9"/>
      <c r="Q171" s="9"/>
      <c r="R171" s="9"/>
      <c r="S171" s="23">
        <f t="shared" si="3"/>
        <v>3.8904999999999998</v>
      </c>
      <c r="T171" s="24"/>
      <c r="U171" s="8"/>
    </row>
    <row r="172" spans="1:21" x14ac:dyDescent="0.25">
      <c r="A172" s="12" t="s">
        <v>61</v>
      </c>
      <c r="B172" s="13" t="s">
        <v>120</v>
      </c>
      <c r="C172" s="14"/>
      <c r="D172" s="40"/>
      <c r="E172" s="42"/>
      <c r="F172" s="42" t="s">
        <v>83</v>
      </c>
      <c r="G172" s="42"/>
      <c r="H172" s="10"/>
      <c r="I172" s="16"/>
      <c r="J172" s="9">
        <v>1.2549999999999999</v>
      </c>
      <c r="K172" s="9">
        <v>3.1</v>
      </c>
      <c r="L172" s="9"/>
      <c r="M172" s="9"/>
      <c r="N172" s="9"/>
      <c r="O172" s="9"/>
      <c r="P172" s="9"/>
      <c r="Q172" s="9"/>
      <c r="R172" s="9"/>
      <c r="S172" s="23">
        <f t="shared" si="3"/>
        <v>3.8904999999999998</v>
      </c>
      <c r="T172" s="24"/>
      <c r="U172" s="8"/>
    </row>
    <row r="173" spans="1:21" x14ac:dyDescent="0.25">
      <c r="A173" s="12" t="s">
        <v>61</v>
      </c>
      <c r="B173" s="13" t="s">
        <v>120</v>
      </c>
      <c r="C173" s="14"/>
      <c r="D173" s="40"/>
      <c r="E173" s="42"/>
      <c r="F173" s="42" t="s">
        <v>84</v>
      </c>
      <c r="G173" s="42"/>
      <c r="H173" s="10"/>
      <c r="I173" s="16"/>
      <c r="J173" s="9">
        <f>3.025-1.255</f>
        <v>1.77</v>
      </c>
      <c r="K173" s="9">
        <v>3.1</v>
      </c>
      <c r="L173" s="9"/>
      <c r="M173" s="9">
        <f>0.9*2</f>
        <v>1.8</v>
      </c>
      <c r="N173" s="9"/>
      <c r="O173" s="9"/>
      <c r="P173" s="9"/>
      <c r="Q173" s="9"/>
      <c r="R173" s="9"/>
      <c r="S173" s="23">
        <f t="shared" si="3"/>
        <v>3.6870000000000003</v>
      </c>
      <c r="T173" s="24"/>
      <c r="U173" s="8"/>
    </row>
    <row r="174" spans="1:21" x14ac:dyDescent="0.25">
      <c r="A174" s="12" t="s">
        <v>61</v>
      </c>
      <c r="B174" s="13" t="s">
        <v>120</v>
      </c>
      <c r="C174" s="14"/>
      <c r="D174" s="40"/>
      <c r="E174" s="42"/>
      <c r="F174" s="42" t="s">
        <v>85</v>
      </c>
      <c r="G174" s="42"/>
      <c r="H174" s="10"/>
      <c r="I174" s="16"/>
      <c r="J174" s="9">
        <v>1.2549999999999999</v>
      </c>
      <c r="K174" s="9">
        <v>3.1</v>
      </c>
      <c r="L174" s="9"/>
      <c r="M174" s="9"/>
      <c r="N174" s="9"/>
      <c r="O174" s="9"/>
      <c r="P174" s="9"/>
      <c r="Q174" s="9"/>
      <c r="R174" s="9"/>
      <c r="S174" s="23">
        <f t="shared" si="3"/>
        <v>3.8904999999999998</v>
      </c>
      <c r="T174" s="24"/>
      <c r="U174" s="8"/>
    </row>
    <row r="175" spans="1:21" x14ac:dyDescent="0.25">
      <c r="A175" s="12" t="s">
        <v>61</v>
      </c>
      <c r="B175" s="13" t="s">
        <v>120</v>
      </c>
      <c r="C175" s="14"/>
      <c r="D175" s="40"/>
      <c r="E175" s="42"/>
      <c r="F175" s="42"/>
      <c r="G175" s="42" t="s">
        <v>82</v>
      </c>
      <c r="H175" s="10"/>
      <c r="I175" s="16"/>
      <c r="J175" s="9">
        <f>3.025-1.255+2.54</f>
        <v>4.3100000000000005</v>
      </c>
      <c r="K175" s="9">
        <v>3.1</v>
      </c>
      <c r="L175" s="9"/>
      <c r="M175" s="9">
        <f>0.9*2*2</f>
        <v>3.6</v>
      </c>
      <c r="N175" s="9"/>
      <c r="O175" s="9"/>
      <c r="P175" s="9"/>
      <c r="Q175" s="9"/>
      <c r="R175" s="9"/>
      <c r="S175" s="23">
        <f t="shared" si="3"/>
        <v>9.7610000000000028</v>
      </c>
      <c r="T175" s="24"/>
      <c r="U175" s="8"/>
    </row>
    <row r="176" spans="1:21" x14ac:dyDescent="0.25">
      <c r="A176" s="12" t="s">
        <v>61</v>
      </c>
      <c r="B176" s="13" t="s">
        <v>121</v>
      </c>
      <c r="C176" s="14"/>
      <c r="D176" s="40" t="s">
        <v>195</v>
      </c>
      <c r="E176" s="42" t="s">
        <v>86</v>
      </c>
      <c r="F176" s="42"/>
      <c r="G176" s="42"/>
      <c r="H176" s="10"/>
      <c r="I176" s="16" t="s">
        <v>89</v>
      </c>
      <c r="J176" s="9">
        <f>8.68-J177</f>
        <v>7.08</v>
      </c>
      <c r="K176" s="9">
        <v>2</v>
      </c>
      <c r="L176" s="9"/>
      <c r="M176" s="9">
        <f>0.9*2</f>
        <v>1.8</v>
      </c>
      <c r="N176" s="9"/>
      <c r="O176" s="9"/>
      <c r="P176" s="9"/>
      <c r="Q176" s="9"/>
      <c r="R176" s="9"/>
      <c r="S176" s="23">
        <f t="shared" si="3"/>
        <v>12.36</v>
      </c>
      <c r="T176" s="24"/>
      <c r="U176" s="8"/>
    </row>
    <row r="177" spans="1:21" x14ac:dyDescent="0.25">
      <c r="A177" s="12" t="s">
        <v>61</v>
      </c>
      <c r="B177" s="13" t="s">
        <v>121</v>
      </c>
      <c r="C177" s="14"/>
      <c r="D177" s="40" t="s">
        <v>195</v>
      </c>
      <c r="E177" s="42" t="s">
        <v>86</v>
      </c>
      <c r="F177" s="42"/>
      <c r="G177" s="42"/>
      <c r="H177" s="10"/>
      <c r="I177" s="16" t="s">
        <v>94</v>
      </c>
      <c r="J177" s="9">
        <v>1.6</v>
      </c>
      <c r="K177" s="9">
        <v>2</v>
      </c>
      <c r="L177" s="9"/>
      <c r="M177" s="9"/>
      <c r="N177" s="9"/>
      <c r="O177" s="9"/>
      <c r="P177" s="9"/>
      <c r="Q177" s="9"/>
      <c r="R177" s="9"/>
      <c r="S177" s="23">
        <f t="shared" si="3"/>
        <v>3.2</v>
      </c>
      <c r="T177" s="24"/>
      <c r="U177" s="8"/>
    </row>
    <row r="178" spans="1:21" x14ac:dyDescent="0.25">
      <c r="A178" s="12" t="s">
        <v>61</v>
      </c>
      <c r="B178" s="13" t="s">
        <v>121</v>
      </c>
      <c r="C178" s="14"/>
      <c r="D178" s="40" t="s">
        <v>195</v>
      </c>
      <c r="E178" s="42"/>
      <c r="F178" s="42" t="s">
        <v>84</v>
      </c>
      <c r="G178" s="42"/>
      <c r="H178" s="10"/>
      <c r="I178" s="16"/>
      <c r="J178" s="9">
        <f>J177</f>
        <v>1.6</v>
      </c>
      <c r="K178" s="9">
        <f>2.8-2</f>
        <v>0.79999999999999982</v>
      </c>
      <c r="L178" s="9"/>
      <c r="M178" s="9"/>
      <c r="N178" s="9"/>
      <c r="O178" s="9"/>
      <c r="P178" s="9"/>
      <c r="Q178" s="9"/>
      <c r="R178" s="9"/>
      <c r="S178" s="23">
        <f t="shared" si="3"/>
        <v>1.2799999999999998</v>
      </c>
      <c r="T178" s="24"/>
      <c r="U178" s="8"/>
    </row>
    <row r="179" spans="1:21" x14ac:dyDescent="0.25">
      <c r="A179" s="12" t="s">
        <v>61</v>
      </c>
      <c r="B179" s="13" t="s">
        <v>121</v>
      </c>
      <c r="C179" s="14"/>
      <c r="D179" s="40" t="s">
        <v>195</v>
      </c>
      <c r="E179" s="42"/>
      <c r="F179" s="42"/>
      <c r="G179" s="42" t="s">
        <v>82</v>
      </c>
      <c r="H179" s="10"/>
      <c r="I179" s="16"/>
      <c r="J179" s="9">
        <f>J176</f>
        <v>7.08</v>
      </c>
      <c r="K179" s="9">
        <f>2.8-2</f>
        <v>0.79999999999999982</v>
      </c>
      <c r="L179" s="9"/>
      <c r="M179" s="9"/>
      <c r="N179" s="9"/>
      <c r="O179" s="9"/>
      <c r="P179" s="9"/>
      <c r="Q179" s="9"/>
      <c r="R179" s="9"/>
      <c r="S179" s="23">
        <f t="shared" si="3"/>
        <v>5.6639999999999988</v>
      </c>
      <c r="T179" s="24"/>
      <c r="U179" s="8"/>
    </row>
    <row r="180" spans="1:21" x14ac:dyDescent="0.25">
      <c r="A180" s="12" t="s">
        <v>61</v>
      </c>
      <c r="B180" s="13" t="s">
        <v>122</v>
      </c>
      <c r="C180" s="14"/>
      <c r="D180" s="40"/>
      <c r="E180" s="42"/>
      <c r="F180" s="42" t="s">
        <v>83</v>
      </c>
      <c r="G180" s="42"/>
      <c r="H180" s="10"/>
      <c r="I180" s="16"/>
      <c r="J180" s="9">
        <f>4.3+1.255</f>
        <v>5.5549999999999997</v>
      </c>
      <c r="K180" s="9">
        <v>3.1</v>
      </c>
      <c r="L180" s="9"/>
      <c r="M180" s="9"/>
      <c r="N180" s="9"/>
      <c r="O180" s="9"/>
      <c r="P180" s="9"/>
      <c r="Q180" s="9"/>
      <c r="R180" s="9"/>
      <c r="S180" s="23">
        <f t="shared" si="3"/>
        <v>17.220500000000001</v>
      </c>
      <c r="T180" s="24"/>
      <c r="U180" s="8"/>
    </row>
    <row r="181" spans="1:21" x14ac:dyDescent="0.25">
      <c r="A181" s="12" t="s">
        <v>61</v>
      </c>
      <c r="B181" s="13" t="s">
        <v>122</v>
      </c>
      <c r="C181" s="14"/>
      <c r="D181" s="40"/>
      <c r="E181" s="42"/>
      <c r="F181" s="42"/>
      <c r="G181" s="42" t="s">
        <v>82</v>
      </c>
      <c r="H181" s="10"/>
      <c r="I181" s="16"/>
      <c r="J181" s="9">
        <f>4.45+4.3-1.255</f>
        <v>7.4950000000000001</v>
      </c>
      <c r="K181" s="9">
        <v>3.1</v>
      </c>
      <c r="L181" s="9"/>
      <c r="M181" s="9">
        <f>0.9*2</f>
        <v>1.8</v>
      </c>
      <c r="N181" s="9"/>
      <c r="O181" s="9"/>
      <c r="P181" s="9"/>
      <c r="Q181" s="9"/>
      <c r="R181" s="9"/>
      <c r="S181" s="23">
        <f t="shared" si="3"/>
        <v>21.4345</v>
      </c>
      <c r="T181" s="24"/>
      <c r="U181" s="8"/>
    </row>
    <row r="182" spans="1:21" x14ac:dyDescent="0.25">
      <c r="A182" s="12" t="s">
        <v>61</v>
      </c>
      <c r="B182" s="13" t="s">
        <v>123</v>
      </c>
      <c r="C182" s="14"/>
      <c r="D182" s="40"/>
      <c r="E182" s="42" t="s">
        <v>86</v>
      </c>
      <c r="F182" s="42"/>
      <c r="G182" s="42"/>
      <c r="H182" s="10"/>
      <c r="I182" s="16" t="s">
        <v>89</v>
      </c>
      <c r="J182" s="9">
        <v>2.1</v>
      </c>
      <c r="K182" s="9">
        <v>0.8</v>
      </c>
      <c r="L182" s="9"/>
      <c r="M182" s="9"/>
      <c r="N182" s="9"/>
      <c r="O182" s="9"/>
      <c r="P182" s="9"/>
      <c r="Q182" s="9"/>
      <c r="R182" s="9"/>
      <c r="S182" s="23">
        <f t="shared" si="3"/>
        <v>1.6800000000000002</v>
      </c>
      <c r="T182" s="24"/>
      <c r="U182" s="8"/>
    </row>
    <row r="183" spans="1:21" x14ac:dyDescent="0.25">
      <c r="A183" s="12" t="s">
        <v>61</v>
      </c>
      <c r="B183" s="13" t="s">
        <v>123</v>
      </c>
      <c r="C183" s="14"/>
      <c r="D183" s="40"/>
      <c r="E183" s="42" t="s">
        <v>86</v>
      </c>
      <c r="F183" s="42"/>
      <c r="G183" s="42"/>
      <c r="H183" s="10"/>
      <c r="I183" s="16" t="s">
        <v>94</v>
      </c>
      <c r="J183" s="9">
        <v>0.9</v>
      </c>
      <c r="K183" s="9">
        <v>0.8</v>
      </c>
      <c r="L183" s="9"/>
      <c r="M183" s="9"/>
      <c r="N183" s="9"/>
      <c r="O183" s="9"/>
      <c r="P183" s="9"/>
      <c r="Q183" s="9"/>
      <c r="R183" s="9"/>
      <c r="S183" s="23">
        <f t="shared" si="3"/>
        <v>0.72000000000000008</v>
      </c>
      <c r="T183" s="24"/>
      <c r="U183" s="8"/>
    </row>
    <row r="184" spans="1:21" x14ac:dyDescent="0.25">
      <c r="A184" s="12" t="s">
        <v>61</v>
      </c>
      <c r="B184" s="13" t="s">
        <v>123</v>
      </c>
      <c r="C184" s="14"/>
      <c r="D184" s="40"/>
      <c r="E184" s="42"/>
      <c r="F184" s="42" t="s">
        <v>83</v>
      </c>
      <c r="G184" s="42"/>
      <c r="H184" s="10"/>
      <c r="I184" s="16"/>
      <c r="J184" s="9">
        <f>6.25*2+5.05-0.5*2</f>
        <v>16.55</v>
      </c>
      <c r="K184" s="9">
        <v>3.35</v>
      </c>
      <c r="L184" s="9">
        <f>4.3*2.3</f>
        <v>9.8899999999999988</v>
      </c>
      <c r="M184" s="9">
        <f>0.9*2+0.8*2</f>
        <v>3.4000000000000004</v>
      </c>
      <c r="N184" s="9"/>
      <c r="O184" s="9">
        <f>S183</f>
        <v>0.72000000000000008</v>
      </c>
      <c r="P184" s="9">
        <f>(4.3+2.3*2)*0.2</f>
        <v>1.7799999999999998</v>
      </c>
      <c r="Q184" s="9"/>
      <c r="R184" s="9"/>
      <c r="S184" s="23">
        <f t="shared" si="3"/>
        <v>43.212500000000006</v>
      </c>
      <c r="T184" s="24"/>
      <c r="U184" s="8"/>
    </row>
    <row r="185" spans="1:21" x14ac:dyDescent="0.25">
      <c r="A185" s="12" t="s">
        <v>61</v>
      </c>
      <c r="B185" s="13" t="s">
        <v>123</v>
      </c>
      <c r="C185" s="14"/>
      <c r="D185" s="40"/>
      <c r="E185" s="42"/>
      <c r="F185" s="42"/>
      <c r="G185" s="42" t="s">
        <v>82</v>
      </c>
      <c r="H185" s="10"/>
      <c r="I185" s="16"/>
      <c r="J185" s="9">
        <f>5.05+0.5*2</f>
        <v>6.05</v>
      </c>
      <c r="K185" s="9">
        <v>3.35</v>
      </c>
      <c r="L185" s="9"/>
      <c r="M185" s="9"/>
      <c r="N185" s="9"/>
      <c r="O185" s="9">
        <f>S182</f>
        <v>1.6800000000000002</v>
      </c>
      <c r="P185" s="9"/>
      <c r="Q185" s="9"/>
      <c r="R185" s="9"/>
      <c r="S185" s="23">
        <f t="shared" si="3"/>
        <v>18.587499999999999</v>
      </c>
      <c r="T185" s="24"/>
      <c r="U185" s="8"/>
    </row>
    <row r="186" spans="1:21" x14ac:dyDescent="0.25">
      <c r="A186" s="12" t="s">
        <v>61</v>
      </c>
      <c r="B186" s="13" t="s">
        <v>70</v>
      </c>
      <c r="C186" s="14"/>
      <c r="D186" s="40"/>
      <c r="E186" s="42"/>
      <c r="F186" s="42" t="s">
        <v>83</v>
      </c>
      <c r="G186" s="42"/>
      <c r="H186" s="10"/>
      <c r="I186" s="16"/>
      <c r="J186" s="9">
        <v>2.2999999999999998</v>
      </c>
      <c r="K186" s="9">
        <v>3.1</v>
      </c>
      <c r="L186" s="9"/>
      <c r="M186" s="9">
        <f>0.8*2</f>
        <v>1.6</v>
      </c>
      <c r="N186" s="9"/>
      <c r="O186" s="9"/>
      <c r="P186" s="9"/>
      <c r="Q186" s="9"/>
      <c r="R186" s="9"/>
      <c r="S186" s="23">
        <f t="shared" si="3"/>
        <v>5.5299999999999994</v>
      </c>
      <c r="T186" s="24"/>
      <c r="U186" s="8"/>
    </row>
    <row r="187" spans="1:21" x14ac:dyDescent="0.25">
      <c r="A187" s="12" t="s">
        <v>61</v>
      </c>
      <c r="B187" s="13" t="s">
        <v>70</v>
      </c>
      <c r="C187" s="14"/>
      <c r="D187" s="40"/>
      <c r="E187" s="42"/>
      <c r="F187" s="42"/>
      <c r="G187" s="42" t="s">
        <v>82</v>
      </c>
      <c r="H187" s="10"/>
      <c r="I187" s="16"/>
      <c r="J187" s="9">
        <f>2.3+2.35*2</f>
        <v>7</v>
      </c>
      <c r="K187" s="9">
        <v>3.1</v>
      </c>
      <c r="L187" s="9"/>
      <c r="M187" s="9">
        <f>0.8*2</f>
        <v>1.6</v>
      </c>
      <c r="N187" s="9"/>
      <c r="O187" s="9"/>
      <c r="P187" s="9"/>
      <c r="Q187" s="9"/>
      <c r="R187" s="9"/>
      <c r="S187" s="23">
        <f t="shared" si="3"/>
        <v>20.099999999999998</v>
      </c>
      <c r="T187" s="24"/>
      <c r="U187" s="8"/>
    </row>
    <row r="188" spans="1:21" x14ac:dyDescent="0.25">
      <c r="A188" s="12" t="s">
        <v>61</v>
      </c>
      <c r="B188" s="13" t="s">
        <v>124</v>
      </c>
      <c r="C188" s="14"/>
      <c r="D188" s="40"/>
      <c r="E188" s="42"/>
      <c r="F188" s="42"/>
      <c r="G188" s="42" t="s">
        <v>82</v>
      </c>
      <c r="H188" s="10"/>
      <c r="I188" s="16"/>
      <c r="J188" s="9">
        <f>2.3*2+2*2</f>
        <v>8.6</v>
      </c>
      <c r="K188" s="9">
        <v>2.8</v>
      </c>
      <c r="L188" s="9"/>
      <c r="M188" s="9">
        <f>0.8*2+0.7*2</f>
        <v>3</v>
      </c>
      <c r="N188" s="9"/>
      <c r="O188" s="9"/>
      <c r="P188" s="9"/>
      <c r="Q188" s="9"/>
      <c r="R188" s="9"/>
      <c r="S188" s="23">
        <f t="shared" si="3"/>
        <v>21.08</v>
      </c>
      <c r="T188" s="24"/>
      <c r="U188" s="8"/>
    </row>
    <row r="189" spans="1:21" x14ac:dyDescent="0.25">
      <c r="A189" s="12" t="s">
        <v>61</v>
      </c>
      <c r="B189" s="13" t="s">
        <v>71</v>
      </c>
      <c r="C189" s="14"/>
      <c r="D189" s="40" t="s">
        <v>195</v>
      </c>
      <c r="E189" s="42" t="s">
        <v>86</v>
      </c>
      <c r="F189" s="42"/>
      <c r="G189" s="42"/>
      <c r="H189" s="10"/>
      <c r="I189" s="16" t="s">
        <v>89</v>
      </c>
      <c r="J189" s="9">
        <f>2.54*2+1.35*2</f>
        <v>7.78</v>
      </c>
      <c r="K189" s="9">
        <v>2</v>
      </c>
      <c r="L189" s="9"/>
      <c r="M189" s="9">
        <f>0.7*2</f>
        <v>1.4</v>
      </c>
      <c r="N189" s="9"/>
      <c r="O189" s="9"/>
      <c r="P189" s="9"/>
      <c r="Q189" s="9"/>
      <c r="R189" s="9"/>
      <c r="S189" s="23">
        <f t="shared" si="3"/>
        <v>14.16</v>
      </c>
      <c r="T189" s="24"/>
      <c r="U189" s="8"/>
    </row>
    <row r="190" spans="1:21" x14ac:dyDescent="0.25">
      <c r="A190" s="12" t="s">
        <v>61</v>
      </c>
      <c r="B190" s="13" t="s">
        <v>71</v>
      </c>
      <c r="C190" s="14"/>
      <c r="D190" s="40" t="s">
        <v>195</v>
      </c>
      <c r="E190" s="42"/>
      <c r="F190" s="42"/>
      <c r="G190" s="42" t="s">
        <v>82</v>
      </c>
      <c r="H190" s="10"/>
      <c r="I190" s="16"/>
      <c r="J190" s="9">
        <f>J189</f>
        <v>7.78</v>
      </c>
      <c r="K190" s="9">
        <f>2.8-2</f>
        <v>0.79999999999999982</v>
      </c>
      <c r="L190" s="9"/>
      <c r="M190" s="9"/>
      <c r="N190" s="9"/>
      <c r="O190" s="9"/>
      <c r="P190" s="9"/>
      <c r="Q190" s="9"/>
      <c r="R190" s="9"/>
      <c r="S190" s="23">
        <f t="shared" si="3"/>
        <v>6.2239999999999984</v>
      </c>
      <c r="T190" s="24"/>
      <c r="U190" s="8"/>
    </row>
    <row r="191" spans="1:21" x14ac:dyDescent="0.25">
      <c r="A191" s="12" t="s">
        <v>61</v>
      </c>
      <c r="B191" s="13" t="s">
        <v>125</v>
      </c>
      <c r="C191" s="14"/>
      <c r="D191" s="40"/>
      <c r="E191" s="42"/>
      <c r="F191" s="42"/>
      <c r="G191" s="42" t="s">
        <v>82</v>
      </c>
      <c r="H191" s="10"/>
      <c r="I191" s="16" t="s">
        <v>126</v>
      </c>
      <c r="J191" s="9">
        <v>2.0699999999999998</v>
      </c>
      <c r="K191" s="9">
        <v>3.1</v>
      </c>
      <c r="L191" s="9"/>
      <c r="M191" s="9">
        <f>0.8*2</f>
        <v>1.6</v>
      </c>
      <c r="N191" s="9"/>
      <c r="O191" s="9"/>
      <c r="P191" s="9"/>
      <c r="Q191" s="9"/>
      <c r="R191" s="9"/>
      <c r="S191" s="23">
        <f t="shared" si="3"/>
        <v>4.8170000000000002</v>
      </c>
      <c r="T191" s="24"/>
      <c r="U191" s="8"/>
    </row>
    <row r="192" spans="1:21" x14ac:dyDescent="0.25">
      <c r="A192" s="12" t="s">
        <v>61</v>
      </c>
      <c r="B192" s="13" t="s">
        <v>125</v>
      </c>
      <c r="C192" s="14"/>
      <c r="D192" s="40"/>
      <c r="E192" s="42"/>
      <c r="F192" s="42" t="s">
        <v>85</v>
      </c>
      <c r="G192" s="42"/>
      <c r="H192" s="10"/>
      <c r="I192" s="16" t="s">
        <v>126</v>
      </c>
      <c r="J192" s="9">
        <v>2.0699999999999998</v>
      </c>
      <c r="K192" s="9">
        <v>3.1</v>
      </c>
      <c r="L192" s="9"/>
      <c r="M192" s="9"/>
      <c r="N192" s="9"/>
      <c r="O192" s="9"/>
      <c r="P192" s="9"/>
      <c r="Q192" s="9"/>
      <c r="R192" s="9"/>
      <c r="S192" s="23">
        <f t="shared" si="3"/>
        <v>6.4169999999999998</v>
      </c>
      <c r="T192" s="24"/>
      <c r="U192" s="8"/>
    </row>
    <row r="193" spans="1:21" x14ac:dyDescent="0.25">
      <c r="A193" s="12" t="s">
        <v>61</v>
      </c>
      <c r="B193" s="13" t="s">
        <v>125</v>
      </c>
      <c r="C193" s="14"/>
      <c r="D193" s="40"/>
      <c r="E193" s="42"/>
      <c r="F193" s="42"/>
      <c r="G193" s="42" t="s">
        <v>82</v>
      </c>
      <c r="H193" s="10"/>
      <c r="I193" s="16" t="s">
        <v>127</v>
      </c>
      <c r="J193" s="9"/>
      <c r="K193" s="9"/>
      <c r="L193" s="9"/>
      <c r="M193" s="9"/>
      <c r="N193" s="9"/>
      <c r="O193" s="9"/>
      <c r="P193" s="9"/>
      <c r="Q193" s="9"/>
      <c r="R193" s="9">
        <v>4.7</v>
      </c>
      <c r="S193" s="23">
        <f t="shared" si="3"/>
        <v>4.7</v>
      </c>
      <c r="T193" s="24"/>
      <c r="U193" s="8"/>
    </row>
    <row r="194" spans="1:21" x14ac:dyDescent="0.25">
      <c r="A194" s="12" t="s">
        <v>61</v>
      </c>
      <c r="B194" s="13" t="s">
        <v>125</v>
      </c>
      <c r="C194" s="14"/>
      <c r="D194" s="40"/>
      <c r="E194" s="42"/>
      <c r="F194" s="42" t="s">
        <v>85</v>
      </c>
      <c r="G194" s="42"/>
      <c r="H194" s="10"/>
      <c r="I194" s="16" t="s">
        <v>129</v>
      </c>
      <c r="J194" s="9">
        <v>3</v>
      </c>
      <c r="K194" s="9">
        <f>(3.1+1.65)/2</f>
        <v>2.375</v>
      </c>
      <c r="L194" s="9"/>
      <c r="M194" s="9"/>
      <c r="N194" s="9"/>
      <c r="O194" s="9"/>
      <c r="P194" s="9"/>
      <c r="Q194" s="9"/>
      <c r="R194" s="9"/>
      <c r="S194" s="23">
        <f t="shared" si="3"/>
        <v>7.125</v>
      </c>
      <c r="T194" s="24"/>
      <c r="U194" s="8"/>
    </row>
    <row r="195" spans="1:21" x14ac:dyDescent="0.25">
      <c r="A195" s="12" t="s">
        <v>61</v>
      </c>
      <c r="B195" s="13" t="s">
        <v>125</v>
      </c>
      <c r="C195" s="14"/>
      <c r="D195" s="40"/>
      <c r="E195" s="42"/>
      <c r="F195" s="42" t="s">
        <v>85</v>
      </c>
      <c r="G195" s="42"/>
      <c r="H195" s="10"/>
      <c r="I195" s="16" t="s">
        <v>128</v>
      </c>
      <c r="J195" s="9">
        <f>1.8+3.3+1.5</f>
        <v>6.6</v>
      </c>
      <c r="K195" s="9">
        <f>3.35-1.7</f>
        <v>1.6500000000000001</v>
      </c>
      <c r="L195" s="9"/>
      <c r="M195" s="9"/>
      <c r="N195" s="9"/>
      <c r="O195" s="9"/>
      <c r="P195" s="9"/>
      <c r="Q195" s="9"/>
      <c r="R195" s="9"/>
      <c r="S195" s="23">
        <f t="shared" si="3"/>
        <v>10.89</v>
      </c>
      <c r="T195" s="24"/>
      <c r="U195" s="8"/>
    </row>
    <row r="196" spans="1:21" x14ac:dyDescent="0.25">
      <c r="A196" s="12" t="s">
        <v>61</v>
      </c>
      <c r="B196" s="13" t="s">
        <v>125</v>
      </c>
      <c r="C196" s="14"/>
      <c r="D196" s="40"/>
      <c r="E196" s="42"/>
      <c r="F196" s="42" t="s">
        <v>85</v>
      </c>
      <c r="G196" s="42"/>
      <c r="H196" s="10"/>
      <c r="I196" s="16" t="s">
        <v>130</v>
      </c>
      <c r="J196" s="9">
        <v>3</v>
      </c>
      <c r="K196" s="9">
        <f>1.65/2</f>
        <v>0.82499999999999996</v>
      </c>
      <c r="L196" s="9"/>
      <c r="M196" s="9"/>
      <c r="N196" s="9"/>
      <c r="O196" s="9"/>
      <c r="P196" s="9"/>
      <c r="Q196" s="9"/>
      <c r="R196" s="9"/>
      <c r="S196" s="23">
        <f t="shared" si="3"/>
        <v>2.4749999999999996</v>
      </c>
      <c r="T196" s="24"/>
      <c r="U196" s="8"/>
    </row>
    <row r="197" spans="1:21" x14ac:dyDescent="0.25">
      <c r="A197" s="12" t="s">
        <v>61</v>
      </c>
      <c r="B197" s="13" t="s">
        <v>125</v>
      </c>
      <c r="C197" s="14"/>
      <c r="D197" s="40"/>
      <c r="E197" s="42"/>
      <c r="F197" s="42" t="s">
        <v>84</v>
      </c>
      <c r="G197" s="42"/>
      <c r="H197" s="10"/>
      <c r="I197" s="16" t="s">
        <v>131</v>
      </c>
      <c r="J197" s="9">
        <f>3.3+5.1*2</f>
        <v>13.5</v>
      </c>
      <c r="K197" s="9">
        <f>9.55-3.35</f>
        <v>6.2000000000000011</v>
      </c>
      <c r="L197" s="9">
        <f>2*2.5</f>
        <v>5</v>
      </c>
      <c r="M197" s="9"/>
      <c r="N197" s="9"/>
      <c r="O197" s="9">
        <f>(3.05+1.7)*2*0.18</f>
        <v>1.71</v>
      </c>
      <c r="P197" s="9"/>
      <c r="Q197" s="9"/>
      <c r="R197" s="9"/>
      <c r="S197" s="23">
        <f t="shared" si="3"/>
        <v>76.990000000000023</v>
      </c>
      <c r="T197" s="24"/>
      <c r="U197" s="8"/>
    </row>
    <row r="198" spans="1:21" x14ac:dyDescent="0.25">
      <c r="A198" s="12" t="s">
        <v>61</v>
      </c>
      <c r="B198" s="13" t="s">
        <v>132</v>
      </c>
      <c r="C198" s="14"/>
      <c r="D198" s="40"/>
      <c r="E198" s="42"/>
      <c r="F198" s="42"/>
      <c r="G198" s="42" t="s">
        <v>82</v>
      </c>
      <c r="H198" s="10"/>
      <c r="I198" s="16" t="s">
        <v>133</v>
      </c>
      <c r="J198" s="9">
        <f>5.825+1.35+1.815</f>
        <v>8.99</v>
      </c>
      <c r="K198" s="9">
        <v>3.1</v>
      </c>
      <c r="L198" s="9"/>
      <c r="M198" s="9">
        <f>0.9*2</f>
        <v>1.8</v>
      </c>
      <c r="N198" s="9"/>
      <c r="O198" s="9"/>
      <c r="P198" s="9"/>
      <c r="Q198" s="9"/>
      <c r="R198" s="9"/>
      <c r="S198" s="23">
        <f t="shared" si="3"/>
        <v>26.068999999999999</v>
      </c>
      <c r="T198" s="24"/>
      <c r="U198" s="8"/>
    </row>
    <row r="199" spans="1:21" x14ac:dyDescent="0.25">
      <c r="A199" s="12" t="s">
        <v>61</v>
      </c>
      <c r="B199" s="13" t="s">
        <v>132</v>
      </c>
      <c r="C199" s="14"/>
      <c r="D199" s="40"/>
      <c r="E199" s="42"/>
      <c r="F199" s="42" t="s">
        <v>83</v>
      </c>
      <c r="G199" s="42"/>
      <c r="H199" s="10"/>
      <c r="I199" s="16" t="s">
        <v>133</v>
      </c>
      <c r="J199" s="9">
        <v>3.83</v>
      </c>
      <c r="K199" s="9">
        <v>3.1</v>
      </c>
      <c r="L199" s="9"/>
      <c r="M199" s="9"/>
      <c r="N199" s="9">
        <f>1.5*2.05</f>
        <v>3.0749999999999997</v>
      </c>
      <c r="O199" s="9"/>
      <c r="P199" s="9">
        <f>(1.5+2.05*2)*0.2</f>
        <v>1.1199999999999999</v>
      </c>
      <c r="Q199" s="9"/>
      <c r="R199" s="9"/>
      <c r="S199" s="23">
        <f t="shared" si="3"/>
        <v>9.918000000000001</v>
      </c>
      <c r="T199" s="24"/>
      <c r="U199" s="8"/>
    </row>
    <row r="200" spans="1:21" x14ac:dyDescent="0.25">
      <c r="A200" s="12" t="s">
        <v>61</v>
      </c>
      <c r="B200" s="13" t="s">
        <v>132</v>
      </c>
      <c r="C200" s="14"/>
      <c r="D200" s="40"/>
      <c r="E200" s="42"/>
      <c r="F200" s="42"/>
      <c r="G200" s="42" t="s">
        <v>82</v>
      </c>
      <c r="H200" s="10"/>
      <c r="I200" s="16" t="s">
        <v>126</v>
      </c>
      <c r="J200" s="9">
        <v>1.3</v>
      </c>
      <c r="K200" s="9">
        <v>2.0299999999999998</v>
      </c>
      <c r="L200" s="9"/>
      <c r="M200" s="9"/>
      <c r="N200" s="9"/>
      <c r="O200" s="9"/>
      <c r="P200" s="9"/>
      <c r="Q200" s="9"/>
      <c r="R200" s="9"/>
      <c r="S200" s="23">
        <f t="shared" si="3"/>
        <v>2.6389999999999998</v>
      </c>
      <c r="T200" s="24"/>
      <c r="U200" s="8"/>
    </row>
    <row r="201" spans="1:21" x14ac:dyDescent="0.25">
      <c r="A201" s="12" t="s">
        <v>61</v>
      </c>
      <c r="B201" s="13" t="s">
        <v>132</v>
      </c>
      <c r="C201" s="14"/>
      <c r="D201" s="40"/>
      <c r="E201" s="42"/>
      <c r="F201" s="42"/>
      <c r="G201" s="42" t="s">
        <v>82</v>
      </c>
      <c r="H201" s="10"/>
      <c r="I201" s="16" t="s">
        <v>126</v>
      </c>
      <c r="J201" s="9">
        <v>1.5</v>
      </c>
      <c r="K201" s="9">
        <f>((0.155*21-0.18)+2.03)/2</f>
        <v>2.5524999999999998</v>
      </c>
      <c r="L201" s="9"/>
      <c r="M201" s="9"/>
      <c r="N201" s="9"/>
      <c r="O201" s="9"/>
      <c r="P201" s="9"/>
      <c r="Q201" s="9"/>
      <c r="R201" s="9"/>
      <c r="S201" s="23">
        <f t="shared" si="3"/>
        <v>3.8287499999999994</v>
      </c>
      <c r="T201" s="24"/>
      <c r="U201" s="8"/>
    </row>
    <row r="202" spans="1:21" x14ac:dyDescent="0.25">
      <c r="A202" s="12" t="s">
        <v>61</v>
      </c>
      <c r="B202" s="13" t="s">
        <v>132</v>
      </c>
      <c r="C202" s="14"/>
      <c r="D202" s="40"/>
      <c r="E202" s="42"/>
      <c r="F202" s="42" t="s">
        <v>83</v>
      </c>
      <c r="G202" s="42"/>
      <c r="H202" s="10"/>
      <c r="I202" s="16" t="s">
        <v>126</v>
      </c>
      <c r="J202" s="9">
        <v>1.5</v>
      </c>
      <c r="K202" s="9">
        <f>((0.155*21-0.18)+2.03)/2</f>
        <v>2.5524999999999998</v>
      </c>
      <c r="L202" s="9"/>
      <c r="M202" s="9"/>
      <c r="N202" s="9">
        <f>1.5*2.05</f>
        <v>3.0749999999999997</v>
      </c>
      <c r="O202" s="9"/>
      <c r="P202" s="9"/>
      <c r="Q202" s="9"/>
      <c r="R202" s="9"/>
      <c r="S202" s="23">
        <f t="shared" ref="S202:S265" si="4">IF(AND(ISBLANK(E202),ISBLANK(F202),ISBLANK(G202),ISBLANK(H202)),"",IF(J202*K202-L202-M202-N202-O202+P202+Q202+R202=0,"",J202*K202-L202-M202-N202-O202+P202+Q202+R202))</f>
        <v>0.7537499999999997</v>
      </c>
      <c r="T202" s="24"/>
      <c r="U202" s="8"/>
    </row>
    <row r="203" spans="1:21" x14ac:dyDescent="0.25">
      <c r="A203" s="12" t="s">
        <v>61</v>
      </c>
      <c r="B203" s="13" t="s">
        <v>132</v>
      </c>
      <c r="C203" s="14"/>
      <c r="D203" s="40"/>
      <c r="E203" s="42"/>
      <c r="F203" s="42" t="s">
        <v>83</v>
      </c>
      <c r="G203" s="42"/>
      <c r="H203" s="10"/>
      <c r="I203" s="16" t="s">
        <v>134</v>
      </c>
      <c r="J203" s="9">
        <v>1.2</v>
      </c>
      <c r="K203" s="9">
        <f>((0.155*21-0.18)+(3.35-0.775))/2</f>
        <v>2.8250000000000002</v>
      </c>
      <c r="L203" s="9"/>
      <c r="M203" s="9"/>
      <c r="N203" s="9"/>
      <c r="O203" s="9"/>
      <c r="P203" s="9"/>
      <c r="Q203" s="9"/>
      <c r="R203" s="9"/>
      <c r="S203" s="23">
        <f t="shared" si="4"/>
        <v>3.39</v>
      </c>
      <c r="T203" s="24"/>
      <c r="U203" s="8"/>
    </row>
    <row r="204" spans="1:21" x14ac:dyDescent="0.25">
      <c r="A204" s="12" t="s">
        <v>61</v>
      </c>
      <c r="B204" s="13" t="s">
        <v>132</v>
      </c>
      <c r="C204" s="14"/>
      <c r="D204" s="40"/>
      <c r="E204" s="42"/>
      <c r="F204" s="42"/>
      <c r="G204" s="42" t="s">
        <v>82</v>
      </c>
      <c r="H204" s="10"/>
      <c r="I204" s="16" t="s">
        <v>134</v>
      </c>
      <c r="J204" s="9">
        <v>1.2</v>
      </c>
      <c r="K204" s="9">
        <f>((0.155*21-0.18)+(3.35-0.775))/2</f>
        <v>2.8250000000000002</v>
      </c>
      <c r="L204" s="9"/>
      <c r="M204" s="9"/>
      <c r="N204" s="9"/>
      <c r="O204" s="9"/>
      <c r="P204" s="9"/>
      <c r="Q204" s="9"/>
      <c r="R204" s="9"/>
      <c r="S204" s="23">
        <f t="shared" si="4"/>
        <v>3.39</v>
      </c>
      <c r="T204" s="24"/>
      <c r="U204" s="8"/>
    </row>
    <row r="205" spans="1:21" x14ac:dyDescent="0.25">
      <c r="A205" s="12" t="s">
        <v>61</v>
      </c>
      <c r="B205" s="13" t="s">
        <v>132</v>
      </c>
      <c r="C205" s="14"/>
      <c r="D205" s="40"/>
      <c r="E205" s="42"/>
      <c r="F205" s="42" t="s">
        <v>83</v>
      </c>
      <c r="G205" s="42"/>
      <c r="H205" s="10"/>
      <c r="I205" s="16" t="s">
        <v>135</v>
      </c>
      <c r="J205" s="9">
        <f>1.1*2</f>
        <v>2.2000000000000002</v>
      </c>
      <c r="K205" s="9">
        <f>3.35-0.775</f>
        <v>2.5750000000000002</v>
      </c>
      <c r="L205" s="9"/>
      <c r="M205" s="9"/>
      <c r="N205" s="9"/>
      <c r="O205" s="9"/>
      <c r="P205" s="9"/>
      <c r="Q205" s="9"/>
      <c r="R205" s="9"/>
      <c r="S205" s="23">
        <f t="shared" si="4"/>
        <v>5.6650000000000009</v>
      </c>
      <c r="T205" s="24"/>
      <c r="U205" s="8"/>
    </row>
    <row r="206" spans="1:21" x14ac:dyDescent="0.25">
      <c r="A206" s="12" t="s">
        <v>61</v>
      </c>
      <c r="B206" s="13" t="s">
        <v>132</v>
      </c>
      <c r="C206" s="14"/>
      <c r="D206" s="40"/>
      <c r="E206" s="42"/>
      <c r="F206" s="42"/>
      <c r="G206" s="42" t="s">
        <v>82</v>
      </c>
      <c r="H206" s="10"/>
      <c r="I206" s="16" t="s">
        <v>135</v>
      </c>
      <c r="J206" s="9">
        <v>2.4</v>
      </c>
      <c r="K206" s="9">
        <f>3.35-0.775</f>
        <v>2.5750000000000002</v>
      </c>
      <c r="L206" s="9"/>
      <c r="M206" s="9"/>
      <c r="N206" s="9"/>
      <c r="O206" s="9"/>
      <c r="P206" s="9"/>
      <c r="Q206" s="9"/>
      <c r="R206" s="9"/>
      <c r="S206" s="23">
        <f t="shared" si="4"/>
        <v>6.1800000000000006</v>
      </c>
      <c r="T206" s="24"/>
      <c r="U206" s="8"/>
    </row>
    <row r="207" spans="1:21" x14ac:dyDescent="0.25">
      <c r="A207" s="12" t="s">
        <v>61</v>
      </c>
      <c r="B207" s="13" t="s">
        <v>132</v>
      </c>
      <c r="C207" s="14"/>
      <c r="D207" s="40"/>
      <c r="E207" s="42"/>
      <c r="F207" s="42" t="s">
        <v>83</v>
      </c>
      <c r="G207" s="42"/>
      <c r="H207" s="10"/>
      <c r="I207" s="16" t="s">
        <v>136</v>
      </c>
      <c r="J207" s="9">
        <v>2.7</v>
      </c>
      <c r="K207" s="9">
        <f>((3.55-0.775)+(3.35-2.325))/2</f>
        <v>1.9</v>
      </c>
      <c r="L207" s="9"/>
      <c r="M207" s="9"/>
      <c r="N207" s="9"/>
      <c r="O207" s="9"/>
      <c r="P207" s="9"/>
      <c r="Q207" s="9"/>
      <c r="R207" s="9"/>
      <c r="S207" s="23">
        <f t="shared" si="4"/>
        <v>5.13</v>
      </c>
      <c r="T207" s="24"/>
      <c r="U207" s="8"/>
    </row>
    <row r="208" spans="1:21" x14ac:dyDescent="0.25">
      <c r="A208" s="12" t="s">
        <v>61</v>
      </c>
      <c r="B208" s="13" t="s">
        <v>132</v>
      </c>
      <c r="C208" s="14"/>
      <c r="D208" s="40"/>
      <c r="E208" s="42"/>
      <c r="F208" s="42" t="s">
        <v>83</v>
      </c>
      <c r="G208" s="42"/>
      <c r="H208" s="10"/>
      <c r="I208" s="16" t="s">
        <v>137</v>
      </c>
      <c r="J208" s="9">
        <f>2.4+1.1*2</f>
        <v>4.5999999999999996</v>
      </c>
      <c r="K208" s="9">
        <f>3.55-2.325</f>
        <v>1.2249999999999996</v>
      </c>
      <c r="L208" s="9"/>
      <c r="M208" s="9"/>
      <c r="N208" s="9"/>
      <c r="O208" s="9"/>
      <c r="P208" s="9"/>
      <c r="Q208" s="9"/>
      <c r="R208" s="9"/>
      <c r="S208" s="23">
        <f t="shared" si="4"/>
        <v>5.634999999999998</v>
      </c>
      <c r="T208" s="24"/>
      <c r="U208" s="8"/>
    </row>
    <row r="209" spans="1:21" x14ac:dyDescent="0.25">
      <c r="A209" s="12" t="s">
        <v>61</v>
      </c>
      <c r="B209" s="13" t="s">
        <v>132</v>
      </c>
      <c r="C209" s="14"/>
      <c r="D209" s="40"/>
      <c r="E209" s="42"/>
      <c r="F209" s="42" t="s">
        <v>83</v>
      </c>
      <c r="G209" s="42"/>
      <c r="H209" s="10"/>
      <c r="I209" s="16" t="s">
        <v>138</v>
      </c>
      <c r="J209" s="9">
        <v>2.4</v>
      </c>
      <c r="K209" s="9">
        <f>(3.55-2.325)/2</f>
        <v>0.61249999999999982</v>
      </c>
      <c r="L209" s="9"/>
      <c r="M209" s="9"/>
      <c r="N209" s="9"/>
      <c r="O209" s="9"/>
      <c r="P209" s="9"/>
      <c r="Q209" s="9"/>
      <c r="R209" s="9"/>
      <c r="S209" s="23">
        <f t="shared" si="4"/>
        <v>1.4699999999999995</v>
      </c>
      <c r="T209" s="24"/>
      <c r="U209" s="8"/>
    </row>
    <row r="210" spans="1:21" x14ac:dyDescent="0.25">
      <c r="A210" s="12" t="s">
        <v>61</v>
      </c>
      <c r="B210" s="13" t="s">
        <v>132</v>
      </c>
      <c r="C210" s="14"/>
      <c r="D210" s="40"/>
      <c r="E210" s="42"/>
      <c r="F210" s="42" t="s">
        <v>84</v>
      </c>
      <c r="G210" s="42"/>
      <c r="H210" s="10"/>
      <c r="I210" s="16" t="s">
        <v>186</v>
      </c>
      <c r="J210" s="9">
        <f>3.8*2+2.4</f>
        <v>10</v>
      </c>
      <c r="K210" s="9">
        <f>9.3-3.55</f>
        <v>5.7500000000000009</v>
      </c>
      <c r="L210" s="9"/>
      <c r="M210" s="9"/>
      <c r="N210" s="9"/>
      <c r="O210" s="9">
        <f>(2.7*2+2.4+1.1*2)*0.18</f>
        <v>1.7999999999999998</v>
      </c>
      <c r="P210" s="9"/>
      <c r="Q210" s="9"/>
      <c r="R210" s="9"/>
      <c r="S210" s="23">
        <f t="shared" si="4"/>
        <v>55.70000000000001</v>
      </c>
      <c r="T210" s="24"/>
      <c r="U210" s="8"/>
    </row>
    <row r="211" spans="1:21" x14ac:dyDescent="0.25">
      <c r="A211" s="12" t="s">
        <v>61</v>
      </c>
      <c r="B211" s="13" t="s">
        <v>139</v>
      </c>
      <c r="C211" s="14"/>
      <c r="D211" s="40"/>
      <c r="E211" s="42"/>
      <c r="F211" s="42" t="s">
        <v>83</v>
      </c>
      <c r="G211" s="42"/>
      <c r="H211" s="10"/>
      <c r="I211" s="16" t="s">
        <v>140</v>
      </c>
      <c r="J211" s="9">
        <f>3.05*2+2.4*2</f>
        <v>10.899999999999999</v>
      </c>
      <c r="K211" s="9">
        <f>1.25+3.55</f>
        <v>4.8</v>
      </c>
      <c r="L211" s="9"/>
      <c r="M211" s="9">
        <f>1.7*2.18+1.6*2.18</f>
        <v>7.1940000000000008</v>
      </c>
      <c r="N211" s="9"/>
      <c r="O211" s="9"/>
      <c r="P211" s="9">
        <f>(1.7+1.6+2.18*4)*0.2</f>
        <v>2.4039999999999999</v>
      </c>
      <c r="Q211" s="9"/>
      <c r="R211" s="9"/>
      <c r="S211" s="23">
        <f t="shared" si="4"/>
        <v>47.529999999999987</v>
      </c>
      <c r="T211" s="24"/>
      <c r="U211" s="8"/>
    </row>
    <row r="212" spans="1:21" x14ac:dyDescent="0.25">
      <c r="A212" s="12" t="s">
        <v>61</v>
      </c>
      <c r="B212" s="13" t="s">
        <v>139</v>
      </c>
      <c r="C212" s="14"/>
      <c r="D212" s="40"/>
      <c r="E212" s="42"/>
      <c r="F212" s="42" t="s">
        <v>83</v>
      </c>
      <c r="G212" s="42"/>
      <c r="H212" s="10"/>
      <c r="I212" s="16" t="s">
        <v>140</v>
      </c>
      <c r="J212" s="9">
        <f>1.8*2+1.79*2</f>
        <v>7.18</v>
      </c>
      <c r="K212" s="9">
        <f>1.25+3.55</f>
        <v>4.8</v>
      </c>
      <c r="L212" s="9"/>
      <c r="M212" s="9">
        <f>1.3*2.18</f>
        <v>2.8340000000000005</v>
      </c>
      <c r="N212" s="9"/>
      <c r="O212" s="9"/>
      <c r="P212" s="9">
        <f>(1.3+2.18*2)*0.2</f>
        <v>1.1320000000000001</v>
      </c>
      <c r="Q212" s="9"/>
      <c r="R212" s="9"/>
      <c r="S212" s="23">
        <f t="shared" si="4"/>
        <v>32.762</v>
      </c>
      <c r="T212" s="24"/>
      <c r="U212" s="8"/>
    </row>
    <row r="213" spans="1:21" x14ac:dyDescent="0.25">
      <c r="A213" s="12" t="s">
        <v>61</v>
      </c>
      <c r="B213" s="13" t="s">
        <v>139</v>
      </c>
      <c r="C213" s="14"/>
      <c r="D213" s="40"/>
      <c r="E213" s="42"/>
      <c r="F213" s="42" t="s">
        <v>84</v>
      </c>
      <c r="G213" s="42"/>
      <c r="H213" s="10"/>
      <c r="I213" s="16" t="s">
        <v>141</v>
      </c>
      <c r="J213" s="9">
        <f>3.05*2+2.4*2</f>
        <v>10.899999999999999</v>
      </c>
      <c r="K213" s="9">
        <f>10.85-3.55</f>
        <v>7.3</v>
      </c>
      <c r="L213" s="9"/>
      <c r="M213" s="9">
        <f>(1.62*2.18)*2</f>
        <v>7.063200000000001</v>
      </c>
      <c r="N213" s="9"/>
      <c r="O213" s="9"/>
      <c r="P213" s="9">
        <f>(1.62+2.18*2)*0.2*2</f>
        <v>2.3920000000000003</v>
      </c>
      <c r="Q213" s="9"/>
      <c r="R213" s="9"/>
      <c r="S213" s="23">
        <f t="shared" si="4"/>
        <v>74.898799999999994</v>
      </c>
      <c r="T213" s="24"/>
      <c r="U213" s="8"/>
    </row>
    <row r="214" spans="1:21" x14ac:dyDescent="0.25">
      <c r="A214" s="12" t="s">
        <v>61</v>
      </c>
      <c r="B214" s="13" t="s">
        <v>139</v>
      </c>
      <c r="C214" s="14"/>
      <c r="D214" s="40"/>
      <c r="E214" s="42"/>
      <c r="F214" s="42" t="s">
        <v>84</v>
      </c>
      <c r="G214" s="42"/>
      <c r="H214" s="10"/>
      <c r="I214" s="16" t="s">
        <v>141</v>
      </c>
      <c r="J214" s="9">
        <f>1.8*2+1.79*2</f>
        <v>7.18</v>
      </c>
      <c r="K214" s="9">
        <f>10.85-3.55</f>
        <v>7.3</v>
      </c>
      <c r="L214" s="9"/>
      <c r="M214" s="9">
        <f>(1.22*2.18)*2</f>
        <v>5.3192000000000004</v>
      </c>
      <c r="N214" s="9"/>
      <c r="O214" s="9"/>
      <c r="P214" s="9">
        <f>(1.22+2.18*2)*0.2*2</f>
        <v>2.2320000000000002</v>
      </c>
      <c r="Q214" s="9"/>
      <c r="R214" s="9"/>
      <c r="S214" s="23">
        <f t="shared" si="4"/>
        <v>49.326799999999992</v>
      </c>
      <c r="T214" s="24"/>
      <c r="U214" s="8"/>
    </row>
    <row r="215" spans="1:21" x14ac:dyDescent="0.25">
      <c r="A215" s="12" t="s">
        <v>61</v>
      </c>
      <c r="B215" s="13"/>
      <c r="C215" s="14"/>
      <c r="D215" s="48" t="s">
        <v>202</v>
      </c>
      <c r="E215" s="42"/>
      <c r="F215" s="42"/>
      <c r="G215" s="42"/>
      <c r="H215" s="10"/>
      <c r="I215" s="16"/>
      <c r="J215" s="9"/>
      <c r="K215" s="9"/>
      <c r="L215" s="9"/>
      <c r="M215" s="9"/>
      <c r="N215" s="9"/>
      <c r="O215" s="9"/>
      <c r="P215" s="9"/>
      <c r="Q215" s="9"/>
      <c r="R215" s="9"/>
      <c r="S215" s="23" t="str">
        <f t="shared" si="4"/>
        <v/>
      </c>
      <c r="T215" s="24"/>
      <c r="U215" s="8"/>
    </row>
    <row r="216" spans="1:21" x14ac:dyDescent="0.25">
      <c r="A216" s="12" t="s">
        <v>61</v>
      </c>
      <c r="B216" s="13" t="s">
        <v>42</v>
      </c>
      <c r="C216" s="14"/>
      <c r="D216" s="40"/>
      <c r="E216" s="42"/>
      <c r="F216" s="42"/>
      <c r="G216" s="42"/>
      <c r="H216" s="10" t="s">
        <v>204</v>
      </c>
      <c r="I216" s="16" t="s">
        <v>203</v>
      </c>
      <c r="J216" s="9">
        <v>0.9</v>
      </c>
      <c r="K216" s="9">
        <v>1.6</v>
      </c>
      <c r="L216" s="9"/>
      <c r="M216" s="9"/>
      <c r="N216" s="9"/>
      <c r="O216" s="9"/>
      <c r="P216" s="9"/>
      <c r="Q216" s="9"/>
      <c r="R216" s="9"/>
      <c r="S216" s="23">
        <f t="shared" si="4"/>
        <v>1.4400000000000002</v>
      </c>
      <c r="T216" s="24"/>
      <c r="U216" s="8"/>
    </row>
    <row r="217" spans="1:21" x14ac:dyDescent="0.25">
      <c r="A217" s="12" t="s">
        <v>61</v>
      </c>
      <c r="B217" s="13" t="s">
        <v>42</v>
      </c>
      <c r="C217" s="14"/>
      <c r="D217" s="40"/>
      <c r="E217" s="42"/>
      <c r="F217" s="42"/>
      <c r="G217" s="42"/>
      <c r="H217" s="10" t="s">
        <v>204</v>
      </c>
      <c r="I217" s="16" t="s">
        <v>205</v>
      </c>
      <c r="J217" s="9">
        <f>1+0.7</f>
        <v>1.7</v>
      </c>
      <c r="K217" s="9">
        <v>2</v>
      </c>
      <c r="L217" s="9"/>
      <c r="M217" s="9"/>
      <c r="N217" s="9"/>
      <c r="O217" s="9"/>
      <c r="P217" s="9"/>
      <c r="Q217" s="9"/>
      <c r="R217" s="9"/>
      <c r="S217" s="23">
        <f t="shared" si="4"/>
        <v>3.4</v>
      </c>
      <c r="T217" s="24"/>
      <c r="U217" s="8"/>
    </row>
    <row r="218" spans="1:21" x14ac:dyDescent="0.25">
      <c r="A218" s="12" t="s">
        <v>61</v>
      </c>
      <c r="B218" s="13" t="s">
        <v>43</v>
      </c>
      <c r="C218" s="14"/>
      <c r="D218" s="40"/>
      <c r="E218" s="42"/>
      <c r="F218" s="42"/>
      <c r="G218" s="42"/>
      <c r="H218" s="10" t="s">
        <v>204</v>
      </c>
      <c r="I218" s="16" t="s">
        <v>206</v>
      </c>
      <c r="J218" s="9">
        <v>0.6</v>
      </c>
      <c r="K218" s="9">
        <v>1.6</v>
      </c>
      <c r="L218" s="9"/>
      <c r="M218" s="9"/>
      <c r="N218" s="9"/>
      <c r="O218" s="9"/>
      <c r="P218" s="9"/>
      <c r="Q218" s="9"/>
      <c r="R218" s="9"/>
      <c r="S218" s="23">
        <f t="shared" si="4"/>
        <v>0.96</v>
      </c>
      <c r="T218" s="24"/>
      <c r="U218" s="8"/>
    </row>
    <row r="219" spans="1:21" x14ac:dyDescent="0.25">
      <c r="A219" s="12" t="s">
        <v>61</v>
      </c>
      <c r="B219" s="13" t="s">
        <v>47</v>
      </c>
      <c r="C219" s="14"/>
      <c r="D219" s="40"/>
      <c r="E219" s="42"/>
      <c r="F219" s="42"/>
      <c r="G219" s="42"/>
      <c r="H219" s="10" t="s">
        <v>204</v>
      </c>
      <c r="I219" s="16" t="s">
        <v>206</v>
      </c>
      <c r="J219" s="9">
        <f>0.6+0.6</f>
        <v>1.2</v>
      </c>
      <c r="K219" s="9">
        <v>1.6</v>
      </c>
      <c r="L219" s="9"/>
      <c r="M219" s="9"/>
      <c r="N219" s="9"/>
      <c r="O219" s="9"/>
      <c r="P219" s="9"/>
      <c r="Q219" s="9"/>
      <c r="R219" s="9"/>
      <c r="S219" s="23">
        <f t="shared" si="4"/>
        <v>1.92</v>
      </c>
      <c r="T219" s="24"/>
      <c r="U219" s="8"/>
    </row>
    <row r="220" spans="1:21" x14ac:dyDescent="0.25">
      <c r="A220" s="12" t="s">
        <v>61</v>
      </c>
      <c r="B220" s="13" t="s">
        <v>48</v>
      </c>
      <c r="C220" s="14"/>
      <c r="D220" s="40"/>
      <c r="E220" s="42"/>
      <c r="F220" s="42"/>
      <c r="G220" s="42"/>
      <c r="H220" s="10" t="s">
        <v>204</v>
      </c>
      <c r="I220" s="16" t="s">
        <v>207</v>
      </c>
      <c r="J220" s="9">
        <f>1.5+1*2</f>
        <v>3.5</v>
      </c>
      <c r="K220" s="9">
        <v>2</v>
      </c>
      <c r="L220" s="9"/>
      <c r="M220" s="9"/>
      <c r="N220" s="9"/>
      <c r="O220" s="9"/>
      <c r="P220" s="9"/>
      <c r="Q220" s="9"/>
      <c r="R220" s="9"/>
      <c r="S220" s="23">
        <f t="shared" si="4"/>
        <v>7</v>
      </c>
      <c r="T220" s="24"/>
      <c r="U220" s="8"/>
    </row>
    <row r="221" spans="1:21" x14ac:dyDescent="0.25">
      <c r="A221" s="12" t="s">
        <v>61</v>
      </c>
      <c r="B221" s="13" t="s">
        <v>49</v>
      </c>
      <c r="C221" s="14"/>
      <c r="D221" s="40"/>
      <c r="E221" s="42"/>
      <c r="F221" s="42"/>
      <c r="G221" s="42"/>
      <c r="H221" s="10" t="s">
        <v>204</v>
      </c>
      <c r="I221" s="16" t="s">
        <v>206</v>
      </c>
      <c r="J221" s="9">
        <v>1.2</v>
      </c>
      <c r="K221" s="9">
        <v>1.6</v>
      </c>
      <c r="L221" s="9"/>
      <c r="M221" s="9"/>
      <c r="N221" s="9"/>
      <c r="O221" s="9"/>
      <c r="P221" s="9"/>
      <c r="Q221" s="9"/>
      <c r="R221" s="9"/>
      <c r="S221" s="23">
        <f t="shared" si="4"/>
        <v>1.92</v>
      </c>
      <c r="T221" s="24"/>
      <c r="U221" s="8"/>
    </row>
    <row r="222" spans="1:21" x14ac:dyDescent="0.25">
      <c r="A222" s="12" t="s">
        <v>61</v>
      </c>
      <c r="B222" s="13" t="s">
        <v>50</v>
      </c>
      <c r="C222" s="14"/>
      <c r="D222" s="40"/>
      <c r="E222" s="42"/>
      <c r="F222" s="42"/>
      <c r="G222" s="42"/>
      <c r="H222" s="10" t="s">
        <v>204</v>
      </c>
      <c r="I222" s="16" t="s">
        <v>207</v>
      </c>
      <c r="J222" s="9">
        <f>1.5+1*2</f>
        <v>3.5</v>
      </c>
      <c r="K222" s="9">
        <v>2</v>
      </c>
      <c r="L222" s="9"/>
      <c r="M222" s="9"/>
      <c r="N222" s="9"/>
      <c r="O222" s="9"/>
      <c r="P222" s="9"/>
      <c r="Q222" s="9"/>
      <c r="R222" s="9"/>
      <c r="S222" s="23">
        <f t="shared" si="4"/>
        <v>7</v>
      </c>
      <c r="T222" s="24"/>
      <c r="U222" s="8"/>
    </row>
    <row r="223" spans="1:21" x14ac:dyDescent="0.25">
      <c r="A223" s="12" t="s">
        <v>61</v>
      </c>
      <c r="B223" s="13" t="s">
        <v>208</v>
      </c>
      <c r="C223" s="14"/>
      <c r="D223" s="40"/>
      <c r="E223" s="42"/>
      <c r="F223" s="42"/>
      <c r="G223" s="42"/>
      <c r="H223" s="10" t="s">
        <v>204</v>
      </c>
      <c r="I223" s="16" t="s">
        <v>207</v>
      </c>
      <c r="J223" s="9">
        <f>1.5+1*2</f>
        <v>3.5</v>
      </c>
      <c r="K223" s="9">
        <v>2</v>
      </c>
      <c r="L223" s="9"/>
      <c r="M223" s="9"/>
      <c r="N223" s="9"/>
      <c r="O223" s="9"/>
      <c r="P223" s="9"/>
      <c r="Q223" s="9"/>
      <c r="R223" s="9"/>
      <c r="S223" s="23">
        <f t="shared" si="4"/>
        <v>7</v>
      </c>
      <c r="T223" s="24"/>
      <c r="U223" s="8"/>
    </row>
    <row r="224" spans="1:21" x14ac:dyDescent="0.25">
      <c r="A224" s="12" t="s">
        <v>61</v>
      </c>
      <c r="B224" s="13" t="s">
        <v>52</v>
      </c>
      <c r="C224" s="14"/>
      <c r="D224" s="40"/>
      <c r="E224" s="42"/>
      <c r="F224" s="42"/>
      <c r="G224" s="42"/>
      <c r="H224" s="10" t="s">
        <v>204</v>
      </c>
      <c r="I224" s="16" t="s">
        <v>209</v>
      </c>
      <c r="J224" s="9">
        <f>1.25+0.6*2</f>
        <v>2.4500000000000002</v>
      </c>
      <c r="K224" s="9">
        <v>1.6</v>
      </c>
      <c r="L224" s="9"/>
      <c r="M224" s="9"/>
      <c r="N224" s="9"/>
      <c r="O224" s="9"/>
      <c r="P224" s="9"/>
      <c r="Q224" s="9"/>
      <c r="R224" s="9"/>
      <c r="S224" s="23">
        <f t="shared" si="4"/>
        <v>3.9200000000000004</v>
      </c>
      <c r="T224" s="24"/>
      <c r="U224" s="8"/>
    </row>
    <row r="225" spans="1:21" x14ac:dyDescent="0.25">
      <c r="A225" s="12" t="s">
        <v>61</v>
      </c>
      <c r="B225" s="13" t="s">
        <v>53</v>
      </c>
      <c r="C225" s="14"/>
      <c r="D225" s="40"/>
      <c r="E225" s="42"/>
      <c r="F225" s="42"/>
      <c r="G225" s="42"/>
      <c r="H225" s="10" t="s">
        <v>204</v>
      </c>
      <c r="I225" s="16" t="s">
        <v>203</v>
      </c>
      <c r="J225" s="9">
        <f>1.9+0.6*2</f>
        <v>3.0999999999999996</v>
      </c>
      <c r="K225" s="9">
        <v>1.6</v>
      </c>
      <c r="L225" s="9"/>
      <c r="M225" s="9"/>
      <c r="N225" s="9"/>
      <c r="O225" s="9"/>
      <c r="P225" s="9"/>
      <c r="Q225" s="9"/>
      <c r="R225" s="9"/>
      <c r="S225" s="23">
        <f t="shared" si="4"/>
        <v>4.96</v>
      </c>
      <c r="T225" s="24"/>
      <c r="U225" s="8"/>
    </row>
    <row r="226" spans="1:21" x14ac:dyDescent="0.25">
      <c r="A226" s="12" t="s">
        <v>61</v>
      </c>
      <c r="B226" s="13" t="s">
        <v>54</v>
      </c>
      <c r="C226" s="14"/>
      <c r="D226" s="40"/>
      <c r="E226" s="42"/>
      <c r="F226" s="42"/>
      <c r="G226" s="42"/>
      <c r="H226" s="10" t="s">
        <v>204</v>
      </c>
      <c r="I226" s="16" t="s">
        <v>206</v>
      </c>
      <c r="J226" s="9">
        <v>0.6</v>
      </c>
      <c r="K226" s="9">
        <v>1.6</v>
      </c>
      <c r="L226" s="9"/>
      <c r="M226" s="9"/>
      <c r="N226" s="9"/>
      <c r="O226" s="9"/>
      <c r="P226" s="9"/>
      <c r="Q226" s="9"/>
      <c r="R226" s="9"/>
      <c r="S226" s="23">
        <f t="shared" si="4"/>
        <v>0.96</v>
      </c>
      <c r="T226" s="24"/>
      <c r="U226" s="8"/>
    </row>
    <row r="227" spans="1:21" x14ac:dyDescent="0.25">
      <c r="A227" s="12" t="s">
        <v>61</v>
      </c>
      <c r="B227" s="13" t="s">
        <v>60</v>
      </c>
      <c r="C227" s="14"/>
      <c r="D227" s="40"/>
      <c r="E227" s="42"/>
      <c r="F227" s="42"/>
      <c r="G227" s="42"/>
      <c r="H227" s="10" t="s">
        <v>204</v>
      </c>
      <c r="I227" s="16" t="s">
        <v>210</v>
      </c>
      <c r="J227" s="9">
        <v>0.8</v>
      </c>
      <c r="K227" s="9">
        <v>0.8</v>
      </c>
      <c r="L227" s="9"/>
      <c r="M227" s="9"/>
      <c r="N227" s="9"/>
      <c r="O227" s="9"/>
      <c r="P227" s="9"/>
      <c r="Q227" s="9"/>
      <c r="R227" s="9"/>
      <c r="S227" s="23">
        <f t="shared" si="4"/>
        <v>0.64000000000000012</v>
      </c>
      <c r="T227" s="24"/>
      <c r="U227" s="8"/>
    </row>
    <row r="228" spans="1:21" x14ac:dyDescent="0.25">
      <c r="A228" s="12" t="s">
        <v>61</v>
      </c>
      <c r="B228" s="13" t="s">
        <v>103</v>
      </c>
      <c r="C228" s="14"/>
      <c r="D228" s="40"/>
      <c r="E228" s="42"/>
      <c r="F228" s="42"/>
      <c r="G228" s="42"/>
      <c r="H228" s="10" t="s">
        <v>204</v>
      </c>
      <c r="I228" s="16" t="s">
        <v>203</v>
      </c>
      <c r="J228" s="9">
        <v>0.8</v>
      </c>
      <c r="K228" s="9">
        <v>1.6</v>
      </c>
      <c r="L228" s="9"/>
      <c r="M228" s="9"/>
      <c r="N228" s="9"/>
      <c r="O228" s="9"/>
      <c r="P228" s="9"/>
      <c r="Q228" s="9"/>
      <c r="R228" s="9"/>
      <c r="S228" s="23">
        <f t="shared" si="4"/>
        <v>1.2800000000000002</v>
      </c>
      <c r="T228" s="24"/>
      <c r="U228" s="8"/>
    </row>
    <row r="229" spans="1:21" x14ac:dyDescent="0.25">
      <c r="A229" s="12" t="s">
        <v>61</v>
      </c>
      <c r="B229" s="13" t="s">
        <v>107</v>
      </c>
      <c r="C229" s="14"/>
      <c r="D229" s="40"/>
      <c r="E229" s="42"/>
      <c r="F229" s="42"/>
      <c r="G229" s="42"/>
      <c r="H229" s="10" t="s">
        <v>204</v>
      </c>
      <c r="I229" s="16" t="s">
        <v>209</v>
      </c>
      <c r="J229" s="9">
        <f>0.7+0.7</f>
        <v>1.4</v>
      </c>
      <c r="K229" s="9">
        <v>1.6</v>
      </c>
      <c r="L229" s="9"/>
      <c r="M229" s="9"/>
      <c r="N229" s="9"/>
      <c r="O229" s="9"/>
      <c r="P229" s="9"/>
      <c r="Q229" s="9"/>
      <c r="R229" s="9"/>
      <c r="S229" s="23">
        <f t="shared" si="4"/>
        <v>2.2399999999999998</v>
      </c>
      <c r="T229" s="24"/>
      <c r="U229" s="8"/>
    </row>
    <row r="230" spans="1:21" x14ac:dyDescent="0.25">
      <c r="A230" s="12" t="s">
        <v>61</v>
      </c>
      <c r="B230" s="13" t="s">
        <v>108</v>
      </c>
      <c r="C230" s="14"/>
      <c r="D230" s="40"/>
      <c r="E230" s="42"/>
      <c r="F230" s="42"/>
      <c r="G230" s="42"/>
      <c r="H230" s="10" t="s">
        <v>204</v>
      </c>
      <c r="I230" s="16" t="s">
        <v>209</v>
      </c>
      <c r="J230" s="9">
        <f>0.7+0.7</f>
        <v>1.4</v>
      </c>
      <c r="K230" s="9">
        <v>1.6</v>
      </c>
      <c r="L230" s="9"/>
      <c r="M230" s="9"/>
      <c r="N230" s="9"/>
      <c r="O230" s="9"/>
      <c r="P230" s="9"/>
      <c r="Q230" s="9"/>
      <c r="R230" s="9"/>
      <c r="S230" s="23">
        <f t="shared" si="4"/>
        <v>2.2399999999999998</v>
      </c>
      <c r="T230" s="24"/>
      <c r="U230" s="8"/>
    </row>
    <row r="231" spans="1:21" x14ac:dyDescent="0.25">
      <c r="A231" s="12" t="s">
        <v>61</v>
      </c>
      <c r="B231" s="13" t="s">
        <v>114</v>
      </c>
      <c r="C231" s="14"/>
      <c r="D231" s="40"/>
      <c r="E231" s="42"/>
      <c r="F231" s="42"/>
      <c r="G231" s="42"/>
      <c r="H231" s="10" t="s">
        <v>204</v>
      </c>
      <c r="I231" s="16" t="s">
        <v>203</v>
      </c>
      <c r="J231" s="9">
        <v>0.7</v>
      </c>
      <c r="K231" s="9">
        <v>1.6</v>
      </c>
      <c r="L231" s="9"/>
      <c r="M231" s="9"/>
      <c r="N231" s="9"/>
      <c r="O231" s="9"/>
      <c r="P231" s="9"/>
      <c r="Q231" s="9"/>
      <c r="R231" s="9"/>
      <c r="S231" s="23">
        <f t="shared" si="4"/>
        <v>1.1199999999999999</v>
      </c>
      <c r="T231" s="24"/>
      <c r="U231" s="8"/>
    </row>
    <row r="232" spans="1:21" x14ac:dyDescent="0.25">
      <c r="A232" s="12" t="s">
        <v>61</v>
      </c>
      <c r="B232" s="13" t="s">
        <v>114</v>
      </c>
      <c r="C232" s="14"/>
      <c r="D232" s="40"/>
      <c r="E232" s="42"/>
      <c r="F232" s="42"/>
      <c r="G232" s="42"/>
      <c r="H232" s="10" t="s">
        <v>204</v>
      </c>
      <c r="I232" s="16" t="s">
        <v>210</v>
      </c>
      <c r="J232" s="9">
        <v>0.8</v>
      </c>
      <c r="K232" s="9">
        <v>1.6</v>
      </c>
      <c r="L232" s="9"/>
      <c r="M232" s="9"/>
      <c r="N232" s="9"/>
      <c r="O232" s="9"/>
      <c r="P232" s="9"/>
      <c r="Q232" s="9"/>
      <c r="R232" s="9"/>
      <c r="S232" s="23">
        <f t="shared" si="4"/>
        <v>1.2800000000000002</v>
      </c>
      <c r="T232" s="24"/>
      <c r="U232" s="8"/>
    </row>
    <row r="233" spans="1:21" x14ac:dyDescent="0.25">
      <c r="A233" s="12" t="s">
        <v>61</v>
      </c>
      <c r="B233" s="13" t="s">
        <v>115</v>
      </c>
      <c r="C233" s="14"/>
      <c r="D233" s="40"/>
      <c r="E233" s="42"/>
      <c r="F233" s="42"/>
      <c r="G233" s="42"/>
      <c r="H233" s="10" t="s">
        <v>204</v>
      </c>
      <c r="I233" s="16" t="s">
        <v>203</v>
      </c>
      <c r="J233" s="9">
        <f>0.7*2</f>
        <v>1.4</v>
      </c>
      <c r="K233" s="9">
        <v>1.6</v>
      </c>
      <c r="L233" s="9"/>
      <c r="M233" s="9"/>
      <c r="N233" s="9"/>
      <c r="O233" s="9"/>
      <c r="P233" s="9"/>
      <c r="Q233" s="9"/>
      <c r="R233" s="9"/>
      <c r="S233" s="23">
        <f t="shared" si="4"/>
        <v>2.2399999999999998</v>
      </c>
      <c r="T233" s="24"/>
      <c r="U233" s="8"/>
    </row>
    <row r="234" spans="1:21" x14ac:dyDescent="0.25">
      <c r="A234" s="12" t="s">
        <v>61</v>
      </c>
      <c r="B234" s="13" t="s">
        <v>115</v>
      </c>
      <c r="C234" s="14"/>
      <c r="D234" s="40"/>
      <c r="E234" s="42"/>
      <c r="F234" s="42"/>
      <c r="G234" s="42"/>
      <c r="H234" s="10" t="s">
        <v>204</v>
      </c>
      <c r="I234" s="16" t="s">
        <v>210</v>
      </c>
      <c r="J234" s="9">
        <f>0.6*4+(0.6+0.7)</f>
        <v>3.6999999999999997</v>
      </c>
      <c r="K234" s="9">
        <v>1.6</v>
      </c>
      <c r="L234" s="9"/>
      <c r="M234" s="9"/>
      <c r="N234" s="9"/>
      <c r="O234" s="9"/>
      <c r="P234" s="9"/>
      <c r="Q234" s="9"/>
      <c r="R234" s="9"/>
      <c r="S234" s="23">
        <f t="shared" si="4"/>
        <v>5.92</v>
      </c>
      <c r="T234" s="24"/>
      <c r="U234" s="8"/>
    </row>
    <row r="235" spans="1:21" x14ac:dyDescent="0.25">
      <c r="A235" s="12" t="s">
        <v>61</v>
      </c>
      <c r="B235" s="13" t="s">
        <v>115</v>
      </c>
      <c r="C235" s="14"/>
      <c r="D235" s="40"/>
      <c r="E235" s="42"/>
      <c r="F235" s="42"/>
      <c r="G235" s="42"/>
      <c r="H235" s="10" t="s">
        <v>204</v>
      </c>
      <c r="I235" s="16" t="s">
        <v>209</v>
      </c>
      <c r="J235" s="9">
        <f>0.7+0.8</f>
        <v>1.5</v>
      </c>
      <c r="K235" s="9">
        <v>1.6</v>
      </c>
      <c r="L235" s="9"/>
      <c r="M235" s="9"/>
      <c r="N235" s="9"/>
      <c r="O235" s="9"/>
      <c r="P235" s="9"/>
      <c r="Q235" s="9"/>
      <c r="R235" s="9"/>
      <c r="S235" s="23">
        <f t="shared" si="4"/>
        <v>2.4000000000000004</v>
      </c>
      <c r="T235" s="24"/>
      <c r="U235" s="8"/>
    </row>
    <row r="236" spans="1:21" x14ac:dyDescent="0.25">
      <c r="A236" s="12" t="s">
        <v>61</v>
      </c>
      <c r="B236" s="13" t="s">
        <v>116</v>
      </c>
      <c r="C236" s="14"/>
      <c r="D236" s="40"/>
      <c r="E236" s="42"/>
      <c r="F236" s="42"/>
      <c r="G236" s="42"/>
      <c r="H236" s="10" t="s">
        <v>204</v>
      </c>
      <c r="I236" s="16" t="s">
        <v>203</v>
      </c>
      <c r="J236" s="9">
        <v>0.7</v>
      </c>
      <c r="K236" s="9">
        <v>1.6</v>
      </c>
      <c r="L236" s="9"/>
      <c r="M236" s="9"/>
      <c r="N236" s="9"/>
      <c r="O236" s="9"/>
      <c r="P236" s="9"/>
      <c r="Q236" s="9"/>
      <c r="R236" s="9"/>
      <c r="S236" s="23">
        <f t="shared" si="4"/>
        <v>1.1199999999999999</v>
      </c>
      <c r="T236" s="24"/>
      <c r="U236" s="8"/>
    </row>
    <row r="237" spans="1:21" x14ac:dyDescent="0.25">
      <c r="A237" s="12" t="s">
        <v>61</v>
      </c>
      <c r="B237" s="13" t="s">
        <v>118</v>
      </c>
      <c r="C237" s="14"/>
      <c r="D237" s="40"/>
      <c r="E237" s="42"/>
      <c r="F237" s="42"/>
      <c r="G237" s="42"/>
      <c r="H237" s="10" t="s">
        <v>204</v>
      </c>
      <c r="I237" s="16" t="s">
        <v>203</v>
      </c>
      <c r="J237" s="9">
        <v>0.8</v>
      </c>
      <c r="K237" s="9">
        <v>1.6</v>
      </c>
      <c r="L237" s="9"/>
      <c r="M237" s="9"/>
      <c r="N237" s="9"/>
      <c r="O237" s="9"/>
      <c r="P237" s="9"/>
      <c r="Q237" s="9"/>
      <c r="R237" s="9"/>
      <c r="S237" s="23">
        <f t="shared" si="4"/>
        <v>1.2800000000000002</v>
      </c>
      <c r="T237" s="24"/>
      <c r="U237" s="8"/>
    </row>
    <row r="238" spans="1:21" x14ac:dyDescent="0.25">
      <c r="A238" s="12" t="s">
        <v>61</v>
      </c>
      <c r="B238" s="13" t="s">
        <v>118</v>
      </c>
      <c r="C238" s="14"/>
      <c r="D238" s="40"/>
      <c r="E238" s="42"/>
      <c r="F238" s="42"/>
      <c r="G238" s="42"/>
      <c r="H238" s="10" t="s">
        <v>204</v>
      </c>
      <c r="I238" s="16" t="s">
        <v>207</v>
      </c>
      <c r="J238" s="9">
        <f>2+1*2</f>
        <v>4</v>
      </c>
      <c r="K238" s="9">
        <v>2</v>
      </c>
      <c r="L238" s="9"/>
      <c r="M238" s="9"/>
      <c r="N238" s="9"/>
      <c r="O238" s="9"/>
      <c r="P238" s="9"/>
      <c r="Q238" s="9"/>
      <c r="R238" s="9"/>
      <c r="S238" s="23">
        <f t="shared" si="4"/>
        <v>8</v>
      </c>
      <c r="T238" s="24"/>
      <c r="U238" s="8"/>
    </row>
    <row r="239" spans="1:21" x14ac:dyDescent="0.25">
      <c r="A239" s="12" t="s">
        <v>61</v>
      </c>
      <c r="B239" s="13" t="s">
        <v>121</v>
      </c>
      <c r="C239" s="14"/>
      <c r="D239" s="40"/>
      <c r="E239" s="42"/>
      <c r="F239" s="42"/>
      <c r="G239" s="42"/>
      <c r="H239" s="10" t="s">
        <v>204</v>
      </c>
      <c r="I239" s="16" t="s">
        <v>203</v>
      </c>
      <c r="J239" s="9">
        <v>0.8</v>
      </c>
      <c r="K239" s="9">
        <v>1.6</v>
      </c>
      <c r="L239" s="9"/>
      <c r="M239" s="9"/>
      <c r="N239" s="9"/>
      <c r="O239" s="9"/>
      <c r="P239" s="9"/>
      <c r="Q239" s="9"/>
      <c r="R239" s="9"/>
      <c r="S239" s="23">
        <f t="shared" si="4"/>
        <v>1.2800000000000002</v>
      </c>
      <c r="T239" s="24"/>
      <c r="U239" s="8"/>
    </row>
    <row r="240" spans="1:21" x14ac:dyDescent="0.25">
      <c r="A240" s="12" t="s">
        <v>61</v>
      </c>
      <c r="B240" s="13" t="s">
        <v>123</v>
      </c>
      <c r="C240" s="14"/>
      <c r="D240" s="40"/>
      <c r="E240" s="42"/>
      <c r="F240" s="42"/>
      <c r="G240" s="42"/>
      <c r="H240" s="10" t="s">
        <v>204</v>
      </c>
      <c r="I240" s="16" t="s">
        <v>210</v>
      </c>
      <c r="J240" s="9">
        <v>0.8</v>
      </c>
      <c r="K240" s="9">
        <v>0.8</v>
      </c>
      <c r="L240" s="9"/>
      <c r="M240" s="9"/>
      <c r="N240" s="9"/>
      <c r="O240" s="9"/>
      <c r="P240" s="9"/>
      <c r="Q240" s="9"/>
      <c r="R240" s="9"/>
      <c r="S240" s="23">
        <f t="shared" si="4"/>
        <v>0.64000000000000012</v>
      </c>
      <c r="T240" s="24"/>
      <c r="U240" s="8"/>
    </row>
    <row r="241" spans="1:21" x14ac:dyDescent="0.25">
      <c r="A241" s="12" t="s">
        <v>61</v>
      </c>
      <c r="B241" s="13" t="s">
        <v>71</v>
      </c>
      <c r="C241" s="14"/>
      <c r="D241" s="40"/>
      <c r="E241" s="42"/>
      <c r="F241" s="42"/>
      <c r="G241" s="42"/>
      <c r="H241" s="10" t="s">
        <v>204</v>
      </c>
      <c r="I241" s="16" t="s">
        <v>203</v>
      </c>
      <c r="J241" s="9">
        <v>0.8</v>
      </c>
      <c r="K241" s="9">
        <v>1.6</v>
      </c>
      <c r="L241" s="9"/>
      <c r="M241" s="9"/>
      <c r="N241" s="9"/>
      <c r="O241" s="9"/>
      <c r="P241" s="9"/>
      <c r="Q241" s="9"/>
      <c r="R241" s="9"/>
      <c r="S241" s="23">
        <f t="shared" si="4"/>
        <v>1.2800000000000002</v>
      </c>
      <c r="T241" s="24"/>
      <c r="U241" s="8"/>
    </row>
    <row r="242" spans="1:21" x14ac:dyDescent="0.25">
      <c r="A242" s="12" t="s">
        <v>61</v>
      </c>
      <c r="B242" s="13" t="s">
        <v>71</v>
      </c>
      <c r="C242" s="14"/>
      <c r="D242" s="40"/>
      <c r="E242" s="42"/>
      <c r="F242" s="42"/>
      <c r="G242" s="42"/>
      <c r="H242" s="10" t="s">
        <v>204</v>
      </c>
      <c r="I242" s="16" t="s">
        <v>207</v>
      </c>
      <c r="J242" s="9">
        <f>1.35+1.05*2</f>
        <v>3.45</v>
      </c>
      <c r="K242" s="9">
        <v>2</v>
      </c>
      <c r="L242" s="9"/>
      <c r="M242" s="9"/>
      <c r="N242" s="9"/>
      <c r="O242" s="9"/>
      <c r="P242" s="9"/>
      <c r="Q242" s="9"/>
      <c r="R242" s="9"/>
      <c r="S242" s="23">
        <f t="shared" si="4"/>
        <v>6.9</v>
      </c>
      <c r="T242" s="24"/>
      <c r="U242" s="8"/>
    </row>
    <row r="243" spans="1:21" x14ac:dyDescent="0.25">
      <c r="A243" s="12"/>
      <c r="B243" s="13"/>
      <c r="C243" s="14"/>
      <c r="D243" s="40"/>
      <c r="E243" s="42"/>
      <c r="F243" s="42"/>
      <c r="G243" s="42"/>
      <c r="H243" s="10"/>
      <c r="I243" s="16"/>
      <c r="J243" s="9"/>
      <c r="K243" s="9"/>
      <c r="L243" s="9"/>
      <c r="M243" s="9"/>
      <c r="N243" s="9"/>
      <c r="O243" s="9"/>
      <c r="P243" s="9"/>
      <c r="Q243" s="9"/>
      <c r="R243" s="9"/>
      <c r="S243" s="23" t="str">
        <f t="shared" si="4"/>
        <v/>
      </c>
      <c r="T243" s="24"/>
      <c r="U243" s="8"/>
    </row>
    <row r="244" spans="1:21" x14ac:dyDescent="0.25">
      <c r="A244" s="45" t="s">
        <v>73</v>
      </c>
      <c r="B244" s="13"/>
      <c r="C244" s="14"/>
      <c r="D244" s="40"/>
      <c r="E244" s="42"/>
      <c r="F244" s="42"/>
      <c r="G244" s="42"/>
      <c r="H244" s="10"/>
      <c r="I244" s="16"/>
      <c r="J244" s="9"/>
      <c r="K244" s="9"/>
      <c r="L244" s="9"/>
      <c r="M244" s="9"/>
      <c r="N244" s="9"/>
      <c r="O244" s="9"/>
      <c r="P244" s="9"/>
      <c r="Q244" s="9"/>
      <c r="R244" s="9"/>
      <c r="S244" s="23" t="str">
        <f t="shared" si="4"/>
        <v/>
      </c>
      <c r="T244" s="24"/>
      <c r="U244" s="8"/>
    </row>
    <row r="245" spans="1:21" x14ac:dyDescent="0.25">
      <c r="A245" s="12" t="s">
        <v>62</v>
      </c>
      <c r="B245" s="13" t="s">
        <v>36</v>
      </c>
      <c r="C245" s="14"/>
      <c r="D245" s="40"/>
      <c r="E245" s="42"/>
      <c r="F245" s="42" t="s">
        <v>83</v>
      </c>
      <c r="G245" s="42"/>
      <c r="H245" s="10"/>
      <c r="I245" s="16" t="s">
        <v>143</v>
      </c>
      <c r="J245" s="9">
        <f>7.26+3.7+5.55</f>
        <v>16.510000000000002</v>
      </c>
      <c r="K245" s="9">
        <v>2.75</v>
      </c>
      <c r="L245" s="9"/>
      <c r="M245" s="9">
        <f>0.9*2.5*2</f>
        <v>4.5</v>
      </c>
      <c r="N245" s="9"/>
      <c r="O245" s="9"/>
      <c r="P245" s="9"/>
      <c r="Q245" s="9"/>
      <c r="R245" s="9"/>
      <c r="S245" s="23">
        <f t="shared" si="4"/>
        <v>40.902500000000003</v>
      </c>
      <c r="T245" s="24"/>
      <c r="U245" s="8"/>
    </row>
    <row r="246" spans="1:21" x14ac:dyDescent="0.25">
      <c r="A246" s="12" t="s">
        <v>62</v>
      </c>
      <c r="B246" s="13" t="s">
        <v>36</v>
      </c>
      <c r="C246" s="14"/>
      <c r="D246" s="40"/>
      <c r="E246" s="42"/>
      <c r="F246" s="42" t="s">
        <v>84</v>
      </c>
      <c r="G246" s="42"/>
      <c r="H246" s="10"/>
      <c r="I246" s="16"/>
      <c r="J246" s="9">
        <f>2.8+0.44+4.4+4.01+0.2</f>
        <v>11.85</v>
      </c>
      <c r="K246" s="9">
        <v>2.75</v>
      </c>
      <c r="L246" s="9">
        <f>2.6*2+2.5*2.5</f>
        <v>11.45</v>
      </c>
      <c r="M246" s="9"/>
      <c r="N246" s="9"/>
      <c r="O246" s="9"/>
      <c r="P246" s="9"/>
      <c r="Q246" s="9"/>
      <c r="R246" s="9"/>
      <c r="S246" s="23">
        <f t="shared" si="4"/>
        <v>21.137499999999999</v>
      </c>
      <c r="T246" s="24"/>
      <c r="U246" s="8"/>
    </row>
    <row r="247" spans="1:21" x14ac:dyDescent="0.25">
      <c r="A247" s="12" t="s">
        <v>62</v>
      </c>
      <c r="B247" s="13" t="s">
        <v>36</v>
      </c>
      <c r="C247" s="14"/>
      <c r="D247" s="40"/>
      <c r="E247" s="42"/>
      <c r="F247" s="42" t="s">
        <v>83</v>
      </c>
      <c r="G247" s="42"/>
      <c r="H247" s="10"/>
      <c r="I247" s="16" t="s">
        <v>144</v>
      </c>
      <c r="J247" s="9">
        <f>51.62</f>
        <v>51.62</v>
      </c>
      <c r="K247" s="9">
        <v>2.75</v>
      </c>
      <c r="L247" s="9">
        <f>2*2+3*2+3.05*2</f>
        <v>16.100000000000001</v>
      </c>
      <c r="M247" s="9">
        <f>3.05*2.5+2*2.5+1.1*2+0.8*2+1.3*2+0.8*2+6.8*2.5+1.47*2.5</f>
        <v>41.3</v>
      </c>
      <c r="N247" s="9"/>
      <c r="O247" s="9"/>
      <c r="P247" s="9"/>
      <c r="Q247" s="9"/>
      <c r="R247" s="9"/>
      <c r="S247" s="23">
        <f t="shared" si="4"/>
        <v>84.554999999999993</v>
      </c>
      <c r="T247" s="24"/>
      <c r="U247" s="8"/>
    </row>
    <row r="248" spans="1:21" x14ac:dyDescent="0.25">
      <c r="A248" s="12" t="s">
        <v>62</v>
      </c>
      <c r="B248" s="13" t="s">
        <v>36</v>
      </c>
      <c r="C248" s="14"/>
      <c r="D248" s="40"/>
      <c r="E248" s="42"/>
      <c r="F248" s="42"/>
      <c r="G248" s="42" t="s">
        <v>82</v>
      </c>
      <c r="H248" s="10"/>
      <c r="I248" s="16" t="s">
        <v>145</v>
      </c>
      <c r="J248" s="9">
        <f>20.8+31.45+9.64+4.19+1*14</f>
        <v>80.08</v>
      </c>
      <c r="K248" s="9">
        <v>2.75</v>
      </c>
      <c r="L248" s="9"/>
      <c r="M248" s="9">
        <f>1.1*2*14+1.55*2+1.6*2.5</f>
        <v>37.900000000000006</v>
      </c>
      <c r="N248" s="9"/>
      <c r="O248" s="9"/>
      <c r="P248" s="9"/>
      <c r="Q248" s="9"/>
      <c r="R248" s="9"/>
      <c r="S248" s="23">
        <f t="shared" si="4"/>
        <v>182.32</v>
      </c>
      <c r="T248" s="24"/>
      <c r="U248" s="8"/>
    </row>
    <row r="249" spans="1:21" x14ac:dyDescent="0.25">
      <c r="A249" s="12" t="s">
        <v>62</v>
      </c>
      <c r="B249" s="13" t="s">
        <v>37</v>
      </c>
      <c r="C249" s="14"/>
      <c r="D249" s="40"/>
      <c r="E249" s="42" t="s">
        <v>86</v>
      </c>
      <c r="F249" s="42"/>
      <c r="G249" s="42"/>
      <c r="H249" s="10"/>
      <c r="I249" s="16" t="s">
        <v>89</v>
      </c>
      <c r="J249" s="9">
        <v>4.32</v>
      </c>
      <c r="K249" s="9">
        <v>2</v>
      </c>
      <c r="L249" s="9"/>
      <c r="M249" s="9"/>
      <c r="N249" s="9"/>
      <c r="O249" s="9"/>
      <c r="P249" s="9"/>
      <c r="Q249" s="9"/>
      <c r="R249" s="9"/>
      <c r="S249" s="23">
        <f t="shared" si="4"/>
        <v>8.64</v>
      </c>
      <c r="T249" s="24"/>
      <c r="U249" s="8"/>
    </row>
    <row r="250" spans="1:21" x14ac:dyDescent="0.25">
      <c r="A250" s="12" t="s">
        <v>62</v>
      </c>
      <c r="B250" s="13" t="s">
        <v>37</v>
      </c>
      <c r="C250" s="14"/>
      <c r="D250" s="40"/>
      <c r="E250" s="42" t="s">
        <v>86</v>
      </c>
      <c r="F250" s="42"/>
      <c r="G250" s="42"/>
      <c r="H250" s="10"/>
      <c r="I250" s="16" t="s">
        <v>146</v>
      </c>
      <c r="J250" s="9">
        <f>2.39+4.39-1.91</f>
        <v>4.8699999999999992</v>
      </c>
      <c r="K250" s="9">
        <v>2</v>
      </c>
      <c r="L250" s="9"/>
      <c r="M250" s="9">
        <f>0.9*2</f>
        <v>1.8</v>
      </c>
      <c r="N250" s="9"/>
      <c r="O250" s="9"/>
      <c r="P250" s="9"/>
      <c r="Q250" s="9"/>
      <c r="R250" s="9"/>
      <c r="S250" s="23">
        <f t="shared" si="4"/>
        <v>7.9399999999999986</v>
      </c>
      <c r="T250" s="24"/>
      <c r="U250" s="8"/>
    </row>
    <row r="251" spans="1:21" x14ac:dyDescent="0.25">
      <c r="A251" s="12" t="s">
        <v>62</v>
      </c>
      <c r="B251" s="13" t="s">
        <v>37</v>
      </c>
      <c r="C251" s="14"/>
      <c r="D251" s="40"/>
      <c r="E251" s="42" t="s">
        <v>86</v>
      </c>
      <c r="F251" s="42"/>
      <c r="G251" s="42"/>
      <c r="H251" s="10"/>
      <c r="I251" s="16" t="s">
        <v>147</v>
      </c>
      <c r="J251" s="9">
        <f>2.39+1.91</f>
        <v>4.3</v>
      </c>
      <c r="K251" s="9">
        <v>2</v>
      </c>
      <c r="L251" s="9"/>
      <c r="M251" s="9">
        <f>0.9*2</f>
        <v>1.8</v>
      </c>
      <c r="N251" s="9"/>
      <c r="O251" s="9"/>
      <c r="P251" s="9"/>
      <c r="Q251" s="9"/>
      <c r="R251" s="9"/>
      <c r="S251" s="23">
        <f t="shared" si="4"/>
        <v>6.8</v>
      </c>
      <c r="T251" s="24"/>
      <c r="U251" s="8"/>
    </row>
    <row r="252" spans="1:21" x14ac:dyDescent="0.25">
      <c r="A252" s="12" t="s">
        <v>62</v>
      </c>
      <c r="B252" s="13" t="s">
        <v>37</v>
      </c>
      <c r="C252" s="14"/>
      <c r="D252" s="40"/>
      <c r="E252" s="42"/>
      <c r="F252" s="42"/>
      <c r="G252" s="42" t="s">
        <v>82</v>
      </c>
      <c r="H252" s="10"/>
      <c r="I252" s="16"/>
      <c r="J252" s="9">
        <f>J249</f>
        <v>4.32</v>
      </c>
      <c r="K252" s="9">
        <f>2.5-2</f>
        <v>0.5</v>
      </c>
      <c r="L252" s="9"/>
      <c r="M252" s="9"/>
      <c r="N252" s="9"/>
      <c r="O252" s="9"/>
      <c r="P252" s="9"/>
      <c r="Q252" s="9"/>
      <c r="R252" s="9"/>
      <c r="S252" s="23">
        <f t="shared" si="4"/>
        <v>2.16</v>
      </c>
      <c r="T252" s="24"/>
      <c r="U252" s="8"/>
    </row>
    <row r="253" spans="1:21" x14ac:dyDescent="0.25">
      <c r="A253" s="12" t="s">
        <v>62</v>
      </c>
      <c r="B253" s="13" t="s">
        <v>37</v>
      </c>
      <c r="C253" s="14"/>
      <c r="D253" s="40"/>
      <c r="E253" s="42"/>
      <c r="F253" s="42" t="s">
        <v>83</v>
      </c>
      <c r="G253" s="42"/>
      <c r="H253" s="10"/>
      <c r="I253" s="16"/>
      <c r="J253" s="9">
        <f>J250</f>
        <v>4.8699999999999992</v>
      </c>
      <c r="K253" s="9">
        <f>2.5-2</f>
        <v>0.5</v>
      </c>
      <c r="L253" s="9"/>
      <c r="M253" s="9">
        <f>0.9*0.5*2</f>
        <v>0.9</v>
      </c>
      <c r="N253" s="9"/>
      <c r="O253" s="9"/>
      <c r="P253" s="9"/>
      <c r="Q253" s="9"/>
      <c r="R253" s="9"/>
      <c r="S253" s="23">
        <f t="shared" si="4"/>
        <v>1.5349999999999997</v>
      </c>
      <c r="T253" s="24"/>
      <c r="U253" s="8"/>
    </row>
    <row r="254" spans="1:21" x14ac:dyDescent="0.25">
      <c r="A254" s="12" t="s">
        <v>62</v>
      </c>
      <c r="B254" s="13" t="s">
        <v>37</v>
      </c>
      <c r="C254" s="14"/>
      <c r="D254" s="40"/>
      <c r="E254" s="42"/>
      <c r="F254" s="42" t="s">
        <v>84</v>
      </c>
      <c r="G254" s="42"/>
      <c r="H254" s="10"/>
      <c r="I254" s="16"/>
      <c r="J254" s="9">
        <f>J251</f>
        <v>4.3</v>
      </c>
      <c r="K254" s="9">
        <f>2.5-2</f>
        <v>0.5</v>
      </c>
      <c r="L254" s="9"/>
      <c r="M254" s="9"/>
      <c r="N254" s="9"/>
      <c r="O254" s="9"/>
      <c r="P254" s="9"/>
      <c r="Q254" s="9"/>
      <c r="R254" s="9"/>
      <c r="S254" s="23">
        <f t="shared" si="4"/>
        <v>2.15</v>
      </c>
      <c r="T254" s="24"/>
      <c r="U254" s="8"/>
    </row>
    <row r="255" spans="1:21" x14ac:dyDescent="0.25">
      <c r="A255" s="12" t="s">
        <v>62</v>
      </c>
      <c r="B255" s="13" t="s">
        <v>69</v>
      </c>
      <c r="C255" s="14"/>
      <c r="D255" s="40"/>
      <c r="E255" s="42" t="s">
        <v>86</v>
      </c>
      <c r="F255" s="42"/>
      <c r="G255" s="42"/>
      <c r="H255" s="10"/>
      <c r="I255" s="16" t="s">
        <v>89</v>
      </c>
      <c r="J255" s="9">
        <v>6.8</v>
      </c>
      <c r="K255" s="9">
        <v>0.8</v>
      </c>
      <c r="L255" s="9"/>
      <c r="M255" s="9"/>
      <c r="N255" s="9"/>
      <c r="O255" s="9"/>
      <c r="P255" s="9"/>
      <c r="Q255" s="9"/>
      <c r="R255" s="9"/>
      <c r="S255" s="23">
        <f t="shared" si="4"/>
        <v>5.44</v>
      </c>
      <c r="T255" s="24"/>
      <c r="U255" s="8"/>
    </row>
    <row r="256" spans="1:21" x14ac:dyDescent="0.25">
      <c r="A256" s="12" t="s">
        <v>62</v>
      </c>
      <c r="B256" s="13" t="s">
        <v>69</v>
      </c>
      <c r="C256" s="14"/>
      <c r="D256" s="40"/>
      <c r="E256" s="42" t="s">
        <v>86</v>
      </c>
      <c r="F256" s="42"/>
      <c r="G256" s="42"/>
      <c r="H256" s="10"/>
      <c r="I256" s="16" t="s">
        <v>146</v>
      </c>
      <c r="J256" s="9">
        <f>0.6*2</f>
        <v>1.2</v>
      </c>
      <c r="K256" s="9">
        <v>0.8</v>
      </c>
      <c r="L256" s="9"/>
      <c r="M256" s="9"/>
      <c r="N256" s="9"/>
      <c r="O256" s="9"/>
      <c r="P256" s="9"/>
      <c r="Q256" s="9"/>
      <c r="R256" s="9"/>
      <c r="S256" s="23">
        <f t="shared" si="4"/>
        <v>0.96</v>
      </c>
      <c r="T256" s="24"/>
      <c r="U256" s="8"/>
    </row>
    <row r="257" spans="1:21" x14ac:dyDescent="0.25">
      <c r="A257" s="12" t="s">
        <v>62</v>
      </c>
      <c r="B257" s="13" t="s">
        <v>69</v>
      </c>
      <c r="C257" s="14"/>
      <c r="D257" s="40"/>
      <c r="E257" s="42"/>
      <c r="F257" s="42" t="s">
        <v>83</v>
      </c>
      <c r="G257" s="42"/>
      <c r="H257" s="10"/>
      <c r="I257" s="16"/>
      <c r="J257" s="9">
        <f>2.88*2</f>
        <v>5.76</v>
      </c>
      <c r="K257" s="9">
        <v>2.5</v>
      </c>
      <c r="L257" s="9">
        <f>1.9*2</f>
        <v>3.8</v>
      </c>
      <c r="M257" s="9">
        <f>1.47*2.5</f>
        <v>3.6749999999999998</v>
      </c>
      <c r="N257" s="9"/>
      <c r="O257" s="9">
        <f>S256</f>
        <v>0.96</v>
      </c>
      <c r="P257" s="9"/>
      <c r="Q257" s="9"/>
      <c r="R257" s="9"/>
      <c r="S257" s="23">
        <f t="shared" si="4"/>
        <v>5.9649999999999981</v>
      </c>
      <c r="T257" s="24"/>
      <c r="U257" s="8"/>
    </row>
    <row r="258" spans="1:21" x14ac:dyDescent="0.25">
      <c r="A258" s="12" t="s">
        <v>62</v>
      </c>
      <c r="B258" s="13" t="s">
        <v>69</v>
      </c>
      <c r="C258" s="14"/>
      <c r="D258" s="40"/>
      <c r="E258" s="42"/>
      <c r="F258" s="42"/>
      <c r="G258" s="42" t="s">
        <v>82</v>
      </c>
      <c r="H258" s="10"/>
      <c r="I258" s="16"/>
      <c r="J258" s="9">
        <v>6.8</v>
      </c>
      <c r="K258" s="9">
        <v>2.5</v>
      </c>
      <c r="L258" s="9"/>
      <c r="M258" s="9"/>
      <c r="N258" s="9"/>
      <c r="O258" s="9">
        <f>S255</f>
        <v>5.44</v>
      </c>
      <c r="P258" s="9"/>
      <c r="Q258" s="9"/>
      <c r="R258" s="9"/>
      <c r="S258" s="23">
        <f t="shared" si="4"/>
        <v>11.559999999999999</v>
      </c>
      <c r="T258" s="24"/>
      <c r="U258" s="8"/>
    </row>
    <row r="259" spans="1:21" x14ac:dyDescent="0.25">
      <c r="A259" s="12" t="s">
        <v>62</v>
      </c>
      <c r="B259" s="13" t="s">
        <v>38</v>
      </c>
      <c r="C259" s="14"/>
      <c r="D259" s="40"/>
      <c r="E259" s="42"/>
      <c r="F259" s="42" t="s">
        <v>83</v>
      </c>
      <c r="G259" s="42"/>
      <c r="H259" s="10"/>
      <c r="I259" s="16"/>
      <c r="J259" s="9">
        <v>1.75</v>
      </c>
      <c r="K259" s="9">
        <v>2.5</v>
      </c>
      <c r="L259" s="9"/>
      <c r="M259" s="9">
        <f>0.8*2</f>
        <v>1.6</v>
      </c>
      <c r="N259" s="9"/>
      <c r="O259" s="9"/>
      <c r="P259" s="9"/>
      <c r="Q259" s="9"/>
      <c r="R259" s="9"/>
      <c r="S259" s="23">
        <f t="shared" si="4"/>
        <v>2.7749999999999999</v>
      </c>
      <c r="T259" s="24"/>
      <c r="U259" s="8"/>
    </row>
    <row r="260" spans="1:21" x14ac:dyDescent="0.25">
      <c r="A260" s="12" t="s">
        <v>62</v>
      </c>
      <c r="B260" s="13" t="s">
        <v>38</v>
      </c>
      <c r="C260" s="14"/>
      <c r="D260" s="40"/>
      <c r="E260" s="42"/>
      <c r="F260" s="42"/>
      <c r="G260" s="42" t="s">
        <v>82</v>
      </c>
      <c r="H260" s="10"/>
      <c r="I260" s="16"/>
      <c r="J260" s="9">
        <f>9.1-J259</f>
        <v>7.35</v>
      </c>
      <c r="K260" s="9">
        <v>2.5</v>
      </c>
      <c r="L260" s="9"/>
      <c r="M260" s="9"/>
      <c r="N260" s="9"/>
      <c r="O260" s="9"/>
      <c r="P260" s="9"/>
      <c r="Q260" s="9"/>
      <c r="R260" s="9"/>
      <c r="S260" s="23">
        <f t="shared" si="4"/>
        <v>18.375</v>
      </c>
      <c r="T260" s="24"/>
      <c r="U260" s="8"/>
    </row>
    <row r="261" spans="1:21" x14ac:dyDescent="0.25">
      <c r="A261" s="12" t="s">
        <v>62</v>
      </c>
      <c r="B261" s="13" t="s">
        <v>39</v>
      </c>
      <c r="C261" s="14"/>
      <c r="D261" s="40" t="s">
        <v>195</v>
      </c>
      <c r="E261" s="42" t="s">
        <v>86</v>
      </c>
      <c r="F261" s="42"/>
      <c r="G261" s="42"/>
      <c r="H261" s="10"/>
      <c r="I261" s="16" t="s">
        <v>89</v>
      </c>
      <c r="J261" s="9">
        <f>1.45+1</f>
        <v>2.4500000000000002</v>
      </c>
      <c r="K261" s="9">
        <v>2</v>
      </c>
      <c r="L261" s="9"/>
      <c r="M261" s="9"/>
      <c r="N261" s="9"/>
      <c r="O261" s="9"/>
      <c r="P261" s="9"/>
      <c r="Q261" s="9"/>
      <c r="R261" s="9"/>
      <c r="S261" s="23">
        <f t="shared" si="4"/>
        <v>4.9000000000000004</v>
      </c>
      <c r="T261" s="24"/>
      <c r="U261" s="8"/>
    </row>
    <row r="262" spans="1:21" x14ac:dyDescent="0.25">
      <c r="A262" s="12" t="s">
        <v>62</v>
      </c>
      <c r="B262" s="13" t="s">
        <v>39</v>
      </c>
      <c r="C262" s="14"/>
      <c r="D262" s="40" t="s">
        <v>195</v>
      </c>
      <c r="E262" s="42" t="s">
        <v>86</v>
      </c>
      <c r="F262" s="42"/>
      <c r="G262" s="42"/>
      <c r="H262" s="10"/>
      <c r="I262" s="16" t="s">
        <v>146</v>
      </c>
      <c r="J262" s="9">
        <f>1.45+1</f>
        <v>2.4500000000000002</v>
      </c>
      <c r="K262" s="9">
        <v>2</v>
      </c>
      <c r="L262" s="9"/>
      <c r="M262" s="9">
        <f>1.3*2</f>
        <v>2.6</v>
      </c>
      <c r="N262" s="9"/>
      <c r="O262" s="9"/>
      <c r="P262" s="9"/>
      <c r="Q262" s="9"/>
      <c r="R262" s="9"/>
      <c r="S262" s="23">
        <f t="shared" si="4"/>
        <v>2.3000000000000003</v>
      </c>
      <c r="T262" s="24"/>
      <c r="U262" s="8"/>
    </row>
    <row r="263" spans="1:21" x14ac:dyDescent="0.25">
      <c r="A263" s="12" t="s">
        <v>62</v>
      </c>
      <c r="B263" s="13" t="s">
        <v>39</v>
      </c>
      <c r="C263" s="14"/>
      <c r="D263" s="40" t="s">
        <v>195</v>
      </c>
      <c r="E263" s="42"/>
      <c r="F263" s="42" t="s">
        <v>83</v>
      </c>
      <c r="G263" s="42"/>
      <c r="H263" s="10"/>
      <c r="I263" s="16"/>
      <c r="J263" s="9">
        <f>J262</f>
        <v>2.4500000000000002</v>
      </c>
      <c r="K263" s="9">
        <f>2.5-2</f>
        <v>0.5</v>
      </c>
      <c r="L263" s="9"/>
      <c r="M263" s="9"/>
      <c r="N263" s="9"/>
      <c r="O263" s="9"/>
      <c r="P263" s="9"/>
      <c r="Q263" s="9"/>
      <c r="R263" s="9"/>
      <c r="S263" s="23">
        <f t="shared" si="4"/>
        <v>1.2250000000000001</v>
      </c>
      <c r="T263" s="24"/>
      <c r="U263" s="8"/>
    </row>
    <row r="264" spans="1:21" x14ac:dyDescent="0.25">
      <c r="A264" s="12" t="s">
        <v>62</v>
      </c>
      <c r="B264" s="13" t="s">
        <v>39</v>
      </c>
      <c r="C264" s="14"/>
      <c r="D264" s="40" t="s">
        <v>195</v>
      </c>
      <c r="E264" s="42"/>
      <c r="F264" s="42"/>
      <c r="G264" s="42" t="s">
        <v>82</v>
      </c>
      <c r="H264" s="10"/>
      <c r="I264" s="16"/>
      <c r="J264" s="9">
        <f>J261</f>
        <v>2.4500000000000002</v>
      </c>
      <c r="K264" s="9">
        <f>2.5-2</f>
        <v>0.5</v>
      </c>
      <c r="L264" s="9"/>
      <c r="M264" s="9"/>
      <c r="N264" s="9"/>
      <c r="O264" s="9"/>
      <c r="P264" s="9"/>
      <c r="Q264" s="9"/>
      <c r="R264" s="9"/>
      <c r="S264" s="23">
        <f t="shared" si="4"/>
        <v>1.2250000000000001</v>
      </c>
      <c r="T264" s="24"/>
      <c r="U264" s="8"/>
    </row>
    <row r="265" spans="1:21" x14ac:dyDescent="0.25">
      <c r="A265" s="12" t="s">
        <v>62</v>
      </c>
      <c r="B265" s="13" t="s">
        <v>40</v>
      </c>
      <c r="C265" s="14"/>
      <c r="D265" s="40" t="s">
        <v>195</v>
      </c>
      <c r="E265" s="42" t="s">
        <v>86</v>
      </c>
      <c r="F265" s="42"/>
      <c r="G265" s="42"/>
      <c r="H265" s="10"/>
      <c r="I265" s="16" t="s">
        <v>89</v>
      </c>
      <c r="J265" s="9">
        <f>1.75+2.32*2</f>
        <v>6.39</v>
      </c>
      <c r="K265" s="9">
        <v>2</v>
      </c>
      <c r="L265" s="9"/>
      <c r="M265" s="9"/>
      <c r="N265" s="9"/>
      <c r="O265" s="9"/>
      <c r="P265" s="9"/>
      <c r="Q265" s="9"/>
      <c r="R265" s="9"/>
      <c r="S265" s="23">
        <f t="shared" si="4"/>
        <v>12.78</v>
      </c>
      <c r="T265" s="24"/>
      <c r="U265" s="8"/>
    </row>
    <row r="266" spans="1:21" x14ac:dyDescent="0.25">
      <c r="A266" s="12" t="s">
        <v>62</v>
      </c>
      <c r="B266" s="13" t="s">
        <v>40</v>
      </c>
      <c r="C266" s="14"/>
      <c r="D266" s="40" t="s">
        <v>195</v>
      </c>
      <c r="E266" s="42" t="s">
        <v>86</v>
      </c>
      <c r="F266" s="42"/>
      <c r="G266" s="42"/>
      <c r="H266" s="10"/>
      <c r="I266" s="16" t="s">
        <v>146</v>
      </c>
      <c r="J266" s="9">
        <f>1.275+0.475</f>
        <v>1.75</v>
      </c>
      <c r="K266" s="9">
        <v>2</v>
      </c>
      <c r="L266" s="9"/>
      <c r="M266" s="9">
        <f>0.8*2</f>
        <v>1.6</v>
      </c>
      <c r="N266" s="9"/>
      <c r="O266" s="9"/>
      <c r="P266" s="9"/>
      <c r="Q266" s="9"/>
      <c r="R266" s="9"/>
      <c r="S266" s="23">
        <f t="shared" ref="S266:S329" si="5">IF(AND(ISBLANK(E266),ISBLANK(F266),ISBLANK(G266),ISBLANK(H266)),"",IF(J266*K266-L266-M266-N266-O266+P266+Q266+R266=0,"",J266*K266-L266-M266-N266-O266+P266+Q266+R266))</f>
        <v>1.9</v>
      </c>
      <c r="T266" s="24"/>
      <c r="U266" s="8"/>
    </row>
    <row r="267" spans="1:21" x14ac:dyDescent="0.25">
      <c r="A267" s="12" t="s">
        <v>62</v>
      </c>
      <c r="B267" s="13" t="s">
        <v>40</v>
      </c>
      <c r="C267" s="14"/>
      <c r="D267" s="40" t="s">
        <v>195</v>
      </c>
      <c r="E267" s="42"/>
      <c r="F267" s="42" t="s">
        <v>83</v>
      </c>
      <c r="G267" s="42"/>
      <c r="H267" s="10"/>
      <c r="I267" s="16"/>
      <c r="J267" s="9">
        <f>J266</f>
        <v>1.75</v>
      </c>
      <c r="K267" s="9">
        <f>2.5-2</f>
        <v>0.5</v>
      </c>
      <c r="L267" s="9"/>
      <c r="M267" s="9"/>
      <c r="N267" s="9"/>
      <c r="O267" s="9"/>
      <c r="P267" s="9"/>
      <c r="Q267" s="9"/>
      <c r="R267" s="9"/>
      <c r="S267" s="23">
        <f t="shared" si="5"/>
        <v>0.875</v>
      </c>
      <c r="T267" s="24"/>
      <c r="U267" s="8"/>
    </row>
    <row r="268" spans="1:21" x14ac:dyDescent="0.25">
      <c r="A268" s="12" t="s">
        <v>62</v>
      </c>
      <c r="B268" s="13" t="s">
        <v>40</v>
      </c>
      <c r="C268" s="14"/>
      <c r="D268" s="40" t="s">
        <v>195</v>
      </c>
      <c r="E268" s="42"/>
      <c r="F268" s="42"/>
      <c r="G268" s="42" t="s">
        <v>82</v>
      </c>
      <c r="H268" s="10"/>
      <c r="I268" s="16"/>
      <c r="J268" s="9">
        <f>J265</f>
        <v>6.39</v>
      </c>
      <c r="K268" s="9">
        <f>2.5-2</f>
        <v>0.5</v>
      </c>
      <c r="L268" s="9"/>
      <c r="M268" s="9"/>
      <c r="N268" s="9"/>
      <c r="O268" s="9"/>
      <c r="P268" s="9"/>
      <c r="Q268" s="9"/>
      <c r="R268" s="9"/>
      <c r="S268" s="23">
        <f t="shared" si="5"/>
        <v>3.1949999999999998</v>
      </c>
      <c r="T268" s="24"/>
      <c r="U268" s="8"/>
    </row>
    <row r="269" spans="1:21" x14ac:dyDescent="0.25">
      <c r="A269" s="12" t="s">
        <v>62</v>
      </c>
      <c r="B269" s="13" t="s">
        <v>41</v>
      </c>
      <c r="C269" s="14"/>
      <c r="D269" s="40" t="s">
        <v>195</v>
      </c>
      <c r="E269" s="42" t="s">
        <v>86</v>
      </c>
      <c r="F269" s="42"/>
      <c r="G269" s="42"/>
      <c r="H269" s="10"/>
      <c r="I269" s="16" t="s">
        <v>89</v>
      </c>
      <c r="J269" s="9">
        <f>3.8+3.87</f>
        <v>7.67</v>
      </c>
      <c r="K269" s="9">
        <v>2</v>
      </c>
      <c r="L269" s="9"/>
      <c r="M269" s="9"/>
      <c r="N269" s="9"/>
      <c r="O269" s="9"/>
      <c r="P269" s="9"/>
      <c r="Q269" s="9"/>
      <c r="R269" s="9"/>
      <c r="S269" s="23">
        <f t="shared" si="5"/>
        <v>15.34</v>
      </c>
      <c r="T269" s="24"/>
      <c r="U269" s="8"/>
    </row>
    <row r="270" spans="1:21" x14ac:dyDescent="0.25">
      <c r="A270" s="12" t="s">
        <v>62</v>
      </c>
      <c r="B270" s="13" t="s">
        <v>41</v>
      </c>
      <c r="C270" s="14"/>
      <c r="D270" s="40" t="s">
        <v>195</v>
      </c>
      <c r="E270" s="42" t="s">
        <v>86</v>
      </c>
      <c r="F270" s="42"/>
      <c r="G270" s="42"/>
      <c r="H270" s="10"/>
      <c r="I270" s="16" t="s">
        <v>146</v>
      </c>
      <c r="J270" s="9">
        <f>3.8+3.87</f>
        <v>7.67</v>
      </c>
      <c r="K270" s="9">
        <v>2</v>
      </c>
      <c r="L270" s="9">
        <f>0.77*(2-0.5)</f>
        <v>1.155</v>
      </c>
      <c r="M270" s="9">
        <f>1.1*2</f>
        <v>2.2000000000000002</v>
      </c>
      <c r="N270" s="9"/>
      <c r="O270" s="9"/>
      <c r="P270" s="9"/>
      <c r="Q270" s="9"/>
      <c r="R270" s="9"/>
      <c r="S270" s="23">
        <f t="shared" si="5"/>
        <v>11.984999999999999</v>
      </c>
      <c r="T270" s="24"/>
      <c r="U270" s="8"/>
    </row>
    <row r="271" spans="1:21" x14ac:dyDescent="0.25">
      <c r="A271" s="12" t="s">
        <v>62</v>
      </c>
      <c r="B271" s="13" t="s">
        <v>41</v>
      </c>
      <c r="C271" s="14"/>
      <c r="D271" s="40" t="s">
        <v>195</v>
      </c>
      <c r="E271" s="42"/>
      <c r="F271" s="42" t="s">
        <v>83</v>
      </c>
      <c r="G271" s="42"/>
      <c r="H271" s="10"/>
      <c r="I271" s="16"/>
      <c r="J271" s="9">
        <f>J270</f>
        <v>7.67</v>
      </c>
      <c r="K271" s="9">
        <f>2.5-2</f>
        <v>0.5</v>
      </c>
      <c r="L271" s="9"/>
      <c r="M271" s="9"/>
      <c r="N271" s="9"/>
      <c r="O271" s="9"/>
      <c r="P271" s="9"/>
      <c r="Q271" s="9"/>
      <c r="R271" s="9"/>
      <c r="S271" s="23">
        <f t="shared" si="5"/>
        <v>3.835</v>
      </c>
      <c r="T271" s="24"/>
      <c r="U271" s="8"/>
    </row>
    <row r="272" spans="1:21" x14ac:dyDescent="0.25">
      <c r="A272" s="12" t="s">
        <v>62</v>
      </c>
      <c r="B272" s="13" t="s">
        <v>41</v>
      </c>
      <c r="C272" s="14"/>
      <c r="D272" s="40" t="s">
        <v>195</v>
      </c>
      <c r="E272" s="42"/>
      <c r="F272" s="42"/>
      <c r="G272" s="42" t="s">
        <v>82</v>
      </c>
      <c r="H272" s="10"/>
      <c r="I272" s="16"/>
      <c r="J272" s="9">
        <f>J269</f>
        <v>7.67</v>
      </c>
      <c r="K272" s="9">
        <f>2.5-2</f>
        <v>0.5</v>
      </c>
      <c r="L272" s="9"/>
      <c r="M272" s="9"/>
      <c r="N272" s="9"/>
      <c r="O272" s="9"/>
      <c r="P272" s="9"/>
      <c r="Q272" s="9"/>
      <c r="R272" s="9"/>
      <c r="S272" s="23">
        <f t="shared" si="5"/>
        <v>3.835</v>
      </c>
      <c r="T272" s="24"/>
      <c r="U272" s="8"/>
    </row>
    <row r="273" spans="1:21" x14ac:dyDescent="0.25">
      <c r="A273" s="12" t="s">
        <v>62</v>
      </c>
      <c r="B273" s="46" t="s">
        <v>42</v>
      </c>
      <c r="C273" s="14"/>
      <c r="D273" s="40"/>
      <c r="E273" s="42"/>
      <c r="F273" s="42" t="s">
        <v>84</v>
      </c>
      <c r="G273" s="42"/>
      <c r="H273" s="10"/>
      <c r="I273" s="16"/>
      <c r="J273" s="9">
        <f>1.77+0.6+4.375+4.095+2.135+0.25</f>
        <v>13.225</v>
      </c>
      <c r="K273" s="9">
        <v>2.75</v>
      </c>
      <c r="L273" s="9">
        <f>0.54*2.5+2.04*2</f>
        <v>5.43</v>
      </c>
      <c r="M273" s="9"/>
      <c r="N273" s="9"/>
      <c r="O273" s="9">
        <f>(1.77+0.25)*0.25</f>
        <v>0.505</v>
      </c>
      <c r="P273" s="9"/>
      <c r="Q273" s="9"/>
      <c r="R273" s="9"/>
      <c r="S273" s="23">
        <f t="shared" si="5"/>
        <v>30.43375</v>
      </c>
      <c r="T273" s="24"/>
      <c r="U273" s="8"/>
    </row>
    <row r="274" spans="1:21" x14ac:dyDescent="0.25">
      <c r="A274" s="12" t="s">
        <v>62</v>
      </c>
      <c r="B274" s="46" t="s">
        <v>42</v>
      </c>
      <c r="C274" s="14"/>
      <c r="D274" s="40"/>
      <c r="E274" s="42"/>
      <c r="F274" s="42"/>
      <c r="G274" s="42" t="s">
        <v>82</v>
      </c>
      <c r="H274" s="10"/>
      <c r="I274" s="16"/>
      <c r="J274" s="9">
        <f>4.985+1.77-0.25+0.68+1.26</f>
        <v>8.4450000000000003</v>
      </c>
      <c r="K274" s="9">
        <v>2.75</v>
      </c>
      <c r="L274" s="9"/>
      <c r="M274" s="9">
        <f>1.1*2+1*2</f>
        <v>4.2</v>
      </c>
      <c r="N274" s="9"/>
      <c r="O274" s="9">
        <f>(1.77-0.25+0.68+1.26)*0.25</f>
        <v>0.86499999999999999</v>
      </c>
      <c r="P274" s="9"/>
      <c r="Q274" s="9"/>
      <c r="R274" s="9"/>
      <c r="S274" s="23">
        <f t="shared" si="5"/>
        <v>18.158750000000005</v>
      </c>
      <c r="T274" s="24"/>
      <c r="U274" s="8"/>
    </row>
    <row r="275" spans="1:21" x14ac:dyDescent="0.25">
      <c r="A275" s="12" t="s">
        <v>62</v>
      </c>
      <c r="B275" s="46" t="s">
        <v>43</v>
      </c>
      <c r="C275" s="14"/>
      <c r="D275" s="40" t="s">
        <v>195</v>
      </c>
      <c r="E275" s="42" t="s">
        <v>86</v>
      </c>
      <c r="F275" s="42"/>
      <c r="G275" s="42"/>
      <c r="H275" s="10"/>
      <c r="I275" s="16" t="s">
        <v>89</v>
      </c>
      <c r="J275" s="9">
        <f>1.9+2.5*2</f>
        <v>6.9</v>
      </c>
      <c r="K275" s="9">
        <v>2</v>
      </c>
      <c r="L275" s="9"/>
      <c r="M275" s="9">
        <f>1*2</f>
        <v>2</v>
      </c>
      <c r="N275" s="9"/>
      <c r="O275" s="9"/>
      <c r="P275" s="9"/>
      <c r="Q275" s="9"/>
      <c r="R275" s="9"/>
      <c r="S275" s="23">
        <f t="shared" si="5"/>
        <v>11.8</v>
      </c>
      <c r="T275" s="24"/>
      <c r="U275" s="8"/>
    </row>
    <row r="276" spans="1:21" x14ac:dyDescent="0.25">
      <c r="A276" s="12" t="s">
        <v>62</v>
      </c>
      <c r="B276" s="46" t="s">
        <v>43</v>
      </c>
      <c r="C276" s="14"/>
      <c r="D276" s="40" t="s">
        <v>195</v>
      </c>
      <c r="E276" s="42" t="s">
        <v>86</v>
      </c>
      <c r="F276" s="42"/>
      <c r="G276" s="42"/>
      <c r="H276" s="10"/>
      <c r="I276" s="16" t="s">
        <v>147</v>
      </c>
      <c r="J276" s="9">
        <v>1.9</v>
      </c>
      <c r="K276" s="9">
        <v>2</v>
      </c>
      <c r="L276" s="9"/>
      <c r="M276" s="9"/>
      <c r="N276" s="9"/>
      <c r="O276" s="9"/>
      <c r="P276" s="9"/>
      <c r="Q276" s="9"/>
      <c r="R276" s="9"/>
      <c r="S276" s="23">
        <f t="shared" si="5"/>
        <v>3.8</v>
      </c>
      <c r="T276" s="24"/>
      <c r="U276" s="8"/>
    </row>
    <row r="277" spans="1:21" x14ac:dyDescent="0.25">
      <c r="A277" s="12" t="s">
        <v>62</v>
      </c>
      <c r="B277" s="46" t="s">
        <v>43</v>
      </c>
      <c r="C277" s="14"/>
      <c r="D277" s="40" t="s">
        <v>195</v>
      </c>
      <c r="E277" s="42"/>
      <c r="F277" s="42" t="s">
        <v>84</v>
      </c>
      <c r="G277" s="42"/>
      <c r="H277" s="10"/>
      <c r="I277" s="16"/>
      <c r="J277" s="9">
        <f>J276</f>
        <v>1.9</v>
      </c>
      <c r="K277" s="9">
        <f>2.5-2</f>
        <v>0.5</v>
      </c>
      <c r="L277" s="9"/>
      <c r="M277" s="9"/>
      <c r="N277" s="9"/>
      <c r="O277" s="9"/>
      <c r="P277" s="9"/>
      <c r="Q277" s="9"/>
      <c r="R277" s="9"/>
      <c r="S277" s="23">
        <f t="shared" si="5"/>
        <v>0.95</v>
      </c>
      <c r="T277" s="24"/>
      <c r="U277" s="8"/>
    </row>
    <row r="278" spans="1:21" x14ac:dyDescent="0.25">
      <c r="A278" s="12" t="s">
        <v>62</v>
      </c>
      <c r="B278" s="46" t="s">
        <v>43</v>
      </c>
      <c r="C278" s="14"/>
      <c r="D278" s="40" t="s">
        <v>195</v>
      </c>
      <c r="E278" s="42"/>
      <c r="F278" s="42"/>
      <c r="G278" s="42" t="s">
        <v>82</v>
      </c>
      <c r="H278" s="10"/>
      <c r="I278" s="16"/>
      <c r="J278" s="9">
        <f>J275</f>
        <v>6.9</v>
      </c>
      <c r="K278" s="9">
        <f>2.5-2</f>
        <v>0.5</v>
      </c>
      <c r="L278" s="9"/>
      <c r="M278" s="9"/>
      <c r="N278" s="9"/>
      <c r="O278" s="9"/>
      <c r="P278" s="9"/>
      <c r="Q278" s="9"/>
      <c r="R278" s="9"/>
      <c r="S278" s="23">
        <f t="shared" si="5"/>
        <v>3.45</v>
      </c>
      <c r="T278" s="24"/>
      <c r="U278" s="8"/>
    </row>
    <row r="279" spans="1:21" x14ac:dyDescent="0.25">
      <c r="A279" s="12" t="s">
        <v>62</v>
      </c>
      <c r="B279" s="46" t="s">
        <v>44</v>
      </c>
      <c r="C279" s="14"/>
      <c r="D279" s="40"/>
      <c r="E279" s="42"/>
      <c r="F279" s="42" t="s">
        <v>84</v>
      </c>
      <c r="G279" s="42"/>
      <c r="H279" s="10"/>
      <c r="I279" s="16"/>
      <c r="J279" s="9">
        <f>4.095+2.155+0.25</f>
        <v>6.5</v>
      </c>
      <c r="K279" s="9">
        <v>2.75</v>
      </c>
      <c r="L279" s="9">
        <f>2.04*2</f>
        <v>4.08</v>
      </c>
      <c r="M279" s="9"/>
      <c r="N279" s="9"/>
      <c r="O279" s="9">
        <f>(0.25)*0.25</f>
        <v>6.25E-2</v>
      </c>
      <c r="P279" s="9"/>
      <c r="Q279" s="9"/>
      <c r="R279" s="9"/>
      <c r="S279" s="23">
        <f t="shared" si="5"/>
        <v>13.7325</v>
      </c>
      <c r="T279" s="24"/>
      <c r="U279" s="8"/>
    </row>
    <row r="280" spans="1:21" x14ac:dyDescent="0.25">
      <c r="A280" s="12" t="s">
        <v>62</v>
      </c>
      <c r="B280" s="46" t="s">
        <v>44</v>
      </c>
      <c r="C280" s="14"/>
      <c r="D280" s="40"/>
      <c r="E280" s="42"/>
      <c r="F280" s="42"/>
      <c r="G280" s="42" t="s">
        <v>82</v>
      </c>
      <c r="H280" s="10"/>
      <c r="I280" s="16"/>
      <c r="J280" s="9">
        <f>21.68-J279</f>
        <v>15.18</v>
      </c>
      <c r="K280" s="9">
        <v>2.75</v>
      </c>
      <c r="L280" s="9"/>
      <c r="M280" s="9">
        <f>1.1*2+1*2</f>
        <v>4.2</v>
      </c>
      <c r="N280" s="9"/>
      <c r="O280" s="9">
        <f>(1.76*2-0.25+1.94)*0.25</f>
        <v>1.3025</v>
      </c>
      <c r="P280" s="9"/>
      <c r="Q280" s="9"/>
      <c r="R280" s="9"/>
      <c r="S280" s="23">
        <f t="shared" si="5"/>
        <v>36.242499999999993</v>
      </c>
      <c r="T280" s="24"/>
      <c r="U280" s="8"/>
    </row>
    <row r="281" spans="1:21" x14ac:dyDescent="0.25">
      <c r="A281" s="12" t="s">
        <v>62</v>
      </c>
      <c r="B281" s="46" t="s">
        <v>45</v>
      </c>
      <c r="C281" s="14"/>
      <c r="D281" s="40" t="s">
        <v>195</v>
      </c>
      <c r="E281" s="42" t="s">
        <v>86</v>
      </c>
      <c r="F281" s="42"/>
      <c r="G281" s="42"/>
      <c r="H281" s="10"/>
      <c r="I281" s="16" t="s">
        <v>89</v>
      </c>
      <c r="J281" s="9">
        <f>1.9+2.5*2</f>
        <v>6.9</v>
      </c>
      <c r="K281" s="9">
        <v>2</v>
      </c>
      <c r="L281" s="9"/>
      <c r="M281" s="9">
        <f>1*2</f>
        <v>2</v>
      </c>
      <c r="N281" s="9"/>
      <c r="O281" s="9"/>
      <c r="P281" s="9"/>
      <c r="Q281" s="9"/>
      <c r="R281" s="9"/>
      <c r="S281" s="23">
        <f t="shared" si="5"/>
        <v>11.8</v>
      </c>
      <c r="T281" s="24"/>
      <c r="U281" s="8"/>
    </row>
    <row r="282" spans="1:21" x14ac:dyDescent="0.25">
      <c r="A282" s="12" t="s">
        <v>62</v>
      </c>
      <c r="B282" s="46" t="s">
        <v>45</v>
      </c>
      <c r="C282" s="14"/>
      <c r="D282" s="40" t="s">
        <v>195</v>
      </c>
      <c r="E282" s="42" t="s">
        <v>86</v>
      </c>
      <c r="F282" s="42"/>
      <c r="G282" s="42"/>
      <c r="H282" s="10"/>
      <c r="I282" s="16" t="s">
        <v>147</v>
      </c>
      <c r="J282" s="9">
        <v>1.9</v>
      </c>
      <c r="K282" s="9">
        <v>2</v>
      </c>
      <c r="L282" s="9"/>
      <c r="M282" s="9"/>
      <c r="N282" s="9"/>
      <c r="O282" s="9"/>
      <c r="P282" s="9"/>
      <c r="Q282" s="9"/>
      <c r="R282" s="9"/>
      <c r="S282" s="23">
        <f t="shared" si="5"/>
        <v>3.8</v>
      </c>
      <c r="T282" s="24"/>
      <c r="U282" s="8"/>
    </row>
    <row r="283" spans="1:21" x14ac:dyDescent="0.25">
      <c r="A283" s="12" t="s">
        <v>62</v>
      </c>
      <c r="B283" s="46" t="s">
        <v>45</v>
      </c>
      <c r="C283" s="14"/>
      <c r="D283" s="40" t="s">
        <v>195</v>
      </c>
      <c r="E283" s="42"/>
      <c r="F283" s="42" t="s">
        <v>84</v>
      </c>
      <c r="G283" s="42"/>
      <c r="H283" s="10"/>
      <c r="I283" s="16"/>
      <c r="J283" s="9">
        <f>J282</f>
        <v>1.9</v>
      </c>
      <c r="K283" s="9">
        <f>2.5-2</f>
        <v>0.5</v>
      </c>
      <c r="L283" s="9"/>
      <c r="M283" s="9"/>
      <c r="N283" s="9"/>
      <c r="O283" s="9"/>
      <c r="P283" s="9"/>
      <c r="Q283" s="9"/>
      <c r="R283" s="9"/>
      <c r="S283" s="23">
        <f t="shared" si="5"/>
        <v>0.95</v>
      </c>
      <c r="T283" s="24"/>
      <c r="U283" s="8"/>
    </row>
    <row r="284" spans="1:21" x14ac:dyDescent="0.25">
      <c r="A284" s="12" t="s">
        <v>62</v>
      </c>
      <c r="B284" s="46" t="s">
        <v>45</v>
      </c>
      <c r="C284" s="14"/>
      <c r="D284" s="40" t="s">
        <v>195</v>
      </c>
      <c r="E284" s="42"/>
      <c r="F284" s="42"/>
      <c r="G284" s="42" t="s">
        <v>82</v>
      </c>
      <c r="H284" s="10"/>
      <c r="I284" s="16"/>
      <c r="J284" s="9">
        <f>J281</f>
        <v>6.9</v>
      </c>
      <c r="K284" s="9">
        <f>2.5-2</f>
        <v>0.5</v>
      </c>
      <c r="L284" s="9"/>
      <c r="M284" s="9"/>
      <c r="N284" s="9"/>
      <c r="O284" s="9"/>
      <c r="P284" s="9"/>
      <c r="Q284" s="9"/>
      <c r="R284" s="9"/>
      <c r="S284" s="23">
        <f t="shared" si="5"/>
        <v>3.45</v>
      </c>
      <c r="T284" s="24"/>
      <c r="U284" s="8"/>
    </row>
    <row r="285" spans="1:21" x14ac:dyDescent="0.25">
      <c r="A285" s="12" t="s">
        <v>62</v>
      </c>
      <c r="B285" s="46" t="s">
        <v>46</v>
      </c>
      <c r="C285" s="14"/>
      <c r="D285" s="40"/>
      <c r="E285" s="42"/>
      <c r="F285" s="42" t="s">
        <v>84</v>
      </c>
      <c r="G285" s="42"/>
      <c r="H285" s="10"/>
      <c r="I285" s="16"/>
      <c r="J285" s="9">
        <f>4.095+2.155+0.25</f>
        <v>6.5</v>
      </c>
      <c r="K285" s="9">
        <v>2.75</v>
      </c>
      <c r="L285" s="9">
        <f>2.04*2</f>
        <v>4.08</v>
      </c>
      <c r="M285" s="9"/>
      <c r="N285" s="9"/>
      <c r="O285" s="9">
        <f>(0.25)*0.25</f>
        <v>6.25E-2</v>
      </c>
      <c r="P285" s="9"/>
      <c r="Q285" s="9"/>
      <c r="R285" s="9"/>
      <c r="S285" s="23">
        <f t="shared" si="5"/>
        <v>13.7325</v>
      </c>
      <c r="T285" s="24"/>
      <c r="U285" s="8"/>
    </row>
    <row r="286" spans="1:21" x14ac:dyDescent="0.25">
      <c r="A286" s="12" t="s">
        <v>62</v>
      </c>
      <c r="B286" s="46" t="s">
        <v>46</v>
      </c>
      <c r="C286" s="14"/>
      <c r="D286" s="40"/>
      <c r="E286" s="42"/>
      <c r="F286" s="42"/>
      <c r="G286" s="42" t="s">
        <v>82</v>
      </c>
      <c r="H286" s="10"/>
      <c r="I286" s="16"/>
      <c r="J286" s="9">
        <f>21.68-J285</f>
        <v>15.18</v>
      </c>
      <c r="K286" s="9">
        <v>2.75</v>
      </c>
      <c r="L286" s="9"/>
      <c r="M286" s="9">
        <f>1.1*2+1*2</f>
        <v>4.2</v>
      </c>
      <c r="N286" s="9"/>
      <c r="O286" s="9">
        <f>(1.76*2-0.25+1.94)*0.25</f>
        <v>1.3025</v>
      </c>
      <c r="P286" s="9"/>
      <c r="Q286" s="9"/>
      <c r="R286" s="9"/>
      <c r="S286" s="23">
        <f t="shared" si="5"/>
        <v>36.242499999999993</v>
      </c>
      <c r="T286" s="24"/>
      <c r="U286" s="8"/>
    </row>
    <row r="287" spans="1:21" x14ac:dyDescent="0.25">
      <c r="A287" s="12" t="s">
        <v>62</v>
      </c>
      <c r="B287" s="46" t="s">
        <v>51</v>
      </c>
      <c r="C287" s="14"/>
      <c r="D287" s="40" t="s">
        <v>195</v>
      </c>
      <c r="E287" s="42" t="s">
        <v>86</v>
      </c>
      <c r="F287" s="42"/>
      <c r="G287" s="42"/>
      <c r="H287" s="10"/>
      <c r="I287" s="16" t="s">
        <v>89</v>
      </c>
      <c r="J287" s="9">
        <f>1.9+2.5*2</f>
        <v>6.9</v>
      </c>
      <c r="K287" s="9">
        <v>2</v>
      </c>
      <c r="L287" s="9"/>
      <c r="M287" s="9">
        <f>1*2</f>
        <v>2</v>
      </c>
      <c r="N287" s="9"/>
      <c r="O287" s="9"/>
      <c r="P287" s="9"/>
      <c r="Q287" s="9"/>
      <c r="R287" s="9"/>
      <c r="S287" s="23">
        <f t="shared" si="5"/>
        <v>11.8</v>
      </c>
      <c r="T287" s="24"/>
      <c r="U287" s="8"/>
    </row>
    <row r="288" spans="1:21" x14ac:dyDescent="0.25">
      <c r="A288" s="12" t="s">
        <v>62</v>
      </c>
      <c r="B288" s="46" t="s">
        <v>51</v>
      </c>
      <c r="C288" s="14"/>
      <c r="D288" s="40" t="s">
        <v>195</v>
      </c>
      <c r="E288" s="42" t="s">
        <v>86</v>
      </c>
      <c r="F288" s="42"/>
      <c r="G288" s="42"/>
      <c r="H288" s="10"/>
      <c r="I288" s="16" t="s">
        <v>147</v>
      </c>
      <c r="J288" s="9">
        <v>1.9</v>
      </c>
      <c r="K288" s="9">
        <v>2</v>
      </c>
      <c r="L288" s="9"/>
      <c r="M288" s="9"/>
      <c r="N288" s="9"/>
      <c r="O288" s="9"/>
      <c r="P288" s="9"/>
      <c r="Q288" s="9"/>
      <c r="R288" s="9"/>
      <c r="S288" s="23">
        <f t="shared" si="5"/>
        <v>3.8</v>
      </c>
      <c r="T288" s="24"/>
      <c r="U288" s="8"/>
    </row>
    <row r="289" spans="1:21" x14ac:dyDescent="0.25">
      <c r="A289" s="12" t="s">
        <v>62</v>
      </c>
      <c r="B289" s="46" t="s">
        <v>51</v>
      </c>
      <c r="C289" s="14"/>
      <c r="D289" s="40" t="s">
        <v>195</v>
      </c>
      <c r="E289" s="42"/>
      <c r="F289" s="42" t="s">
        <v>84</v>
      </c>
      <c r="G289" s="42"/>
      <c r="H289" s="10"/>
      <c r="I289" s="16"/>
      <c r="J289" s="9">
        <f>J288</f>
        <v>1.9</v>
      </c>
      <c r="K289" s="9">
        <f>2.5-2</f>
        <v>0.5</v>
      </c>
      <c r="L289" s="9"/>
      <c r="M289" s="9"/>
      <c r="N289" s="9"/>
      <c r="O289" s="9"/>
      <c r="P289" s="9"/>
      <c r="Q289" s="9"/>
      <c r="R289" s="9"/>
      <c r="S289" s="23">
        <f t="shared" si="5"/>
        <v>0.95</v>
      </c>
      <c r="T289" s="24"/>
      <c r="U289" s="8"/>
    </row>
    <row r="290" spans="1:21" x14ac:dyDescent="0.25">
      <c r="A290" s="12" t="s">
        <v>62</v>
      </c>
      <c r="B290" s="46" t="s">
        <v>51</v>
      </c>
      <c r="C290" s="14"/>
      <c r="D290" s="40" t="s">
        <v>195</v>
      </c>
      <c r="E290" s="42"/>
      <c r="F290" s="42"/>
      <c r="G290" s="42" t="s">
        <v>82</v>
      </c>
      <c r="H290" s="10"/>
      <c r="I290" s="16"/>
      <c r="J290" s="9">
        <f>J287</f>
        <v>6.9</v>
      </c>
      <c r="K290" s="9">
        <f>2.5-2</f>
        <v>0.5</v>
      </c>
      <c r="L290" s="9"/>
      <c r="M290" s="9"/>
      <c r="N290" s="9"/>
      <c r="O290" s="9"/>
      <c r="P290" s="9"/>
      <c r="Q290" s="9"/>
      <c r="R290" s="9"/>
      <c r="S290" s="23">
        <f t="shared" si="5"/>
        <v>3.45</v>
      </c>
      <c r="T290" s="24"/>
      <c r="U290" s="8"/>
    </row>
    <row r="291" spans="1:21" x14ac:dyDescent="0.25">
      <c r="A291" s="12" t="s">
        <v>62</v>
      </c>
      <c r="B291" s="46" t="s">
        <v>52</v>
      </c>
      <c r="C291" s="14"/>
      <c r="D291" s="40"/>
      <c r="E291" s="42"/>
      <c r="F291" s="42" t="s">
        <v>84</v>
      </c>
      <c r="G291" s="42"/>
      <c r="H291" s="10"/>
      <c r="I291" s="16"/>
      <c r="J291" s="9">
        <f>4.095+2.155+0.25</f>
        <v>6.5</v>
      </c>
      <c r="K291" s="9">
        <v>2.75</v>
      </c>
      <c r="L291" s="9">
        <f>2.04*2</f>
        <v>4.08</v>
      </c>
      <c r="M291" s="9"/>
      <c r="N291" s="9"/>
      <c r="O291" s="9">
        <f>(0.25)*0.25</f>
        <v>6.25E-2</v>
      </c>
      <c r="P291" s="9"/>
      <c r="Q291" s="9"/>
      <c r="R291" s="9"/>
      <c r="S291" s="23">
        <f t="shared" si="5"/>
        <v>13.7325</v>
      </c>
      <c r="T291" s="24"/>
      <c r="U291" s="8"/>
    </row>
    <row r="292" spans="1:21" x14ac:dyDescent="0.25">
      <c r="A292" s="12" t="s">
        <v>62</v>
      </c>
      <c r="B292" s="46" t="s">
        <v>52</v>
      </c>
      <c r="C292" s="14"/>
      <c r="D292" s="40"/>
      <c r="E292" s="42"/>
      <c r="F292" s="42"/>
      <c r="G292" s="42" t="s">
        <v>82</v>
      </c>
      <c r="H292" s="10"/>
      <c r="I292" s="16"/>
      <c r="J292" s="9">
        <f>21.68-J291</f>
        <v>15.18</v>
      </c>
      <c r="K292" s="9">
        <v>2.75</v>
      </c>
      <c r="L292" s="9"/>
      <c r="M292" s="9">
        <f>1.1*2+1*2</f>
        <v>4.2</v>
      </c>
      <c r="N292" s="9"/>
      <c r="O292" s="9">
        <f>(1.76*2-0.25+1.94)*0.25</f>
        <v>1.3025</v>
      </c>
      <c r="P292" s="9"/>
      <c r="Q292" s="9"/>
      <c r="R292" s="9"/>
      <c r="S292" s="23">
        <f t="shared" si="5"/>
        <v>36.242499999999993</v>
      </c>
      <c r="T292" s="24"/>
      <c r="U292" s="8"/>
    </row>
    <row r="293" spans="1:21" x14ac:dyDescent="0.25">
      <c r="A293" s="12" t="s">
        <v>62</v>
      </c>
      <c r="B293" s="46" t="s">
        <v>53</v>
      </c>
      <c r="C293" s="14"/>
      <c r="D293" s="40" t="s">
        <v>195</v>
      </c>
      <c r="E293" s="42" t="s">
        <v>86</v>
      </c>
      <c r="F293" s="42"/>
      <c r="G293" s="42"/>
      <c r="H293" s="10"/>
      <c r="I293" s="16" t="s">
        <v>89</v>
      </c>
      <c r="J293" s="9">
        <f>1.9+2.5*2</f>
        <v>6.9</v>
      </c>
      <c r="K293" s="9">
        <v>2</v>
      </c>
      <c r="L293" s="9"/>
      <c r="M293" s="9">
        <f>1*2</f>
        <v>2</v>
      </c>
      <c r="N293" s="9"/>
      <c r="O293" s="9"/>
      <c r="P293" s="9"/>
      <c r="Q293" s="9"/>
      <c r="R293" s="9"/>
      <c r="S293" s="23">
        <f t="shared" si="5"/>
        <v>11.8</v>
      </c>
      <c r="T293" s="24"/>
      <c r="U293" s="8"/>
    </row>
    <row r="294" spans="1:21" x14ac:dyDescent="0.25">
      <c r="A294" s="12" t="s">
        <v>62</v>
      </c>
      <c r="B294" s="46" t="s">
        <v>53</v>
      </c>
      <c r="C294" s="14"/>
      <c r="D294" s="40" t="s">
        <v>195</v>
      </c>
      <c r="E294" s="42" t="s">
        <v>86</v>
      </c>
      <c r="F294" s="42"/>
      <c r="G294" s="42"/>
      <c r="H294" s="10"/>
      <c r="I294" s="16" t="s">
        <v>147</v>
      </c>
      <c r="J294" s="9">
        <v>1.9</v>
      </c>
      <c r="K294" s="9">
        <v>2</v>
      </c>
      <c r="L294" s="9"/>
      <c r="M294" s="9"/>
      <c r="N294" s="9"/>
      <c r="O294" s="9"/>
      <c r="P294" s="9"/>
      <c r="Q294" s="9"/>
      <c r="R294" s="9"/>
      <c r="S294" s="23">
        <f t="shared" si="5"/>
        <v>3.8</v>
      </c>
      <c r="T294" s="24"/>
      <c r="U294" s="8"/>
    </row>
    <row r="295" spans="1:21" x14ac:dyDescent="0.25">
      <c r="A295" s="12" t="s">
        <v>62</v>
      </c>
      <c r="B295" s="46" t="s">
        <v>53</v>
      </c>
      <c r="C295" s="14"/>
      <c r="D295" s="40" t="s">
        <v>195</v>
      </c>
      <c r="E295" s="42"/>
      <c r="F295" s="42" t="s">
        <v>84</v>
      </c>
      <c r="G295" s="42"/>
      <c r="H295" s="10"/>
      <c r="I295" s="16"/>
      <c r="J295" s="9">
        <f>J294</f>
        <v>1.9</v>
      </c>
      <c r="K295" s="9">
        <f>2.5-2</f>
        <v>0.5</v>
      </c>
      <c r="L295" s="9"/>
      <c r="M295" s="9"/>
      <c r="N295" s="9"/>
      <c r="O295" s="9"/>
      <c r="P295" s="9"/>
      <c r="Q295" s="9"/>
      <c r="R295" s="9"/>
      <c r="S295" s="23">
        <f t="shared" si="5"/>
        <v>0.95</v>
      </c>
      <c r="T295" s="24"/>
      <c r="U295" s="8"/>
    </row>
    <row r="296" spans="1:21" x14ac:dyDescent="0.25">
      <c r="A296" s="12" t="s">
        <v>62</v>
      </c>
      <c r="B296" s="46" t="s">
        <v>53</v>
      </c>
      <c r="C296" s="14"/>
      <c r="D296" s="40" t="s">
        <v>195</v>
      </c>
      <c r="E296" s="42"/>
      <c r="F296" s="42"/>
      <c r="G296" s="42" t="s">
        <v>82</v>
      </c>
      <c r="H296" s="10"/>
      <c r="I296" s="16"/>
      <c r="J296" s="9">
        <f>J293</f>
        <v>6.9</v>
      </c>
      <c r="K296" s="9">
        <f>2.5-2</f>
        <v>0.5</v>
      </c>
      <c r="L296" s="9"/>
      <c r="M296" s="9"/>
      <c r="N296" s="9"/>
      <c r="O296" s="9"/>
      <c r="P296" s="9"/>
      <c r="Q296" s="9"/>
      <c r="R296" s="9"/>
      <c r="S296" s="23">
        <f t="shared" si="5"/>
        <v>3.45</v>
      </c>
      <c r="T296" s="24"/>
      <c r="U296" s="8"/>
    </row>
    <row r="297" spans="1:21" x14ac:dyDescent="0.25">
      <c r="A297" s="12" t="s">
        <v>62</v>
      </c>
      <c r="B297" s="46" t="s">
        <v>54</v>
      </c>
      <c r="C297" s="14"/>
      <c r="D297" s="40"/>
      <c r="E297" s="42"/>
      <c r="F297" s="42" t="s">
        <v>84</v>
      </c>
      <c r="G297" s="42"/>
      <c r="H297" s="10"/>
      <c r="I297" s="16"/>
      <c r="J297" s="9">
        <f>4.645+2.185+0.25</f>
        <v>7.08</v>
      </c>
      <c r="K297" s="9">
        <v>2.75</v>
      </c>
      <c r="L297" s="9">
        <f>2.04*2</f>
        <v>4.08</v>
      </c>
      <c r="M297" s="9"/>
      <c r="N297" s="9"/>
      <c r="O297" s="9">
        <f>(0.25)*0.25</f>
        <v>6.25E-2</v>
      </c>
      <c r="P297" s="9"/>
      <c r="Q297" s="9"/>
      <c r="R297" s="9"/>
      <c r="S297" s="23">
        <f t="shared" si="5"/>
        <v>15.327499999999999</v>
      </c>
      <c r="T297" s="24"/>
      <c r="U297" s="8"/>
    </row>
    <row r="298" spans="1:21" x14ac:dyDescent="0.25">
      <c r="A298" s="12" t="s">
        <v>62</v>
      </c>
      <c r="B298" s="46" t="s">
        <v>54</v>
      </c>
      <c r="C298" s="14"/>
      <c r="D298" s="40"/>
      <c r="E298" s="42"/>
      <c r="F298" s="42"/>
      <c r="G298" s="42" t="s">
        <v>82</v>
      </c>
      <c r="H298" s="10"/>
      <c r="I298" s="16"/>
      <c r="J298" s="9">
        <f>22.78-J297</f>
        <v>15.700000000000001</v>
      </c>
      <c r="K298" s="9">
        <v>2.75</v>
      </c>
      <c r="L298" s="9"/>
      <c r="M298" s="9">
        <f>1.1*2+1*2</f>
        <v>4.2</v>
      </c>
      <c r="N298" s="9"/>
      <c r="O298" s="9">
        <f>(1.76*2-0.25+1.95)*0.25</f>
        <v>1.3049999999999999</v>
      </c>
      <c r="P298" s="9"/>
      <c r="Q298" s="9"/>
      <c r="R298" s="9"/>
      <c r="S298" s="23">
        <f t="shared" si="5"/>
        <v>37.67</v>
      </c>
      <c r="T298" s="24"/>
      <c r="U298" s="8"/>
    </row>
    <row r="299" spans="1:21" x14ac:dyDescent="0.25">
      <c r="A299" s="12" t="s">
        <v>62</v>
      </c>
      <c r="B299" s="46" t="s">
        <v>55</v>
      </c>
      <c r="C299" s="14"/>
      <c r="D299" s="40" t="s">
        <v>195</v>
      </c>
      <c r="E299" s="42" t="s">
        <v>86</v>
      </c>
      <c r="F299" s="42"/>
      <c r="G299" s="42"/>
      <c r="H299" s="10"/>
      <c r="I299" s="16" t="s">
        <v>89</v>
      </c>
      <c r="J299" s="9">
        <f>1.9+2.5*2</f>
        <v>6.9</v>
      </c>
      <c r="K299" s="9">
        <v>2</v>
      </c>
      <c r="L299" s="9"/>
      <c r="M299" s="9">
        <f>1*2</f>
        <v>2</v>
      </c>
      <c r="N299" s="9"/>
      <c r="O299" s="9"/>
      <c r="P299" s="9"/>
      <c r="Q299" s="9"/>
      <c r="R299" s="9"/>
      <c r="S299" s="23">
        <f t="shared" si="5"/>
        <v>11.8</v>
      </c>
      <c r="T299" s="24"/>
      <c r="U299" s="8"/>
    </row>
    <row r="300" spans="1:21" x14ac:dyDescent="0.25">
      <c r="A300" s="12" t="s">
        <v>62</v>
      </c>
      <c r="B300" s="46" t="s">
        <v>55</v>
      </c>
      <c r="C300" s="14"/>
      <c r="D300" s="40" t="s">
        <v>195</v>
      </c>
      <c r="E300" s="42" t="s">
        <v>86</v>
      </c>
      <c r="F300" s="42"/>
      <c r="G300" s="42"/>
      <c r="H300" s="10"/>
      <c r="I300" s="16" t="s">
        <v>147</v>
      </c>
      <c r="J300" s="9">
        <v>1.9</v>
      </c>
      <c r="K300" s="9">
        <v>2</v>
      </c>
      <c r="L300" s="9"/>
      <c r="M300" s="9"/>
      <c r="N300" s="9"/>
      <c r="O300" s="9"/>
      <c r="P300" s="9"/>
      <c r="Q300" s="9"/>
      <c r="R300" s="9"/>
      <c r="S300" s="23">
        <f t="shared" si="5"/>
        <v>3.8</v>
      </c>
      <c r="T300" s="24"/>
      <c r="U300" s="8"/>
    </row>
    <row r="301" spans="1:21" x14ac:dyDescent="0.25">
      <c r="A301" s="12" t="s">
        <v>62</v>
      </c>
      <c r="B301" s="46" t="s">
        <v>55</v>
      </c>
      <c r="C301" s="14"/>
      <c r="D301" s="40" t="s">
        <v>195</v>
      </c>
      <c r="E301" s="42"/>
      <c r="F301" s="42" t="s">
        <v>84</v>
      </c>
      <c r="G301" s="42"/>
      <c r="H301" s="10"/>
      <c r="I301" s="16"/>
      <c r="J301" s="9">
        <f>J300</f>
        <v>1.9</v>
      </c>
      <c r="K301" s="9">
        <f>2.5-2</f>
        <v>0.5</v>
      </c>
      <c r="L301" s="9"/>
      <c r="M301" s="9"/>
      <c r="N301" s="9"/>
      <c r="O301" s="9"/>
      <c r="P301" s="9"/>
      <c r="Q301" s="9"/>
      <c r="R301" s="9"/>
      <c r="S301" s="23">
        <f t="shared" si="5"/>
        <v>0.95</v>
      </c>
      <c r="T301" s="24"/>
      <c r="U301" s="8"/>
    </row>
    <row r="302" spans="1:21" x14ac:dyDescent="0.25">
      <c r="A302" s="12" t="s">
        <v>62</v>
      </c>
      <c r="B302" s="46" t="s">
        <v>55</v>
      </c>
      <c r="C302" s="14"/>
      <c r="D302" s="40" t="s">
        <v>195</v>
      </c>
      <c r="E302" s="42"/>
      <c r="F302" s="42"/>
      <c r="G302" s="42" t="s">
        <v>82</v>
      </c>
      <c r="H302" s="10"/>
      <c r="I302" s="16"/>
      <c r="J302" s="9">
        <f>J299</f>
        <v>6.9</v>
      </c>
      <c r="K302" s="9">
        <f>2.5-2</f>
        <v>0.5</v>
      </c>
      <c r="L302" s="9"/>
      <c r="M302" s="9"/>
      <c r="N302" s="9"/>
      <c r="O302" s="9"/>
      <c r="P302" s="9"/>
      <c r="Q302" s="9"/>
      <c r="R302" s="9"/>
      <c r="S302" s="23">
        <f t="shared" si="5"/>
        <v>3.45</v>
      </c>
      <c r="T302" s="24"/>
      <c r="U302" s="8"/>
    </row>
    <row r="303" spans="1:21" x14ac:dyDescent="0.25">
      <c r="A303" s="12" t="s">
        <v>62</v>
      </c>
      <c r="B303" s="46" t="s">
        <v>56</v>
      </c>
      <c r="C303" s="14"/>
      <c r="D303" s="40"/>
      <c r="E303" s="42"/>
      <c r="F303" s="42"/>
      <c r="G303" s="42" t="s">
        <v>82</v>
      </c>
      <c r="H303" s="10"/>
      <c r="I303" s="16"/>
      <c r="J303" s="9">
        <f>18.89-J304-J305</f>
        <v>15.790000000000001</v>
      </c>
      <c r="K303" s="9">
        <v>2.75</v>
      </c>
      <c r="L303" s="9"/>
      <c r="M303" s="9">
        <f>1.55*2+1.3*2.425+1.1*2</f>
        <v>8.4525000000000006</v>
      </c>
      <c r="N303" s="9"/>
      <c r="O303" s="9"/>
      <c r="P303" s="9"/>
      <c r="Q303" s="9"/>
      <c r="R303" s="9"/>
      <c r="S303" s="23">
        <f t="shared" si="5"/>
        <v>34.97</v>
      </c>
      <c r="T303" s="24"/>
      <c r="U303" s="8"/>
    </row>
    <row r="304" spans="1:21" x14ac:dyDescent="0.25">
      <c r="A304" s="12" t="s">
        <v>62</v>
      </c>
      <c r="B304" s="46" t="s">
        <v>56</v>
      </c>
      <c r="C304" s="14"/>
      <c r="D304" s="40"/>
      <c r="E304" s="42"/>
      <c r="F304" s="42" t="s">
        <v>84</v>
      </c>
      <c r="G304" s="42"/>
      <c r="H304" s="10"/>
      <c r="I304" s="16"/>
      <c r="J304" s="9">
        <f>2.7+0.2</f>
        <v>2.9000000000000004</v>
      </c>
      <c r="K304" s="9">
        <v>2.75</v>
      </c>
      <c r="L304" s="9"/>
      <c r="M304" s="9">
        <f>2.5*2.5</f>
        <v>6.25</v>
      </c>
      <c r="N304" s="9"/>
      <c r="O304" s="9"/>
      <c r="P304" s="9"/>
      <c r="Q304" s="9"/>
      <c r="R304" s="9"/>
      <c r="S304" s="23">
        <f t="shared" si="5"/>
        <v>1.7250000000000014</v>
      </c>
      <c r="T304" s="24"/>
      <c r="U304" s="8"/>
    </row>
    <row r="305" spans="1:21" x14ac:dyDescent="0.25">
      <c r="A305" s="12" t="s">
        <v>62</v>
      </c>
      <c r="B305" s="46" t="s">
        <v>56</v>
      </c>
      <c r="C305" s="14"/>
      <c r="D305" s="40"/>
      <c r="E305" s="42"/>
      <c r="F305" s="42" t="s">
        <v>85</v>
      </c>
      <c r="G305" s="42"/>
      <c r="H305" s="10"/>
      <c r="I305" s="16"/>
      <c r="J305" s="9">
        <v>0.2</v>
      </c>
      <c r="K305" s="9">
        <v>2.75</v>
      </c>
      <c r="L305" s="9"/>
      <c r="M305" s="9"/>
      <c r="N305" s="9"/>
      <c r="O305" s="9"/>
      <c r="P305" s="9"/>
      <c r="Q305" s="9"/>
      <c r="R305" s="9"/>
      <c r="S305" s="23">
        <f t="shared" si="5"/>
        <v>0.55000000000000004</v>
      </c>
      <c r="T305" s="24"/>
      <c r="U305" s="8"/>
    </row>
    <row r="306" spans="1:21" x14ac:dyDescent="0.25">
      <c r="A306" s="12" t="s">
        <v>62</v>
      </c>
      <c r="B306" s="46" t="s">
        <v>57</v>
      </c>
      <c r="C306" s="14"/>
      <c r="D306" s="40"/>
      <c r="E306" s="42"/>
      <c r="F306" s="42" t="s">
        <v>84</v>
      </c>
      <c r="G306" s="42"/>
      <c r="H306" s="10"/>
      <c r="I306" s="16"/>
      <c r="J306" s="9">
        <f>25.33-J307</f>
        <v>20.13</v>
      </c>
      <c r="K306" s="9">
        <v>2.75</v>
      </c>
      <c r="L306" s="9">
        <f>2.04*2+0.54*2.5</f>
        <v>5.43</v>
      </c>
      <c r="M306" s="9"/>
      <c r="N306" s="9"/>
      <c r="O306" s="9">
        <f>(1.76+0.25)*0.25</f>
        <v>0.50249999999999995</v>
      </c>
      <c r="P306" s="9"/>
      <c r="Q306" s="9"/>
      <c r="R306" s="9"/>
      <c r="S306" s="23">
        <f t="shared" si="5"/>
        <v>49.424999999999997</v>
      </c>
      <c r="T306" s="24"/>
      <c r="U306" s="8"/>
    </row>
    <row r="307" spans="1:21" x14ac:dyDescent="0.25">
      <c r="A307" s="12" t="s">
        <v>62</v>
      </c>
      <c r="B307" s="46" t="s">
        <v>57</v>
      </c>
      <c r="C307" s="14"/>
      <c r="D307" s="40"/>
      <c r="E307" s="42"/>
      <c r="F307" s="42"/>
      <c r="G307" s="42" t="s">
        <v>82</v>
      </c>
      <c r="H307" s="10"/>
      <c r="I307" s="16"/>
      <c r="J307" s="9">
        <f>2.14+1.56+1.5</f>
        <v>5.2</v>
      </c>
      <c r="K307" s="9">
        <v>2.75</v>
      </c>
      <c r="L307" s="9"/>
      <c r="M307" s="9">
        <f>1.1*2+1*2</f>
        <v>4.2</v>
      </c>
      <c r="N307" s="9"/>
      <c r="O307" s="9">
        <f>(1.56+1.5)*0.25</f>
        <v>0.76500000000000001</v>
      </c>
      <c r="P307" s="9"/>
      <c r="Q307" s="9"/>
      <c r="R307" s="9"/>
      <c r="S307" s="23">
        <f t="shared" si="5"/>
        <v>9.3350000000000009</v>
      </c>
      <c r="T307" s="24"/>
      <c r="U307" s="8"/>
    </row>
    <row r="308" spans="1:21" x14ac:dyDescent="0.25">
      <c r="A308" s="12" t="s">
        <v>62</v>
      </c>
      <c r="B308" s="46" t="s">
        <v>58</v>
      </c>
      <c r="C308" s="14"/>
      <c r="D308" s="40" t="s">
        <v>195</v>
      </c>
      <c r="E308" s="42" t="s">
        <v>86</v>
      </c>
      <c r="F308" s="42"/>
      <c r="G308" s="42"/>
      <c r="H308" s="10"/>
      <c r="I308" s="16" t="s">
        <v>89</v>
      </c>
      <c r="J308" s="9">
        <f>1.9+2.5*2</f>
        <v>6.9</v>
      </c>
      <c r="K308" s="9">
        <v>2</v>
      </c>
      <c r="L308" s="9"/>
      <c r="M308" s="9">
        <f>1*2</f>
        <v>2</v>
      </c>
      <c r="N308" s="9"/>
      <c r="O308" s="9"/>
      <c r="P308" s="9"/>
      <c r="Q308" s="9"/>
      <c r="R308" s="9"/>
      <c r="S308" s="23">
        <f t="shared" si="5"/>
        <v>11.8</v>
      </c>
      <c r="T308" s="24"/>
      <c r="U308" s="8"/>
    </row>
    <row r="309" spans="1:21" x14ac:dyDescent="0.25">
      <c r="A309" s="12" t="s">
        <v>62</v>
      </c>
      <c r="B309" s="46" t="s">
        <v>58</v>
      </c>
      <c r="C309" s="14"/>
      <c r="D309" s="40" t="s">
        <v>195</v>
      </c>
      <c r="E309" s="42" t="s">
        <v>86</v>
      </c>
      <c r="F309" s="42"/>
      <c r="G309" s="42"/>
      <c r="H309" s="10"/>
      <c r="I309" s="16" t="s">
        <v>147</v>
      </c>
      <c r="J309" s="9">
        <v>1.9</v>
      </c>
      <c r="K309" s="9">
        <v>2</v>
      </c>
      <c r="L309" s="9"/>
      <c r="M309" s="9"/>
      <c r="N309" s="9"/>
      <c r="O309" s="9"/>
      <c r="P309" s="9"/>
      <c r="Q309" s="9"/>
      <c r="R309" s="9"/>
      <c r="S309" s="23">
        <f t="shared" si="5"/>
        <v>3.8</v>
      </c>
      <c r="T309" s="24"/>
      <c r="U309" s="8"/>
    </row>
    <row r="310" spans="1:21" x14ac:dyDescent="0.25">
      <c r="A310" s="12" t="s">
        <v>62</v>
      </c>
      <c r="B310" s="46" t="s">
        <v>58</v>
      </c>
      <c r="C310" s="14"/>
      <c r="D310" s="40" t="s">
        <v>195</v>
      </c>
      <c r="E310" s="42"/>
      <c r="F310" s="42" t="s">
        <v>84</v>
      </c>
      <c r="G310" s="42"/>
      <c r="H310" s="10"/>
      <c r="I310" s="16"/>
      <c r="J310" s="9">
        <f>J309</f>
        <v>1.9</v>
      </c>
      <c r="K310" s="9">
        <f>2.5-2</f>
        <v>0.5</v>
      </c>
      <c r="L310" s="9"/>
      <c r="M310" s="9"/>
      <c r="N310" s="9"/>
      <c r="O310" s="9"/>
      <c r="P310" s="9"/>
      <c r="Q310" s="9"/>
      <c r="R310" s="9"/>
      <c r="S310" s="23">
        <f t="shared" si="5"/>
        <v>0.95</v>
      </c>
      <c r="T310" s="24"/>
      <c r="U310" s="8"/>
    </row>
    <row r="311" spans="1:21" x14ac:dyDescent="0.25">
      <c r="A311" s="12" t="s">
        <v>62</v>
      </c>
      <c r="B311" s="46" t="s">
        <v>58</v>
      </c>
      <c r="C311" s="14"/>
      <c r="D311" s="40" t="s">
        <v>195</v>
      </c>
      <c r="E311" s="42"/>
      <c r="F311" s="42"/>
      <c r="G311" s="42" t="s">
        <v>82</v>
      </c>
      <c r="H311" s="10"/>
      <c r="I311" s="16"/>
      <c r="J311" s="9">
        <f>J308</f>
        <v>6.9</v>
      </c>
      <c r="K311" s="9">
        <f>2.5-2</f>
        <v>0.5</v>
      </c>
      <c r="L311" s="9"/>
      <c r="M311" s="9"/>
      <c r="N311" s="9"/>
      <c r="O311" s="9"/>
      <c r="P311" s="9"/>
      <c r="Q311" s="9"/>
      <c r="R311" s="9"/>
      <c r="S311" s="23">
        <f t="shared" si="5"/>
        <v>3.45</v>
      </c>
      <c r="T311" s="24"/>
      <c r="U311" s="8"/>
    </row>
    <row r="312" spans="1:21" x14ac:dyDescent="0.25">
      <c r="A312" s="12" t="s">
        <v>62</v>
      </c>
      <c r="B312" s="46" t="s">
        <v>59</v>
      </c>
      <c r="C312" s="14"/>
      <c r="D312" s="40"/>
      <c r="E312" s="42"/>
      <c r="F312" s="42" t="s">
        <v>84</v>
      </c>
      <c r="G312" s="42"/>
      <c r="H312" s="10"/>
      <c r="I312" s="16"/>
      <c r="J312" s="9">
        <f>4.095+2.155+0.25</f>
        <v>6.5</v>
      </c>
      <c r="K312" s="9">
        <v>2.75</v>
      </c>
      <c r="L312" s="9">
        <f>2.04*2</f>
        <v>4.08</v>
      </c>
      <c r="M312" s="9"/>
      <c r="N312" s="9"/>
      <c r="O312" s="9">
        <f>(0.25)*0.25</f>
        <v>6.25E-2</v>
      </c>
      <c r="P312" s="9"/>
      <c r="Q312" s="9"/>
      <c r="R312" s="9"/>
      <c r="S312" s="23">
        <f t="shared" si="5"/>
        <v>13.7325</v>
      </c>
      <c r="T312" s="24"/>
      <c r="U312" s="8"/>
    </row>
    <row r="313" spans="1:21" x14ac:dyDescent="0.25">
      <c r="A313" s="12" t="s">
        <v>62</v>
      </c>
      <c r="B313" s="46" t="s">
        <v>59</v>
      </c>
      <c r="C313" s="14"/>
      <c r="D313" s="40"/>
      <c r="E313" s="42"/>
      <c r="F313" s="42"/>
      <c r="G313" s="42" t="s">
        <v>82</v>
      </c>
      <c r="H313" s="10"/>
      <c r="I313" s="16"/>
      <c r="J313" s="9">
        <f>21.68-J312</f>
        <v>15.18</v>
      </c>
      <c r="K313" s="9">
        <v>2.75</v>
      </c>
      <c r="L313" s="9"/>
      <c r="M313" s="9">
        <f>1.1*2+1*2</f>
        <v>4.2</v>
      </c>
      <c r="N313" s="9"/>
      <c r="O313" s="9">
        <f>(1.76*2-0.25+1.94)*0.25</f>
        <v>1.3025</v>
      </c>
      <c r="P313" s="9"/>
      <c r="Q313" s="9"/>
      <c r="R313" s="9"/>
      <c r="S313" s="23">
        <f t="shared" si="5"/>
        <v>36.242499999999993</v>
      </c>
      <c r="T313" s="24"/>
      <c r="U313" s="8"/>
    </row>
    <row r="314" spans="1:21" x14ac:dyDescent="0.25">
      <c r="A314" s="12" t="s">
        <v>62</v>
      </c>
      <c r="B314" s="46" t="s">
        <v>60</v>
      </c>
      <c r="C314" s="14"/>
      <c r="D314" s="40" t="s">
        <v>195</v>
      </c>
      <c r="E314" s="42" t="s">
        <v>86</v>
      </c>
      <c r="F314" s="42"/>
      <c r="G314" s="42"/>
      <c r="H314" s="10"/>
      <c r="I314" s="16" t="s">
        <v>89</v>
      </c>
      <c r="J314" s="9">
        <f>1.9+2.5*2</f>
        <v>6.9</v>
      </c>
      <c r="K314" s="9">
        <v>2</v>
      </c>
      <c r="L314" s="9"/>
      <c r="M314" s="9">
        <f>1*2</f>
        <v>2</v>
      </c>
      <c r="N314" s="9"/>
      <c r="O314" s="9"/>
      <c r="P314" s="9"/>
      <c r="Q314" s="9"/>
      <c r="R314" s="9"/>
      <c r="S314" s="23">
        <f t="shared" si="5"/>
        <v>11.8</v>
      </c>
      <c r="T314" s="24"/>
      <c r="U314" s="8"/>
    </row>
    <row r="315" spans="1:21" x14ac:dyDescent="0.25">
      <c r="A315" s="12" t="s">
        <v>62</v>
      </c>
      <c r="B315" s="46" t="s">
        <v>60</v>
      </c>
      <c r="C315" s="14"/>
      <c r="D315" s="40" t="s">
        <v>195</v>
      </c>
      <c r="E315" s="42" t="s">
        <v>86</v>
      </c>
      <c r="F315" s="42"/>
      <c r="G315" s="42"/>
      <c r="H315" s="10"/>
      <c r="I315" s="16" t="s">
        <v>147</v>
      </c>
      <c r="J315" s="9">
        <v>1.9</v>
      </c>
      <c r="K315" s="9">
        <v>2</v>
      </c>
      <c r="L315" s="9"/>
      <c r="M315" s="9"/>
      <c r="N315" s="9"/>
      <c r="O315" s="9"/>
      <c r="P315" s="9"/>
      <c r="Q315" s="9"/>
      <c r="R315" s="9"/>
      <c r="S315" s="23">
        <f t="shared" si="5"/>
        <v>3.8</v>
      </c>
      <c r="T315" s="24"/>
      <c r="U315" s="8"/>
    </row>
    <row r="316" spans="1:21" x14ac:dyDescent="0.25">
      <c r="A316" s="12" t="s">
        <v>62</v>
      </c>
      <c r="B316" s="46" t="s">
        <v>60</v>
      </c>
      <c r="C316" s="14"/>
      <c r="D316" s="40" t="s">
        <v>195</v>
      </c>
      <c r="E316" s="42"/>
      <c r="F316" s="42" t="s">
        <v>84</v>
      </c>
      <c r="G316" s="42"/>
      <c r="H316" s="10"/>
      <c r="I316" s="16"/>
      <c r="J316" s="9">
        <f>J315</f>
        <v>1.9</v>
      </c>
      <c r="K316" s="9">
        <f>2.5-2</f>
        <v>0.5</v>
      </c>
      <c r="L316" s="9"/>
      <c r="M316" s="9"/>
      <c r="N316" s="9"/>
      <c r="O316" s="9"/>
      <c r="P316" s="9"/>
      <c r="Q316" s="9"/>
      <c r="R316" s="9"/>
      <c r="S316" s="23">
        <f t="shared" si="5"/>
        <v>0.95</v>
      </c>
      <c r="T316" s="24"/>
      <c r="U316" s="8"/>
    </row>
    <row r="317" spans="1:21" x14ac:dyDescent="0.25">
      <c r="A317" s="12" t="s">
        <v>62</v>
      </c>
      <c r="B317" s="46" t="s">
        <v>60</v>
      </c>
      <c r="C317" s="14"/>
      <c r="D317" s="40" t="s">
        <v>195</v>
      </c>
      <c r="E317" s="42"/>
      <c r="F317" s="42"/>
      <c r="G317" s="42" t="s">
        <v>82</v>
      </c>
      <c r="H317" s="10"/>
      <c r="I317" s="16"/>
      <c r="J317" s="9">
        <f>J314</f>
        <v>6.9</v>
      </c>
      <c r="K317" s="9">
        <f>2.5-2</f>
        <v>0.5</v>
      </c>
      <c r="L317" s="9"/>
      <c r="M317" s="9"/>
      <c r="N317" s="9"/>
      <c r="O317" s="9"/>
      <c r="P317" s="9"/>
      <c r="Q317" s="9"/>
      <c r="R317" s="9"/>
      <c r="S317" s="23">
        <f t="shared" si="5"/>
        <v>3.45</v>
      </c>
      <c r="T317" s="24"/>
      <c r="U317" s="8"/>
    </row>
    <row r="318" spans="1:21" x14ac:dyDescent="0.25">
      <c r="A318" s="12" t="s">
        <v>62</v>
      </c>
      <c r="B318" s="46" t="s">
        <v>63</v>
      </c>
      <c r="C318" s="14"/>
      <c r="D318" s="40"/>
      <c r="E318" s="42"/>
      <c r="F318" s="42" t="s">
        <v>84</v>
      </c>
      <c r="G318" s="42"/>
      <c r="H318" s="10"/>
      <c r="I318" s="16"/>
      <c r="J318" s="9">
        <f>4.095+2.155+0.25</f>
        <v>6.5</v>
      </c>
      <c r="K318" s="9">
        <v>2.75</v>
      </c>
      <c r="L318" s="9">
        <f>2.04*2</f>
        <v>4.08</v>
      </c>
      <c r="M318" s="9"/>
      <c r="N318" s="9"/>
      <c r="O318" s="9">
        <f>(0.25)*0.25</f>
        <v>6.25E-2</v>
      </c>
      <c r="P318" s="9"/>
      <c r="Q318" s="9"/>
      <c r="R318" s="9"/>
      <c r="S318" s="23">
        <f t="shared" si="5"/>
        <v>13.7325</v>
      </c>
      <c r="T318" s="24"/>
      <c r="U318" s="8"/>
    </row>
    <row r="319" spans="1:21" x14ac:dyDescent="0.25">
      <c r="A319" s="12" t="s">
        <v>62</v>
      </c>
      <c r="B319" s="46" t="s">
        <v>63</v>
      </c>
      <c r="C319" s="14"/>
      <c r="D319" s="40"/>
      <c r="E319" s="42"/>
      <c r="F319" s="42"/>
      <c r="G319" s="42" t="s">
        <v>82</v>
      </c>
      <c r="H319" s="10"/>
      <c r="I319" s="16"/>
      <c r="J319" s="9">
        <f>21.68-J318</f>
        <v>15.18</v>
      </c>
      <c r="K319" s="9">
        <v>2.75</v>
      </c>
      <c r="L319" s="9"/>
      <c r="M319" s="9">
        <f>1.1*2+1*2</f>
        <v>4.2</v>
      </c>
      <c r="N319" s="9"/>
      <c r="O319" s="9">
        <f>(1.76*2-0.25+1.94)*0.25</f>
        <v>1.3025</v>
      </c>
      <c r="P319" s="9"/>
      <c r="Q319" s="9"/>
      <c r="R319" s="9"/>
      <c r="S319" s="23">
        <f t="shared" si="5"/>
        <v>36.242499999999993</v>
      </c>
      <c r="T319" s="24"/>
      <c r="U319" s="8"/>
    </row>
    <row r="320" spans="1:21" x14ac:dyDescent="0.25">
      <c r="A320" s="12" t="s">
        <v>62</v>
      </c>
      <c r="B320" s="46" t="s">
        <v>64</v>
      </c>
      <c r="C320" s="14"/>
      <c r="D320" s="40" t="s">
        <v>195</v>
      </c>
      <c r="E320" s="42" t="s">
        <v>86</v>
      </c>
      <c r="F320" s="42"/>
      <c r="G320" s="42"/>
      <c r="H320" s="10"/>
      <c r="I320" s="16" t="s">
        <v>89</v>
      </c>
      <c r="J320" s="9">
        <f>1.9+2.5*2</f>
        <v>6.9</v>
      </c>
      <c r="K320" s="9">
        <v>2</v>
      </c>
      <c r="L320" s="9"/>
      <c r="M320" s="9">
        <f>1*2</f>
        <v>2</v>
      </c>
      <c r="N320" s="9"/>
      <c r="O320" s="9"/>
      <c r="P320" s="9"/>
      <c r="Q320" s="9"/>
      <c r="R320" s="9"/>
      <c r="S320" s="23">
        <f t="shared" si="5"/>
        <v>11.8</v>
      </c>
      <c r="T320" s="24"/>
      <c r="U320" s="8"/>
    </row>
    <row r="321" spans="1:21" x14ac:dyDescent="0.25">
      <c r="A321" s="12" t="s">
        <v>62</v>
      </c>
      <c r="B321" s="46" t="s">
        <v>64</v>
      </c>
      <c r="C321" s="14"/>
      <c r="D321" s="40" t="s">
        <v>195</v>
      </c>
      <c r="E321" s="42" t="s">
        <v>86</v>
      </c>
      <c r="F321" s="42"/>
      <c r="G321" s="42"/>
      <c r="H321" s="10"/>
      <c r="I321" s="16" t="s">
        <v>147</v>
      </c>
      <c r="J321" s="9">
        <v>1.9</v>
      </c>
      <c r="K321" s="9">
        <v>2</v>
      </c>
      <c r="L321" s="9"/>
      <c r="M321" s="9"/>
      <c r="N321" s="9"/>
      <c r="O321" s="9"/>
      <c r="P321" s="9"/>
      <c r="Q321" s="9"/>
      <c r="R321" s="9"/>
      <c r="S321" s="23">
        <f t="shared" si="5"/>
        <v>3.8</v>
      </c>
      <c r="T321" s="24"/>
      <c r="U321" s="8"/>
    </row>
    <row r="322" spans="1:21" x14ac:dyDescent="0.25">
      <c r="A322" s="12" t="s">
        <v>62</v>
      </c>
      <c r="B322" s="46" t="s">
        <v>64</v>
      </c>
      <c r="C322" s="14"/>
      <c r="D322" s="40" t="s">
        <v>195</v>
      </c>
      <c r="E322" s="42"/>
      <c r="F322" s="42" t="s">
        <v>84</v>
      </c>
      <c r="G322" s="42"/>
      <c r="H322" s="10"/>
      <c r="I322" s="16"/>
      <c r="J322" s="9">
        <f>J321</f>
        <v>1.9</v>
      </c>
      <c r="K322" s="9">
        <f>2.5-2</f>
        <v>0.5</v>
      </c>
      <c r="L322" s="9"/>
      <c r="M322" s="9"/>
      <c r="N322" s="9"/>
      <c r="O322" s="9"/>
      <c r="P322" s="9"/>
      <c r="Q322" s="9"/>
      <c r="R322" s="9"/>
      <c r="S322" s="23">
        <f t="shared" si="5"/>
        <v>0.95</v>
      </c>
      <c r="T322" s="24"/>
      <c r="U322" s="8"/>
    </row>
    <row r="323" spans="1:21" x14ac:dyDescent="0.25">
      <c r="A323" s="12" t="s">
        <v>62</v>
      </c>
      <c r="B323" s="46" t="s">
        <v>64</v>
      </c>
      <c r="C323" s="14"/>
      <c r="D323" s="40" t="s">
        <v>195</v>
      </c>
      <c r="E323" s="42"/>
      <c r="F323" s="42"/>
      <c r="G323" s="42" t="s">
        <v>82</v>
      </c>
      <c r="H323" s="10"/>
      <c r="I323" s="16"/>
      <c r="J323" s="9">
        <f>J320</f>
        <v>6.9</v>
      </c>
      <c r="K323" s="9">
        <f>2.5-2</f>
        <v>0.5</v>
      </c>
      <c r="L323" s="9"/>
      <c r="M323" s="9"/>
      <c r="N323" s="9"/>
      <c r="O323" s="9"/>
      <c r="P323" s="9"/>
      <c r="Q323" s="9"/>
      <c r="R323" s="9"/>
      <c r="S323" s="23">
        <f t="shared" si="5"/>
        <v>3.45</v>
      </c>
      <c r="T323" s="24"/>
      <c r="U323" s="8"/>
    </row>
    <row r="324" spans="1:21" x14ac:dyDescent="0.25">
      <c r="A324" s="12" t="s">
        <v>62</v>
      </c>
      <c r="B324" s="46" t="s">
        <v>65</v>
      </c>
      <c r="C324" s="14"/>
      <c r="D324" s="40"/>
      <c r="E324" s="42"/>
      <c r="F324" s="42" t="s">
        <v>84</v>
      </c>
      <c r="G324" s="42"/>
      <c r="H324" s="10"/>
      <c r="I324" s="16"/>
      <c r="J324" s="9">
        <f>4.095+2.155+0.25</f>
        <v>6.5</v>
      </c>
      <c r="K324" s="9">
        <v>2.75</v>
      </c>
      <c r="L324" s="9">
        <f>2.04*2</f>
        <v>4.08</v>
      </c>
      <c r="M324" s="9"/>
      <c r="N324" s="9"/>
      <c r="O324" s="9">
        <f>(0.25)*0.25</f>
        <v>6.25E-2</v>
      </c>
      <c r="P324" s="9"/>
      <c r="Q324" s="9"/>
      <c r="R324" s="9"/>
      <c r="S324" s="23">
        <f t="shared" si="5"/>
        <v>13.7325</v>
      </c>
      <c r="T324" s="24"/>
      <c r="U324" s="8"/>
    </row>
    <row r="325" spans="1:21" x14ac:dyDescent="0.25">
      <c r="A325" s="12" t="s">
        <v>62</v>
      </c>
      <c r="B325" s="46" t="s">
        <v>65</v>
      </c>
      <c r="C325" s="14"/>
      <c r="D325" s="40"/>
      <c r="E325" s="42"/>
      <c r="F325" s="42"/>
      <c r="G325" s="42" t="s">
        <v>82</v>
      </c>
      <c r="H325" s="10"/>
      <c r="I325" s="16"/>
      <c r="J325" s="9">
        <f>21.68-J324</f>
        <v>15.18</v>
      </c>
      <c r="K325" s="9">
        <v>2.75</v>
      </c>
      <c r="L325" s="9"/>
      <c r="M325" s="9">
        <f>1.1*2+1*2</f>
        <v>4.2</v>
      </c>
      <c r="N325" s="9"/>
      <c r="O325" s="9">
        <f>(1.76*2-0.25+1.94)*0.25</f>
        <v>1.3025</v>
      </c>
      <c r="P325" s="9"/>
      <c r="Q325" s="9"/>
      <c r="R325" s="9"/>
      <c r="S325" s="23">
        <f t="shared" si="5"/>
        <v>36.242499999999993</v>
      </c>
      <c r="T325" s="24"/>
      <c r="U325" s="8"/>
    </row>
    <row r="326" spans="1:21" x14ac:dyDescent="0.25">
      <c r="A326" s="12" t="s">
        <v>62</v>
      </c>
      <c r="B326" s="46" t="s">
        <v>66</v>
      </c>
      <c r="C326" s="14"/>
      <c r="D326" s="40" t="s">
        <v>195</v>
      </c>
      <c r="E326" s="42" t="s">
        <v>86</v>
      </c>
      <c r="F326" s="42"/>
      <c r="G326" s="42"/>
      <c r="H326" s="10"/>
      <c r="I326" s="16" t="s">
        <v>89</v>
      </c>
      <c r="J326" s="9">
        <f>1.9+2.5*2</f>
        <v>6.9</v>
      </c>
      <c r="K326" s="9">
        <v>2</v>
      </c>
      <c r="L326" s="9"/>
      <c r="M326" s="9">
        <f>1*2</f>
        <v>2</v>
      </c>
      <c r="N326" s="9"/>
      <c r="O326" s="9"/>
      <c r="P326" s="9"/>
      <c r="Q326" s="9"/>
      <c r="R326" s="9"/>
      <c r="S326" s="23">
        <f t="shared" si="5"/>
        <v>11.8</v>
      </c>
      <c r="T326" s="24"/>
      <c r="U326" s="8"/>
    </row>
    <row r="327" spans="1:21" x14ac:dyDescent="0.25">
      <c r="A327" s="12" t="s">
        <v>62</v>
      </c>
      <c r="B327" s="46" t="s">
        <v>66</v>
      </c>
      <c r="C327" s="14"/>
      <c r="D327" s="40" t="s">
        <v>195</v>
      </c>
      <c r="E327" s="42" t="s">
        <v>86</v>
      </c>
      <c r="F327" s="42"/>
      <c r="G327" s="42"/>
      <c r="H327" s="10"/>
      <c r="I327" s="16" t="s">
        <v>147</v>
      </c>
      <c r="J327" s="9">
        <v>1.9</v>
      </c>
      <c r="K327" s="9">
        <v>2</v>
      </c>
      <c r="L327" s="9"/>
      <c r="M327" s="9"/>
      <c r="N327" s="9"/>
      <c r="O327" s="9"/>
      <c r="P327" s="9"/>
      <c r="Q327" s="9"/>
      <c r="R327" s="9"/>
      <c r="S327" s="23">
        <f t="shared" si="5"/>
        <v>3.8</v>
      </c>
      <c r="T327" s="24"/>
      <c r="U327" s="8"/>
    </row>
    <row r="328" spans="1:21" x14ac:dyDescent="0.25">
      <c r="A328" s="12" t="s">
        <v>62</v>
      </c>
      <c r="B328" s="46" t="s">
        <v>66</v>
      </c>
      <c r="C328" s="14"/>
      <c r="D328" s="40" t="s">
        <v>195</v>
      </c>
      <c r="E328" s="42"/>
      <c r="F328" s="42" t="s">
        <v>84</v>
      </c>
      <c r="G328" s="42"/>
      <c r="H328" s="10"/>
      <c r="I328" s="16"/>
      <c r="J328" s="9">
        <f>J327</f>
        <v>1.9</v>
      </c>
      <c r="K328" s="9">
        <f>2.5-2</f>
        <v>0.5</v>
      </c>
      <c r="L328" s="9"/>
      <c r="M328" s="9"/>
      <c r="N328" s="9"/>
      <c r="O328" s="9"/>
      <c r="P328" s="9"/>
      <c r="Q328" s="9"/>
      <c r="R328" s="9"/>
      <c r="S328" s="23">
        <f t="shared" si="5"/>
        <v>0.95</v>
      </c>
      <c r="T328" s="24"/>
      <c r="U328" s="8"/>
    </row>
    <row r="329" spans="1:21" x14ac:dyDescent="0.25">
      <c r="A329" s="12" t="s">
        <v>62</v>
      </c>
      <c r="B329" s="46" t="s">
        <v>66</v>
      </c>
      <c r="C329" s="14"/>
      <c r="D329" s="40" t="s">
        <v>195</v>
      </c>
      <c r="E329" s="42"/>
      <c r="F329" s="42"/>
      <c r="G329" s="42" t="s">
        <v>82</v>
      </c>
      <c r="H329" s="10"/>
      <c r="I329" s="16"/>
      <c r="J329" s="9">
        <f>J326</f>
        <v>6.9</v>
      </c>
      <c r="K329" s="9">
        <f>2.5-2</f>
        <v>0.5</v>
      </c>
      <c r="L329" s="9"/>
      <c r="M329" s="9"/>
      <c r="N329" s="9"/>
      <c r="O329" s="9"/>
      <c r="P329" s="9"/>
      <c r="Q329" s="9"/>
      <c r="R329" s="9"/>
      <c r="S329" s="23">
        <f t="shared" si="5"/>
        <v>3.45</v>
      </c>
      <c r="T329" s="24"/>
      <c r="U329" s="8"/>
    </row>
    <row r="330" spans="1:21" x14ac:dyDescent="0.25">
      <c r="A330" s="12" t="s">
        <v>62</v>
      </c>
      <c r="B330" s="46" t="s">
        <v>67</v>
      </c>
      <c r="C330" s="14"/>
      <c r="D330" s="40"/>
      <c r="E330" s="42"/>
      <c r="F330" s="42" t="s">
        <v>84</v>
      </c>
      <c r="G330" s="42"/>
      <c r="H330" s="10"/>
      <c r="I330" s="16"/>
      <c r="J330" s="9">
        <f>4.095+2.155+0.25</f>
        <v>6.5</v>
      </c>
      <c r="K330" s="9">
        <v>2.75</v>
      </c>
      <c r="L330" s="9">
        <f>2.04*2</f>
        <v>4.08</v>
      </c>
      <c r="M330" s="9"/>
      <c r="N330" s="9"/>
      <c r="O330" s="9">
        <f>(0.25)*0.25</f>
        <v>6.25E-2</v>
      </c>
      <c r="P330" s="9"/>
      <c r="Q330" s="9"/>
      <c r="R330" s="9"/>
      <c r="S330" s="23">
        <f t="shared" ref="S330:S393" si="6">IF(AND(ISBLANK(E330),ISBLANK(F330),ISBLANK(G330),ISBLANK(H330)),"",IF(J330*K330-L330-M330-N330-O330+P330+Q330+R330=0,"",J330*K330-L330-M330-N330-O330+P330+Q330+R330))</f>
        <v>13.7325</v>
      </c>
      <c r="T330" s="24"/>
      <c r="U330" s="8"/>
    </row>
    <row r="331" spans="1:21" x14ac:dyDescent="0.25">
      <c r="A331" s="12" t="s">
        <v>62</v>
      </c>
      <c r="B331" s="46" t="s">
        <v>67</v>
      </c>
      <c r="C331" s="14"/>
      <c r="D331" s="40"/>
      <c r="E331" s="42"/>
      <c r="F331" s="42"/>
      <c r="G331" s="42" t="s">
        <v>82</v>
      </c>
      <c r="H331" s="10"/>
      <c r="I331" s="16"/>
      <c r="J331" s="9">
        <f>21.68-J330</f>
        <v>15.18</v>
      </c>
      <c r="K331" s="9">
        <v>2.75</v>
      </c>
      <c r="L331" s="9"/>
      <c r="M331" s="9">
        <f>1.1*2+1*2</f>
        <v>4.2</v>
      </c>
      <c r="N331" s="9"/>
      <c r="O331" s="9">
        <f>(1.76*2-0.25+1.94)*0.25</f>
        <v>1.3025</v>
      </c>
      <c r="P331" s="9"/>
      <c r="Q331" s="9"/>
      <c r="R331" s="9"/>
      <c r="S331" s="23">
        <f t="shared" si="6"/>
        <v>36.242499999999993</v>
      </c>
      <c r="T331" s="24"/>
      <c r="U331" s="8"/>
    </row>
    <row r="332" spans="1:21" x14ac:dyDescent="0.25">
      <c r="A332" s="12" t="s">
        <v>62</v>
      </c>
      <c r="B332" s="46" t="s">
        <v>68</v>
      </c>
      <c r="C332" s="14"/>
      <c r="D332" s="40" t="s">
        <v>195</v>
      </c>
      <c r="E332" s="42" t="s">
        <v>86</v>
      </c>
      <c r="F332" s="42"/>
      <c r="G332" s="42"/>
      <c r="H332" s="10"/>
      <c r="I332" s="16" t="s">
        <v>89</v>
      </c>
      <c r="J332" s="9">
        <f>1.9+2.5*2</f>
        <v>6.9</v>
      </c>
      <c r="K332" s="9">
        <v>2</v>
      </c>
      <c r="L332" s="9"/>
      <c r="M332" s="9">
        <f>1*2</f>
        <v>2</v>
      </c>
      <c r="N332" s="9"/>
      <c r="O332" s="9"/>
      <c r="P332" s="9"/>
      <c r="Q332" s="9"/>
      <c r="R332" s="9"/>
      <c r="S332" s="23">
        <f t="shared" si="6"/>
        <v>11.8</v>
      </c>
      <c r="T332" s="24"/>
      <c r="U332" s="8"/>
    </row>
    <row r="333" spans="1:21" x14ac:dyDescent="0.25">
      <c r="A333" s="12" t="s">
        <v>62</v>
      </c>
      <c r="B333" s="46" t="s">
        <v>68</v>
      </c>
      <c r="C333" s="14"/>
      <c r="D333" s="40" t="s">
        <v>195</v>
      </c>
      <c r="E333" s="42" t="s">
        <v>86</v>
      </c>
      <c r="F333" s="42"/>
      <c r="G333" s="42"/>
      <c r="H333" s="10"/>
      <c r="I333" s="16" t="s">
        <v>147</v>
      </c>
      <c r="J333" s="9">
        <v>1.9</v>
      </c>
      <c r="K333" s="9">
        <v>2</v>
      </c>
      <c r="L333" s="9"/>
      <c r="M333" s="9"/>
      <c r="N333" s="9"/>
      <c r="O333" s="9"/>
      <c r="P333" s="9"/>
      <c r="Q333" s="9"/>
      <c r="R333" s="9"/>
      <c r="S333" s="23">
        <f t="shared" si="6"/>
        <v>3.8</v>
      </c>
      <c r="T333" s="24"/>
      <c r="U333" s="8"/>
    </row>
    <row r="334" spans="1:21" x14ac:dyDescent="0.25">
      <c r="A334" s="12" t="s">
        <v>62</v>
      </c>
      <c r="B334" s="46" t="s">
        <v>68</v>
      </c>
      <c r="C334" s="14"/>
      <c r="D334" s="40" t="s">
        <v>195</v>
      </c>
      <c r="E334" s="42"/>
      <c r="F334" s="42" t="s">
        <v>84</v>
      </c>
      <c r="G334" s="42"/>
      <c r="H334" s="10"/>
      <c r="I334" s="16"/>
      <c r="J334" s="9">
        <f>J333</f>
        <v>1.9</v>
      </c>
      <c r="K334" s="9">
        <f>2.5-2</f>
        <v>0.5</v>
      </c>
      <c r="L334" s="9"/>
      <c r="M334" s="9"/>
      <c r="N334" s="9"/>
      <c r="O334" s="9"/>
      <c r="P334" s="9"/>
      <c r="Q334" s="9"/>
      <c r="R334" s="9"/>
      <c r="S334" s="23">
        <f t="shared" si="6"/>
        <v>0.95</v>
      </c>
      <c r="T334" s="24"/>
      <c r="U334" s="8"/>
    </row>
    <row r="335" spans="1:21" x14ac:dyDescent="0.25">
      <c r="A335" s="12" t="s">
        <v>62</v>
      </c>
      <c r="B335" s="46" t="s">
        <v>68</v>
      </c>
      <c r="C335" s="14"/>
      <c r="D335" s="40" t="s">
        <v>195</v>
      </c>
      <c r="E335" s="42"/>
      <c r="F335" s="42"/>
      <c r="G335" s="42" t="s">
        <v>82</v>
      </c>
      <c r="H335" s="10"/>
      <c r="I335" s="16"/>
      <c r="J335" s="9">
        <f>J332</f>
        <v>6.9</v>
      </c>
      <c r="K335" s="9">
        <f>2.5-2</f>
        <v>0.5</v>
      </c>
      <c r="L335" s="9"/>
      <c r="M335" s="9"/>
      <c r="N335" s="9"/>
      <c r="O335" s="9"/>
      <c r="P335" s="9"/>
      <c r="Q335" s="9"/>
      <c r="R335" s="9"/>
      <c r="S335" s="23">
        <f t="shared" si="6"/>
        <v>3.45</v>
      </c>
      <c r="T335" s="24"/>
      <c r="U335" s="8"/>
    </row>
    <row r="336" spans="1:21" x14ac:dyDescent="0.25">
      <c r="A336" s="12" t="s">
        <v>62</v>
      </c>
      <c r="B336" s="46" t="s">
        <v>102</v>
      </c>
      <c r="C336" s="14"/>
      <c r="D336" s="40"/>
      <c r="E336" s="42"/>
      <c r="F336" s="42" t="s">
        <v>84</v>
      </c>
      <c r="G336" s="42"/>
      <c r="H336" s="10"/>
      <c r="I336" s="16"/>
      <c r="J336" s="9">
        <f>4.095+2.155+0.25</f>
        <v>6.5</v>
      </c>
      <c r="K336" s="9">
        <v>2.75</v>
      </c>
      <c r="L336" s="9">
        <f>2.04*2</f>
        <v>4.08</v>
      </c>
      <c r="M336" s="9"/>
      <c r="N336" s="9"/>
      <c r="O336" s="9">
        <f>(0.25)*0.25</f>
        <v>6.25E-2</v>
      </c>
      <c r="P336" s="9"/>
      <c r="Q336" s="9"/>
      <c r="R336" s="9"/>
      <c r="S336" s="23">
        <f t="shared" si="6"/>
        <v>13.7325</v>
      </c>
      <c r="T336" s="24"/>
      <c r="U336" s="8"/>
    </row>
    <row r="337" spans="1:21" x14ac:dyDescent="0.25">
      <c r="A337" s="12" t="s">
        <v>62</v>
      </c>
      <c r="B337" s="46" t="s">
        <v>102</v>
      </c>
      <c r="C337" s="14"/>
      <c r="D337" s="40"/>
      <c r="E337" s="42"/>
      <c r="F337" s="42"/>
      <c r="G337" s="42" t="s">
        <v>82</v>
      </c>
      <c r="H337" s="10"/>
      <c r="I337" s="16"/>
      <c r="J337" s="9">
        <f>21.68-J336</f>
        <v>15.18</v>
      </c>
      <c r="K337" s="9">
        <v>2.75</v>
      </c>
      <c r="L337" s="9"/>
      <c r="M337" s="9">
        <f>1.1*2+1*2</f>
        <v>4.2</v>
      </c>
      <c r="N337" s="9"/>
      <c r="O337" s="9">
        <f>(1.76*2-0.25+1.94)*0.25</f>
        <v>1.3025</v>
      </c>
      <c r="P337" s="9"/>
      <c r="Q337" s="9"/>
      <c r="R337" s="9"/>
      <c r="S337" s="23">
        <f t="shared" si="6"/>
        <v>36.242499999999993</v>
      </c>
      <c r="T337" s="24"/>
      <c r="U337" s="8"/>
    </row>
    <row r="338" spans="1:21" x14ac:dyDescent="0.25">
      <c r="A338" s="12" t="s">
        <v>62</v>
      </c>
      <c r="B338" s="46" t="s">
        <v>103</v>
      </c>
      <c r="C338" s="14"/>
      <c r="D338" s="40" t="s">
        <v>195</v>
      </c>
      <c r="E338" s="42" t="s">
        <v>86</v>
      </c>
      <c r="F338" s="42"/>
      <c r="G338" s="42"/>
      <c r="H338" s="10"/>
      <c r="I338" s="16" t="s">
        <v>89</v>
      </c>
      <c r="J338" s="9">
        <f>1.9+2.5*2</f>
        <v>6.9</v>
      </c>
      <c r="K338" s="9">
        <v>2</v>
      </c>
      <c r="L338" s="9"/>
      <c r="M338" s="9">
        <f>1*2</f>
        <v>2</v>
      </c>
      <c r="N338" s="9"/>
      <c r="O338" s="9"/>
      <c r="P338" s="9"/>
      <c r="Q338" s="9"/>
      <c r="R338" s="9"/>
      <c r="S338" s="23">
        <f t="shared" si="6"/>
        <v>11.8</v>
      </c>
      <c r="T338" s="24"/>
      <c r="U338" s="8"/>
    </row>
    <row r="339" spans="1:21" x14ac:dyDescent="0.25">
      <c r="A339" s="12" t="s">
        <v>62</v>
      </c>
      <c r="B339" s="46" t="s">
        <v>103</v>
      </c>
      <c r="C339" s="14"/>
      <c r="D339" s="40" t="s">
        <v>195</v>
      </c>
      <c r="E339" s="42" t="s">
        <v>86</v>
      </c>
      <c r="F339" s="42"/>
      <c r="G339" s="42"/>
      <c r="H339" s="10"/>
      <c r="I339" s="16" t="s">
        <v>147</v>
      </c>
      <c r="J339" s="9">
        <v>1.9</v>
      </c>
      <c r="K339" s="9">
        <v>2</v>
      </c>
      <c r="L339" s="9"/>
      <c r="M339" s="9"/>
      <c r="N339" s="9"/>
      <c r="O339" s="9"/>
      <c r="P339" s="9"/>
      <c r="Q339" s="9"/>
      <c r="R339" s="9"/>
      <c r="S339" s="23">
        <f t="shared" si="6"/>
        <v>3.8</v>
      </c>
      <c r="T339" s="24"/>
      <c r="U339" s="8"/>
    </row>
    <row r="340" spans="1:21" x14ac:dyDescent="0.25">
      <c r="A340" s="12" t="s">
        <v>62</v>
      </c>
      <c r="B340" s="46" t="s">
        <v>103</v>
      </c>
      <c r="C340" s="14"/>
      <c r="D340" s="40" t="s">
        <v>195</v>
      </c>
      <c r="E340" s="42"/>
      <c r="F340" s="42" t="s">
        <v>84</v>
      </c>
      <c r="G340" s="42"/>
      <c r="H340" s="10"/>
      <c r="I340" s="16"/>
      <c r="J340" s="9">
        <f>J339</f>
        <v>1.9</v>
      </c>
      <c r="K340" s="9">
        <f>2.5-2</f>
        <v>0.5</v>
      </c>
      <c r="L340" s="9"/>
      <c r="M340" s="9"/>
      <c r="N340" s="9"/>
      <c r="O340" s="9"/>
      <c r="P340" s="9"/>
      <c r="Q340" s="9"/>
      <c r="R340" s="9"/>
      <c r="S340" s="23">
        <f t="shared" si="6"/>
        <v>0.95</v>
      </c>
      <c r="T340" s="24"/>
      <c r="U340" s="8"/>
    </row>
    <row r="341" spans="1:21" x14ac:dyDescent="0.25">
      <c r="A341" s="12" t="s">
        <v>62</v>
      </c>
      <c r="B341" s="46" t="s">
        <v>103</v>
      </c>
      <c r="C341" s="14"/>
      <c r="D341" s="40" t="s">
        <v>195</v>
      </c>
      <c r="E341" s="42"/>
      <c r="F341" s="42"/>
      <c r="G341" s="42" t="s">
        <v>82</v>
      </c>
      <c r="H341" s="10"/>
      <c r="I341" s="16"/>
      <c r="J341" s="9">
        <f>J338</f>
        <v>6.9</v>
      </c>
      <c r="K341" s="9">
        <f>2.5-2</f>
        <v>0.5</v>
      </c>
      <c r="L341" s="9"/>
      <c r="M341" s="9"/>
      <c r="N341" s="9"/>
      <c r="O341" s="9"/>
      <c r="P341" s="9"/>
      <c r="Q341" s="9"/>
      <c r="R341" s="9"/>
      <c r="S341" s="23">
        <f t="shared" si="6"/>
        <v>3.45</v>
      </c>
      <c r="T341" s="24"/>
      <c r="U341" s="8"/>
    </row>
    <row r="342" spans="1:21" x14ac:dyDescent="0.25">
      <c r="A342" s="12" t="s">
        <v>62</v>
      </c>
      <c r="B342" s="46" t="s">
        <v>104</v>
      </c>
      <c r="C342" s="14"/>
      <c r="D342" s="40"/>
      <c r="E342" s="42"/>
      <c r="F342" s="42" t="s">
        <v>84</v>
      </c>
      <c r="G342" s="42"/>
      <c r="H342" s="10"/>
      <c r="I342" s="16"/>
      <c r="J342" s="9">
        <f>4.095+2.155+0.25</f>
        <v>6.5</v>
      </c>
      <c r="K342" s="9">
        <v>2.75</v>
      </c>
      <c r="L342" s="9">
        <f>2.04*2</f>
        <v>4.08</v>
      </c>
      <c r="M342" s="9"/>
      <c r="N342" s="9"/>
      <c r="O342" s="9">
        <f>(0.25)*0.25</f>
        <v>6.25E-2</v>
      </c>
      <c r="P342" s="9"/>
      <c r="Q342" s="9"/>
      <c r="R342" s="9"/>
      <c r="S342" s="23">
        <f t="shared" si="6"/>
        <v>13.7325</v>
      </c>
      <c r="T342" s="24"/>
      <c r="U342" s="8"/>
    </row>
    <row r="343" spans="1:21" x14ac:dyDescent="0.25">
      <c r="A343" s="12" t="s">
        <v>62</v>
      </c>
      <c r="B343" s="46" t="s">
        <v>104</v>
      </c>
      <c r="C343" s="14"/>
      <c r="D343" s="40"/>
      <c r="E343" s="42"/>
      <c r="F343" s="42"/>
      <c r="G343" s="42" t="s">
        <v>82</v>
      </c>
      <c r="H343" s="10"/>
      <c r="I343" s="16"/>
      <c r="J343" s="9">
        <f>21.68-J342</f>
        <v>15.18</v>
      </c>
      <c r="K343" s="9">
        <v>2.75</v>
      </c>
      <c r="L343" s="9"/>
      <c r="M343" s="9">
        <f>1.1*2+1*2</f>
        <v>4.2</v>
      </c>
      <c r="N343" s="9"/>
      <c r="O343" s="9">
        <f>(1.76*2-0.25+1.94)*0.25</f>
        <v>1.3025</v>
      </c>
      <c r="P343" s="9"/>
      <c r="Q343" s="9"/>
      <c r="R343" s="9"/>
      <c r="S343" s="23">
        <f t="shared" si="6"/>
        <v>36.242499999999993</v>
      </c>
      <c r="T343" s="24"/>
      <c r="U343" s="8"/>
    </row>
    <row r="344" spans="1:21" x14ac:dyDescent="0.25">
      <c r="A344" s="12" t="s">
        <v>62</v>
      </c>
      <c r="B344" s="46" t="s">
        <v>105</v>
      </c>
      <c r="C344" s="14"/>
      <c r="D344" s="40" t="s">
        <v>195</v>
      </c>
      <c r="E344" s="42" t="s">
        <v>86</v>
      </c>
      <c r="F344" s="42"/>
      <c r="G344" s="42"/>
      <c r="H344" s="10"/>
      <c r="I344" s="16" t="s">
        <v>89</v>
      </c>
      <c r="J344" s="9">
        <f>1.9+2.5*2</f>
        <v>6.9</v>
      </c>
      <c r="K344" s="9">
        <v>2</v>
      </c>
      <c r="L344" s="9"/>
      <c r="M344" s="9">
        <f>1*2</f>
        <v>2</v>
      </c>
      <c r="N344" s="9"/>
      <c r="O344" s="9"/>
      <c r="P344" s="9"/>
      <c r="Q344" s="9"/>
      <c r="R344" s="9"/>
      <c r="S344" s="23">
        <f t="shared" si="6"/>
        <v>11.8</v>
      </c>
      <c r="T344" s="24"/>
      <c r="U344" s="8"/>
    </row>
    <row r="345" spans="1:21" x14ac:dyDescent="0.25">
      <c r="A345" s="12" t="s">
        <v>62</v>
      </c>
      <c r="B345" s="46" t="s">
        <v>105</v>
      </c>
      <c r="C345" s="14"/>
      <c r="D345" s="40" t="s">
        <v>195</v>
      </c>
      <c r="E345" s="42" t="s">
        <v>86</v>
      </c>
      <c r="F345" s="42"/>
      <c r="G345" s="42"/>
      <c r="H345" s="10"/>
      <c r="I345" s="16" t="s">
        <v>147</v>
      </c>
      <c r="J345" s="9">
        <v>1.9</v>
      </c>
      <c r="K345" s="9">
        <v>2</v>
      </c>
      <c r="L345" s="9"/>
      <c r="M345" s="9"/>
      <c r="N345" s="9"/>
      <c r="O345" s="9"/>
      <c r="P345" s="9"/>
      <c r="Q345" s="9"/>
      <c r="R345" s="9"/>
      <c r="S345" s="23">
        <f t="shared" si="6"/>
        <v>3.8</v>
      </c>
      <c r="T345" s="24"/>
      <c r="U345" s="8"/>
    </row>
    <row r="346" spans="1:21" x14ac:dyDescent="0.25">
      <c r="A346" s="12" t="s">
        <v>62</v>
      </c>
      <c r="B346" s="46" t="s">
        <v>105</v>
      </c>
      <c r="C346" s="14"/>
      <c r="D346" s="40" t="s">
        <v>195</v>
      </c>
      <c r="E346" s="42"/>
      <c r="F346" s="42" t="s">
        <v>84</v>
      </c>
      <c r="G346" s="42"/>
      <c r="H346" s="10"/>
      <c r="I346" s="16"/>
      <c r="J346" s="9">
        <f>J345</f>
        <v>1.9</v>
      </c>
      <c r="K346" s="9">
        <f>2.5-2</f>
        <v>0.5</v>
      </c>
      <c r="L346" s="9"/>
      <c r="M346" s="9"/>
      <c r="N346" s="9"/>
      <c r="O346" s="9"/>
      <c r="P346" s="9"/>
      <c r="Q346" s="9"/>
      <c r="R346" s="9"/>
      <c r="S346" s="23">
        <f t="shared" si="6"/>
        <v>0.95</v>
      </c>
      <c r="T346" s="24"/>
      <c r="U346" s="8"/>
    </row>
    <row r="347" spans="1:21" x14ac:dyDescent="0.25">
      <c r="A347" s="12" t="s">
        <v>62</v>
      </c>
      <c r="B347" s="46" t="s">
        <v>105</v>
      </c>
      <c r="C347" s="14"/>
      <c r="D347" s="40" t="s">
        <v>195</v>
      </c>
      <c r="E347" s="42"/>
      <c r="F347" s="42"/>
      <c r="G347" s="42" t="s">
        <v>82</v>
      </c>
      <c r="H347" s="10"/>
      <c r="I347" s="16"/>
      <c r="J347" s="9">
        <f>J344</f>
        <v>6.9</v>
      </c>
      <c r="K347" s="9">
        <f>2.5-2</f>
        <v>0.5</v>
      </c>
      <c r="L347" s="9"/>
      <c r="M347" s="9"/>
      <c r="N347" s="9"/>
      <c r="O347" s="9"/>
      <c r="P347" s="9"/>
      <c r="Q347" s="9"/>
      <c r="R347" s="9"/>
      <c r="S347" s="23">
        <f t="shared" si="6"/>
        <v>3.45</v>
      </c>
      <c r="T347" s="24"/>
      <c r="U347" s="8"/>
    </row>
    <row r="348" spans="1:21" x14ac:dyDescent="0.25">
      <c r="A348" s="12" t="s">
        <v>62</v>
      </c>
      <c r="B348" s="46" t="s">
        <v>106</v>
      </c>
      <c r="C348" s="14"/>
      <c r="D348" s="40"/>
      <c r="E348" s="42"/>
      <c r="F348" s="42" t="s">
        <v>84</v>
      </c>
      <c r="G348" s="42"/>
      <c r="H348" s="10"/>
      <c r="I348" s="16"/>
      <c r="J348" s="9">
        <f>21.68-J349</f>
        <v>13.244999999999999</v>
      </c>
      <c r="K348" s="9">
        <v>2.75</v>
      </c>
      <c r="L348" s="9">
        <f>2.04*2+0.54*2</f>
        <v>5.16</v>
      </c>
      <c r="M348" s="9"/>
      <c r="N348" s="9"/>
      <c r="O348" s="9">
        <f>(1.76+0.25)*0.25</f>
        <v>0.50249999999999995</v>
      </c>
      <c r="P348" s="9"/>
      <c r="Q348" s="9"/>
      <c r="R348" s="9"/>
      <c r="S348" s="23">
        <f t="shared" si="6"/>
        <v>30.761249999999997</v>
      </c>
      <c r="T348" s="24"/>
      <c r="U348" s="8"/>
    </row>
    <row r="349" spans="1:21" x14ac:dyDescent="0.25">
      <c r="A349" s="12" t="s">
        <v>62</v>
      </c>
      <c r="B349" s="46" t="s">
        <v>106</v>
      </c>
      <c r="C349" s="14"/>
      <c r="D349" s="40"/>
      <c r="E349" s="42"/>
      <c r="F349" s="42"/>
      <c r="G349" s="42" t="s">
        <v>82</v>
      </c>
      <c r="H349" s="10"/>
      <c r="I349" s="16"/>
      <c r="J349" s="9">
        <f>4.985+1.94+1.51</f>
        <v>8.4350000000000005</v>
      </c>
      <c r="K349" s="9">
        <v>2.75</v>
      </c>
      <c r="L349" s="9"/>
      <c r="M349" s="9">
        <f>1.1*2+1*2</f>
        <v>4.2</v>
      </c>
      <c r="N349" s="9"/>
      <c r="O349" s="9">
        <f>(1.51+1.94)*0.25</f>
        <v>0.86250000000000004</v>
      </c>
      <c r="P349" s="9"/>
      <c r="Q349" s="9"/>
      <c r="R349" s="9"/>
      <c r="S349" s="23">
        <f t="shared" si="6"/>
        <v>18.133750000000003</v>
      </c>
      <c r="T349" s="24"/>
      <c r="U349" s="8"/>
    </row>
    <row r="350" spans="1:21" x14ac:dyDescent="0.25">
      <c r="A350" s="12" t="s">
        <v>62</v>
      </c>
      <c r="B350" s="46" t="s">
        <v>107</v>
      </c>
      <c r="C350" s="14"/>
      <c r="D350" s="40" t="s">
        <v>195</v>
      </c>
      <c r="E350" s="42" t="s">
        <v>86</v>
      </c>
      <c r="F350" s="42"/>
      <c r="G350" s="42"/>
      <c r="H350" s="10"/>
      <c r="I350" s="16" t="s">
        <v>89</v>
      </c>
      <c r="J350" s="9">
        <f>1.9+2.5*2</f>
        <v>6.9</v>
      </c>
      <c r="K350" s="9">
        <v>2</v>
      </c>
      <c r="L350" s="9"/>
      <c r="M350" s="9">
        <f>1*2</f>
        <v>2</v>
      </c>
      <c r="N350" s="9"/>
      <c r="O350" s="9"/>
      <c r="P350" s="9"/>
      <c r="Q350" s="9"/>
      <c r="R350" s="9"/>
      <c r="S350" s="23">
        <f t="shared" si="6"/>
        <v>11.8</v>
      </c>
      <c r="T350" s="24"/>
      <c r="U350" s="8"/>
    </row>
    <row r="351" spans="1:21" x14ac:dyDescent="0.25">
      <c r="A351" s="12" t="s">
        <v>62</v>
      </c>
      <c r="B351" s="46" t="s">
        <v>107</v>
      </c>
      <c r="C351" s="14"/>
      <c r="D351" s="40" t="s">
        <v>195</v>
      </c>
      <c r="E351" s="42" t="s">
        <v>86</v>
      </c>
      <c r="F351" s="42"/>
      <c r="G351" s="42"/>
      <c r="H351" s="10"/>
      <c r="I351" s="16" t="s">
        <v>147</v>
      </c>
      <c r="J351" s="9">
        <v>1.9</v>
      </c>
      <c r="K351" s="9">
        <v>2</v>
      </c>
      <c r="L351" s="9"/>
      <c r="M351" s="9"/>
      <c r="N351" s="9"/>
      <c r="O351" s="9"/>
      <c r="P351" s="9"/>
      <c r="Q351" s="9"/>
      <c r="R351" s="9"/>
      <c r="S351" s="23">
        <f t="shared" si="6"/>
        <v>3.8</v>
      </c>
      <c r="T351" s="24"/>
      <c r="U351" s="8"/>
    </row>
    <row r="352" spans="1:21" x14ac:dyDescent="0.25">
      <c r="A352" s="12" t="s">
        <v>62</v>
      </c>
      <c r="B352" s="46" t="s">
        <v>107</v>
      </c>
      <c r="C352" s="14"/>
      <c r="D352" s="40" t="s">
        <v>195</v>
      </c>
      <c r="E352" s="42"/>
      <c r="F352" s="42" t="s">
        <v>84</v>
      </c>
      <c r="G352" s="42"/>
      <c r="H352" s="10"/>
      <c r="I352" s="16"/>
      <c r="J352" s="9">
        <f>J351</f>
        <v>1.9</v>
      </c>
      <c r="K352" s="9">
        <f>2.5-2</f>
        <v>0.5</v>
      </c>
      <c r="L352" s="9"/>
      <c r="M352" s="9"/>
      <c r="N352" s="9"/>
      <c r="O352" s="9"/>
      <c r="P352" s="9"/>
      <c r="Q352" s="9"/>
      <c r="R352" s="9"/>
      <c r="S352" s="23">
        <f t="shared" si="6"/>
        <v>0.95</v>
      </c>
      <c r="T352" s="24"/>
      <c r="U352" s="8"/>
    </row>
    <row r="353" spans="1:21" x14ac:dyDescent="0.25">
      <c r="A353" s="12" t="s">
        <v>62</v>
      </c>
      <c r="B353" s="46" t="s">
        <v>107</v>
      </c>
      <c r="C353" s="14"/>
      <c r="D353" s="40" t="s">
        <v>195</v>
      </c>
      <c r="E353" s="42"/>
      <c r="F353" s="42"/>
      <c r="G353" s="42" t="s">
        <v>82</v>
      </c>
      <c r="H353" s="10"/>
      <c r="I353" s="16"/>
      <c r="J353" s="9">
        <f>J350</f>
        <v>6.9</v>
      </c>
      <c r="K353" s="9">
        <f>2.5-2</f>
        <v>0.5</v>
      </c>
      <c r="L353" s="9"/>
      <c r="M353" s="9"/>
      <c r="N353" s="9"/>
      <c r="O353" s="9"/>
      <c r="P353" s="9"/>
      <c r="Q353" s="9"/>
      <c r="R353" s="9"/>
      <c r="S353" s="23">
        <f t="shared" si="6"/>
        <v>3.45</v>
      </c>
      <c r="T353" s="24"/>
      <c r="U353" s="8"/>
    </row>
    <row r="354" spans="1:21" x14ac:dyDescent="0.25">
      <c r="A354" s="12" t="s">
        <v>62</v>
      </c>
      <c r="B354" s="46" t="s">
        <v>108</v>
      </c>
      <c r="C354" s="14"/>
      <c r="D354" s="40"/>
      <c r="E354" s="42"/>
      <c r="F354" s="42" t="s">
        <v>84</v>
      </c>
      <c r="G354" s="42"/>
      <c r="H354" s="10"/>
      <c r="I354" s="16"/>
      <c r="J354" s="9">
        <v>4.7350000000000003</v>
      </c>
      <c r="K354" s="9">
        <v>2.75</v>
      </c>
      <c r="L354" s="9">
        <f>2.54*2</f>
        <v>5.08</v>
      </c>
      <c r="M354" s="9"/>
      <c r="N354" s="9"/>
      <c r="O354" s="9"/>
      <c r="P354" s="9"/>
      <c r="Q354" s="9"/>
      <c r="R354" s="9"/>
      <c r="S354" s="23">
        <f t="shared" si="6"/>
        <v>7.9412500000000001</v>
      </c>
      <c r="T354" s="24"/>
      <c r="U354" s="8"/>
    </row>
    <row r="355" spans="1:21" x14ac:dyDescent="0.25">
      <c r="A355" s="12" t="s">
        <v>62</v>
      </c>
      <c r="B355" s="46" t="s">
        <v>108</v>
      </c>
      <c r="C355" s="14"/>
      <c r="D355" s="40"/>
      <c r="E355" s="42"/>
      <c r="F355" s="42"/>
      <c r="G355" s="42" t="s">
        <v>82</v>
      </c>
      <c r="H355" s="10"/>
      <c r="I355" s="16"/>
      <c r="J355" s="9">
        <f>3.945+2.12+1.45-0.25</f>
        <v>7.2649999999999997</v>
      </c>
      <c r="K355" s="9">
        <v>2.75</v>
      </c>
      <c r="L355" s="9"/>
      <c r="M355" s="9">
        <f>1.1*2+1*2</f>
        <v>4.2</v>
      </c>
      <c r="N355" s="9"/>
      <c r="O355" s="9">
        <f>(2.12+1.45-0.25)*0.25</f>
        <v>0.83000000000000007</v>
      </c>
      <c r="P355" s="9"/>
      <c r="Q355" s="9"/>
      <c r="R355" s="9"/>
      <c r="S355" s="23">
        <f t="shared" si="6"/>
        <v>14.948749999999999</v>
      </c>
      <c r="T355" s="24"/>
      <c r="U355" s="8"/>
    </row>
    <row r="356" spans="1:21" x14ac:dyDescent="0.25">
      <c r="A356" s="12" t="s">
        <v>62</v>
      </c>
      <c r="B356" s="46" t="s">
        <v>108</v>
      </c>
      <c r="C356" s="14"/>
      <c r="D356" s="40"/>
      <c r="E356" s="42"/>
      <c r="F356" s="42" t="s">
        <v>83</v>
      </c>
      <c r="G356" s="42"/>
      <c r="H356" s="10"/>
      <c r="I356" s="16"/>
      <c r="J356" s="9">
        <f>5.395+2.615+0.25</f>
        <v>8.26</v>
      </c>
      <c r="K356" s="9">
        <v>2.75</v>
      </c>
      <c r="L356" s="9"/>
      <c r="M356" s="9"/>
      <c r="N356" s="9"/>
      <c r="O356" s="9">
        <f>(1.45+0.25)*0.25</f>
        <v>0.42499999999999999</v>
      </c>
      <c r="P356" s="9"/>
      <c r="Q356" s="9"/>
      <c r="R356" s="9"/>
      <c r="S356" s="23">
        <f t="shared" si="6"/>
        <v>22.29</v>
      </c>
      <c r="T356" s="24"/>
      <c r="U356" s="8"/>
    </row>
    <row r="357" spans="1:21" x14ac:dyDescent="0.25">
      <c r="A357" s="12" t="s">
        <v>62</v>
      </c>
      <c r="B357" s="46" t="s">
        <v>109</v>
      </c>
      <c r="C357" s="14"/>
      <c r="D357" s="40" t="s">
        <v>195</v>
      </c>
      <c r="E357" s="42" t="s">
        <v>86</v>
      </c>
      <c r="F357" s="42"/>
      <c r="G357" s="42"/>
      <c r="H357" s="10"/>
      <c r="I357" s="16" t="s">
        <v>89</v>
      </c>
      <c r="J357" s="9">
        <f>2.15*2+2.45</f>
        <v>6.75</v>
      </c>
      <c r="K357" s="9">
        <v>2</v>
      </c>
      <c r="L357" s="9"/>
      <c r="M357" s="9">
        <f>1*2</f>
        <v>2</v>
      </c>
      <c r="N357" s="9"/>
      <c r="O357" s="9"/>
      <c r="P357" s="9"/>
      <c r="Q357" s="9"/>
      <c r="R357" s="9"/>
      <c r="S357" s="23">
        <f t="shared" si="6"/>
        <v>11.5</v>
      </c>
      <c r="T357" s="24"/>
      <c r="U357" s="8"/>
    </row>
    <row r="358" spans="1:21" x14ac:dyDescent="0.25">
      <c r="A358" s="12" t="s">
        <v>62</v>
      </c>
      <c r="B358" s="46" t="s">
        <v>109</v>
      </c>
      <c r="C358" s="14"/>
      <c r="D358" s="40" t="s">
        <v>195</v>
      </c>
      <c r="E358" s="42" t="s">
        <v>86</v>
      </c>
      <c r="F358" s="42"/>
      <c r="G358" s="42"/>
      <c r="H358" s="10"/>
      <c r="I358" s="16" t="s">
        <v>146</v>
      </c>
      <c r="J358" s="9">
        <v>2.4500000000000002</v>
      </c>
      <c r="K358" s="9">
        <v>2</v>
      </c>
      <c r="L358" s="9"/>
      <c r="M358" s="9"/>
      <c r="N358" s="9"/>
      <c r="O358" s="9"/>
      <c r="P358" s="9"/>
      <c r="Q358" s="9"/>
      <c r="R358" s="9"/>
      <c r="S358" s="23">
        <f t="shared" si="6"/>
        <v>4.9000000000000004</v>
      </c>
      <c r="T358" s="24"/>
      <c r="U358" s="8"/>
    </row>
    <row r="359" spans="1:21" x14ac:dyDescent="0.25">
      <c r="A359" s="12" t="s">
        <v>62</v>
      </c>
      <c r="B359" s="46" t="s">
        <v>109</v>
      </c>
      <c r="C359" s="14"/>
      <c r="D359" s="40" t="s">
        <v>195</v>
      </c>
      <c r="E359" s="42"/>
      <c r="F359" s="42" t="s">
        <v>83</v>
      </c>
      <c r="G359" s="42"/>
      <c r="H359" s="10"/>
      <c r="I359" s="16"/>
      <c r="J359" s="9">
        <f>J358</f>
        <v>2.4500000000000002</v>
      </c>
      <c r="K359" s="9">
        <f>2.5-2</f>
        <v>0.5</v>
      </c>
      <c r="L359" s="9"/>
      <c r="M359" s="9"/>
      <c r="N359" s="9"/>
      <c r="O359" s="9"/>
      <c r="P359" s="9"/>
      <c r="Q359" s="9"/>
      <c r="R359" s="9"/>
      <c r="S359" s="23">
        <f t="shared" si="6"/>
        <v>1.2250000000000001</v>
      </c>
      <c r="T359" s="24"/>
      <c r="U359" s="8"/>
    </row>
    <row r="360" spans="1:21" x14ac:dyDescent="0.25">
      <c r="A360" s="12" t="s">
        <v>62</v>
      </c>
      <c r="B360" s="46" t="s">
        <v>109</v>
      </c>
      <c r="C360" s="14"/>
      <c r="D360" s="40" t="s">
        <v>195</v>
      </c>
      <c r="E360" s="42"/>
      <c r="F360" s="42"/>
      <c r="G360" s="42" t="s">
        <v>82</v>
      </c>
      <c r="H360" s="10"/>
      <c r="I360" s="16"/>
      <c r="J360" s="9">
        <f>J357</f>
        <v>6.75</v>
      </c>
      <c r="K360" s="9">
        <f>2.5-2</f>
        <v>0.5</v>
      </c>
      <c r="L360" s="9"/>
      <c r="M360" s="9"/>
      <c r="N360" s="9"/>
      <c r="O360" s="9"/>
      <c r="P360" s="9"/>
      <c r="Q360" s="9"/>
      <c r="R360" s="9"/>
      <c r="S360" s="23">
        <f t="shared" si="6"/>
        <v>3.375</v>
      </c>
      <c r="T360" s="24"/>
      <c r="U360" s="8"/>
    </row>
    <row r="361" spans="1:21" x14ac:dyDescent="0.25">
      <c r="A361" s="12" t="s">
        <v>62</v>
      </c>
      <c r="B361" s="46" t="s">
        <v>110</v>
      </c>
      <c r="C361" s="14"/>
      <c r="D361" s="40"/>
      <c r="E361" s="42"/>
      <c r="F361" s="42" t="s">
        <v>84</v>
      </c>
      <c r="G361" s="42"/>
      <c r="H361" s="10"/>
      <c r="I361" s="16"/>
      <c r="J361" s="9">
        <v>4.75</v>
      </c>
      <c r="K361" s="9">
        <v>2.75</v>
      </c>
      <c r="L361" s="9">
        <f>2.54*2</f>
        <v>5.08</v>
      </c>
      <c r="M361" s="9"/>
      <c r="N361" s="9"/>
      <c r="O361" s="9"/>
      <c r="P361" s="9"/>
      <c r="Q361" s="9"/>
      <c r="R361" s="9"/>
      <c r="S361" s="23">
        <f t="shared" si="6"/>
        <v>7.9824999999999999</v>
      </c>
      <c r="T361" s="24"/>
      <c r="U361" s="8"/>
    </row>
    <row r="362" spans="1:21" x14ac:dyDescent="0.25">
      <c r="A362" s="12" t="s">
        <v>62</v>
      </c>
      <c r="B362" s="46" t="s">
        <v>110</v>
      </c>
      <c r="C362" s="14"/>
      <c r="D362" s="40"/>
      <c r="E362" s="42"/>
      <c r="F362" s="42"/>
      <c r="G362" s="42" t="s">
        <v>82</v>
      </c>
      <c r="H362" s="10"/>
      <c r="I362" s="16"/>
      <c r="J362" s="9">
        <f>3.945+2.12+1.45-0.25</f>
        <v>7.2649999999999997</v>
      </c>
      <c r="K362" s="9">
        <v>2.75</v>
      </c>
      <c r="L362" s="9"/>
      <c r="M362" s="9">
        <f>1.1*2</f>
        <v>2.2000000000000002</v>
      </c>
      <c r="N362" s="9"/>
      <c r="O362" s="9">
        <f>(2.1+1.45*2-0.25)*0.25</f>
        <v>1.1875</v>
      </c>
      <c r="P362" s="9"/>
      <c r="Q362" s="9"/>
      <c r="R362" s="9"/>
      <c r="S362" s="23">
        <f t="shared" si="6"/>
        <v>16.591249999999999</v>
      </c>
      <c r="T362" s="24"/>
      <c r="U362" s="8"/>
    </row>
    <row r="363" spans="1:21" x14ac:dyDescent="0.25">
      <c r="A363" s="12" t="s">
        <v>62</v>
      </c>
      <c r="B363" s="46" t="s">
        <v>110</v>
      </c>
      <c r="C363" s="14"/>
      <c r="D363" s="40"/>
      <c r="E363" s="42"/>
      <c r="F363" s="42" t="s">
        <v>83</v>
      </c>
      <c r="G363" s="42"/>
      <c r="H363" s="10"/>
      <c r="I363" s="16"/>
      <c r="J363" s="9">
        <f>3.25+0.25+0.6</f>
        <v>4.0999999999999996</v>
      </c>
      <c r="K363" s="9">
        <v>2.75</v>
      </c>
      <c r="L363" s="9"/>
      <c r="M363" s="9">
        <f>1.1*2</f>
        <v>2.2000000000000002</v>
      </c>
      <c r="N363" s="9"/>
      <c r="O363" s="9">
        <f>(0.6+0.25)*0.25</f>
        <v>0.21249999999999999</v>
      </c>
      <c r="P363" s="9"/>
      <c r="Q363" s="9"/>
      <c r="R363" s="9"/>
      <c r="S363" s="23">
        <f t="shared" si="6"/>
        <v>8.8624999999999989</v>
      </c>
      <c r="T363" s="24"/>
      <c r="U363" s="8"/>
    </row>
    <row r="364" spans="1:21" x14ac:dyDescent="0.25">
      <c r="A364" s="12" t="s">
        <v>62</v>
      </c>
      <c r="B364" s="46" t="s">
        <v>111</v>
      </c>
      <c r="C364" s="14"/>
      <c r="D364" s="40" t="s">
        <v>195</v>
      </c>
      <c r="E364" s="42" t="s">
        <v>86</v>
      </c>
      <c r="F364" s="42"/>
      <c r="G364" s="42"/>
      <c r="H364" s="10"/>
      <c r="I364" s="16" t="s">
        <v>89</v>
      </c>
      <c r="J364" s="9">
        <f>2.15*2+2.45</f>
        <v>6.75</v>
      </c>
      <c r="K364" s="9">
        <v>2</v>
      </c>
      <c r="L364" s="9"/>
      <c r="M364" s="9"/>
      <c r="N364" s="9"/>
      <c r="O364" s="9"/>
      <c r="P364" s="9"/>
      <c r="Q364" s="9"/>
      <c r="R364" s="9"/>
      <c r="S364" s="23">
        <f t="shared" si="6"/>
        <v>13.5</v>
      </c>
      <c r="T364" s="24"/>
      <c r="U364" s="8"/>
    </row>
    <row r="365" spans="1:21" x14ac:dyDescent="0.25">
      <c r="A365" s="12" t="s">
        <v>62</v>
      </c>
      <c r="B365" s="46" t="s">
        <v>111</v>
      </c>
      <c r="C365" s="14"/>
      <c r="D365" s="40" t="s">
        <v>195</v>
      </c>
      <c r="E365" s="42" t="s">
        <v>86</v>
      </c>
      <c r="F365" s="42"/>
      <c r="G365" s="42"/>
      <c r="H365" s="10"/>
      <c r="I365" s="16" t="s">
        <v>146</v>
      </c>
      <c r="J365" s="9">
        <v>2.4500000000000002</v>
      </c>
      <c r="K365" s="9">
        <v>2</v>
      </c>
      <c r="L365" s="9"/>
      <c r="M365" s="9">
        <f>1.1*2</f>
        <v>2.2000000000000002</v>
      </c>
      <c r="N365" s="9"/>
      <c r="O365" s="9"/>
      <c r="P365" s="9"/>
      <c r="Q365" s="9"/>
      <c r="R365" s="9"/>
      <c r="S365" s="23">
        <f t="shared" si="6"/>
        <v>2.7</v>
      </c>
      <c r="T365" s="24"/>
      <c r="U365" s="8"/>
    </row>
    <row r="366" spans="1:21" x14ac:dyDescent="0.25">
      <c r="A366" s="12" t="s">
        <v>62</v>
      </c>
      <c r="B366" s="46" t="s">
        <v>111</v>
      </c>
      <c r="C366" s="14"/>
      <c r="D366" s="40" t="s">
        <v>195</v>
      </c>
      <c r="E366" s="42"/>
      <c r="F366" s="42" t="s">
        <v>83</v>
      </c>
      <c r="G366" s="42"/>
      <c r="H366" s="10"/>
      <c r="I366" s="16"/>
      <c r="J366" s="9">
        <f>J365</f>
        <v>2.4500000000000002</v>
      </c>
      <c r="K366" s="9">
        <f>2.5-2</f>
        <v>0.5</v>
      </c>
      <c r="L366" s="9"/>
      <c r="M366" s="9"/>
      <c r="N366" s="9"/>
      <c r="O366" s="9"/>
      <c r="P366" s="9"/>
      <c r="Q366" s="9"/>
      <c r="R366" s="9"/>
      <c r="S366" s="23">
        <f t="shared" si="6"/>
        <v>1.2250000000000001</v>
      </c>
      <c r="T366" s="24"/>
      <c r="U366" s="8"/>
    </row>
    <row r="367" spans="1:21" x14ac:dyDescent="0.25">
      <c r="A367" s="12" t="s">
        <v>62</v>
      </c>
      <c r="B367" s="46" t="s">
        <v>111</v>
      </c>
      <c r="C367" s="14"/>
      <c r="D367" s="40" t="s">
        <v>195</v>
      </c>
      <c r="E367" s="42"/>
      <c r="F367" s="42"/>
      <c r="G367" s="42" t="s">
        <v>82</v>
      </c>
      <c r="H367" s="10"/>
      <c r="I367" s="16"/>
      <c r="J367" s="9">
        <f>J364</f>
        <v>6.75</v>
      </c>
      <c r="K367" s="9">
        <f>2.5-2</f>
        <v>0.5</v>
      </c>
      <c r="L367" s="9"/>
      <c r="M367" s="9"/>
      <c r="N367" s="9"/>
      <c r="O367" s="9"/>
      <c r="P367" s="9"/>
      <c r="Q367" s="9"/>
      <c r="R367" s="9"/>
      <c r="S367" s="23">
        <f t="shared" si="6"/>
        <v>3.375</v>
      </c>
      <c r="T367" s="24"/>
      <c r="U367" s="8"/>
    </row>
    <row r="368" spans="1:21" x14ac:dyDescent="0.25">
      <c r="A368" s="12" t="s">
        <v>62</v>
      </c>
      <c r="B368" s="13" t="s">
        <v>112</v>
      </c>
      <c r="C368" s="14"/>
      <c r="D368" s="40" t="s">
        <v>195</v>
      </c>
      <c r="E368" s="42" t="s">
        <v>86</v>
      </c>
      <c r="F368" s="42"/>
      <c r="G368" s="42"/>
      <c r="H368" s="10"/>
      <c r="I368" s="16" t="s">
        <v>89</v>
      </c>
      <c r="J368" s="9">
        <v>10.77</v>
      </c>
      <c r="K368" s="9">
        <v>2</v>
      </c>
      <c r="L368" s="9"/>
      <c r="M368" s="9">
        <f>0.8*2</f>
        <v>1.6</v>
      </c>
      <c r="N368" s="9"/>
      <c r="O368" s="9"/>
      <c r="P368" s="9"/>
      <c r="Q368" s="9"/>
      <c r="R368" s="9"/>
      <c r="S368" s="23">
        <f t="shared" si="6"/>
        <v>19.939999999999998</v>
      </c>
      <c r="T368" s="24"/>
      <c r="U368" s="8"/>
    </row>
    <row r="369" spans="1:21" x14ac:dyDescent="0.25">
      <c r="A369" s="12" t="s">
        <v>62</v>
      </c>
      <c r="B369" s="13" t="s">
        <v>112</v>
      </c>
      <c r="C369" s="14"/>
      <c r="D369" s="40" t="s">
        <v>195</v>
      </c>
      <c r="E369" s="42"/>
      <c r="F369" s="42"/>
      <c r="G369" s="42" t="s">
        <v>82</v>
      </c>
      <c r="H369" s="10"/>
      <c r="I369" s="16"/>
      <c r="J369" s="9">
        <f>J368</f>
        <v>10.77</v>
      </c>
      <c r="K369" s="9">
        <v>0.5</v>
      </c>
      <c r="L369" s="9"/>
      <c r="M369" s="9"/>
      <c r="N369" s="9"/>
      <c r="O369" s="9"/>
      <c r="P369" s="9"/>
      <c r="Q369" s="9"/>
      <c r="R369" s="9"/>
      <c r="S369" s="23">
        <f t="shared" si="6"/>
        <v>5.3849999999999998</v>
      </c>
      <c r="T369" s="24"/>
      <c r="U369" s="8"/>
    </row>
    <row r="370" spans="1:21" x14ac:dyDescent="0.25">
      <c r="A370" s="12" t="s">
        <v>62</v>
      </c>
      <c r="B370" s="13" t="s">
        <v>113</v>
      </c>
      <c r="C370" s="14"/>
      <c r="D370" s="40" t="s">
        <v>195</v>
      </c>
      <c r="E370" s="42" t="s">
        <v>86</v>
      </c>
      <c r="F370" s="42"/>
      <c r="G370" s="42"/>
      <c r="H370" s="10"/>
      <c r="I370" s="16" t="s">
        <v>89</v>
      </c>
      <c r="J370" s="9">
        <v>6.5</v>
      </c>
      <c r="K370" s="9">
        <v>2</v>
      </c>
      <c r="L370" s="9"/>
      <c r="M370" s="9">
        <f>0.7*2</f>
        <v>1.4</v>
      </c>
      <c r="N370" s="9"/>
      <c r="O370" s="9"/>
      <c r="P370" s="9"/>
      <c r="Q370" s="9"/>
      <c r="R370" s="9"/>
      <c r="S370" s="23">
        <f t="shared" si="6"/>
        <v>11.6</v>
      </c>
      <c r="T370" s="24"/>
      <c r="U370" s="8"/>
    </row>
    <row r="371" spans="1:21" x14ac:dyDescent="0.25">
      <c r="A371" s="12" t="s">
        <v>62</v>
      </c>
      <c r="B371" s="13" t="s">
        <v>113</v>
      </c>
      <c r="C371" s="14"/>
      <c r="D371" s="40" t="s">
        <v>195</v>
      </c>
      <c r="E371" s="42"/>
      <c r="F371" s="42"/>
      <c r="G371" s="42" t="s">
        <v>82</v>
      </c>
      <c r="H371" s="10"/>
      <c r="I371" s="16"/>
      <c r="J371" s="9">
        <f>J370</f>
        <v>6.5</v>
      </c>
      <c r="K371" s="9">
        <v>0.5</v>
      </c>
      <c r="L371" s="9"/>
      <c r="M371" s="9"/>
      <c r="N371" s="9"/>
      <c r="O371" s="9"/>
      <c r="P371" s="9"/>
      <c r="Q371" s="9"/>
      <c r="R371" s="9"/>
      <c r="S371" s="23">
        <f t="shared" si="6"/>
        <v>3.25</v>
      </c>
      <c r="T371" s="24"/>
      <c r="U371" s="8"/>
    </row>
    <row r="372" spans="1:21" x14ac:dyDescent="0.25">
      <c r="A372" s="12" t="s">
        <v>62</v>
      </c>
      <c r="B372" s="13" t="s">
        <v>114</v>
      </c>
      <c r="C372" s="14"/>
      <c r="D372" s="40" t="s">
        <v>195</v>
      </c>
      <c r="E372" s="42" t="s">
        <v>86</v>
      </c>
      <c r="F372" s="42"/>
      <c r="G372" s="42"/>
      <c r="H372" s="10"/>
      <c r="I372" s="16" t="s">
        <v>89</v>
      </c>
      <c r="J372" s="9">
        <v>5.6</v>
      </c>
      <c r="K372" s="9">
        <v>2</v>
      </c>
      <c r="L372" s="9"/>
      <c r="M372" s="9">
        <f>0.7*2</f>
        <v>1.4</v>
      </c>
      <c r="N372" s="9"/>
      <c r="O372" s="9"/>
      <c r="P372" s="9"/>
      <c r="Q372" s="9"/>
      <c r="R372" s="9"/>
      <c r="S372" s="23">
        <f t="shared" si="6"/>
        <v>9.7999999999999989</v>
      </c>
      <c r="T372" s="24"/>
      <c r="U372" s="8"/>
    </row>
    <row r="373" spans="1:21" x14ac:dyDescent="0.25">
      <c r="A373" s="12" t="s">
        <v>62</v>
      </c>
      <c r="B373" s="13" t="s">
        <v>114</v>
      </c>
      <c r="C373" s="14"/>
      <c r="D373" s="40" t="s">
        <v>195</v>
      </c>
      <c r="E373" s="42"/>
      <c r="F373" s="42"/>
      <c r="G373" s="42" t="s">
        <v>82</v>
      </c>
      <c r="H373" s="10"/>
      <c r="I373" s="16"/>
      <c r="J373" s="9">
        <f>J372</f>
        <v>5.6</v>
      </c>
      <c r="K373" s="9">
        <v>0.5</v>
      </c>
      <c r="L373" s="9"/>
      <c r="M373" s="9"/>
      <c r="N373" s="9"/>
      <c r="O373" s="9"/>
      <c r="P373" s="9"/>
      <c r="Q373" s="9"/>
      <c r="R373" s="9"/>
      <c r="S373" s="23">
        <f t="shared" si="6"/>
        <v>2.8</v>
      </c>
      <c r="T373" s="24"/>
      <c r="U373" s="8"/>
    </row>
    <row r="374" spans="1:21" x14ac:dyDescent="0.25">
      <c r="A374" s="12" t="s">
        <v>62</v>
      </c>
      <c r="B374" s="13" t="s">
        <v>115</v>
      </c>
      <c r="C374" s="14"/>
      <c r="D374" s="40" t="s">
        <v>195</v>
      </c>
      <c r="E374" s="42" t="s">
        <v>86</v>
      </c>
      <c r="F374" s="42"/>
      <c r="G374" s="42"/>
      <c r="H374" s="10"/>
      <c r="I374" s="16" t="s">
        <v>89</v>
      </c>
      <c r="J374" s="9">
        <f>6.5-J375</f>
        <v>4.45</v>
      </c>
      <c r="K374" s="9">
        <v>2</v>
      </c>
      <c r="L374" s="9"/>
      <c r="M374" s="9">
        <f>0.7*2</f>
        <v>1.4</v>
      </c>
      <c r="N374" s="9"/>
      <c r="O374" s="9"/>
      <c r="P374" s="9"/>
      <c r="Q374" s="9"/>
      <c r="R374" s="9"/>
      <c r="S374" s="23">
        <f t="shared" si="6"/>
        <v>7.5</v>
      </c>
      <c r="T374" s="24"/>
      <c r="U374" s="8"/>
    </row>
    <row r="375" spans="1:21" x14ac:dyDescent="0.25">
      <c r="A375" s="12" t="s">
        <v>62</v>
      </c>
      <c r="B375" s="13" t="s">
        <v>115</v>
      </c>
      <c r="C375" s="14"/>
      <c r="D375" s="40" t="s">
        <v>195</v>
      </c>
      <c r="E375" s="42" t="s">
        <v>86</v>
      </c>
      <c r="F375" s="42"/>
      <c r="G375" s="42"/>
      <c r="H375" s="10"/>
      <c r="I375" s="16" t="s">
        <v>146</v>
      </c>
      <c r="J375" s="9">
        <v>2.0499999999999998</v>
      </c>
      <c r="K375" s="9">
        <v>2</v>
      </c>
      <c r="L375" s="9"/>
      <c r="M375" s="9"/>
      <c r="N375" s="9"/>
      <c r="O375" s="9"/>
      <c r="P375" s="9"/>
      <c r="Q375" s="9"/>
      <c r="R375" s="9"/>
      <c r="S375" s="23">
        <f t="shared" si="6"/>
        <v>4.0999999999999996</v>
      </c>
      <c r="T375" s="24"/>
      <c r="U375" s="8"/>
    </row>
    <row r="376" spans="1:21" x14ac:dyDescent="0.25">
      <c r="A376" s="12" t="s">
        <v>62</v>
      </c>
      <c r="B376" s="13" t="s">
        <v>115</v>
      </c>
      <c r="C376" s="14"/>
      <c r="D376" s="40" t="s">
        <v>195</v>
      </c>
      <c r="E376" s="42"/>
      <c r="F376" s="42"/>
      <c r="G376" s="42" t="s">
        <v>82</v>
      </c>
      <c r="H376" s="10"/>
      <c r="I376" s="16"/>
      <c r="J376" s="9">
        <f>J374</f>
        <v>4.45</v>
      </c>
      <c r="K376" s="9">
        <v>0.5</v>
      </c>
      <c r="L376" s="9"/>
      <c r="M376" s="9"/>
      <c r="N376" s="9"/>
      <c r="O376" s="9"/>
      <c r="P376" s="9"/>
      <c r="Q376" s="9"/>
      <c r="R376" s="9"/>
      <c r="S376" s="23">
        <f t="shared" si="6"/>
        <v>2.2250000000000001</v>
      </c>
      <c r="T376" s="24"/>
      <c r="U376" s="8"/>
    </row>
    <row r="377" spans="1:21" x14ac:dyDescent="0.25">
      <c r="A377" s="12" t="s">
        <v>62</v>
      </c>
      <c r="B377" s="13" t="s">
        <v>115</v>
      </c>
      <c r="C377" s="14"/>
      <c r="D377" s="40" t="s">
        <v>195</v>
      </c>
      <c r="E377" s="42"/>
      <c r="F377" s="42" t="s">
        <v>83</v>
      </c>
      <c r="G377" s="42"/>
      <c r="H377" s="10"/>
      <c r="I377" s="16"/>
      <c r="J377" s="9">
        <f>J375</f>
        <v>2.0499999999999998</v>
      </c>
      <c r="K377" s="9">
        <v>0.5</v>
      </c>
      <c r="L377" s="9"/>
      <c r="M377" s="9"/>
      <c r="N377" s="9"/>
      <c r="O377" s="9"/>
      <c r="P377" s="9"/>
      <c r="Q377" s="9"/>
      <c r="R377" s="9"/>
      <c r="S377" s="23">
        <f t="shared" si="6"/>
        <v>1.0249999999999999</v>
      </c>
      <c r="T377" s="24"/>
      <c r="U377" s="8"/>
    </row>
    <row r="378" spans="1:21" x14ac:dyDescent="0.25">
      <c r="A378" s="12" t="s">
        <v>62</v>
      </c>
      <c r="B378" s="13" t="s">
        <v>116</v>
      </c>
      <c r="C378" s="14"/>
      <c r="D378" s="40" t="s">
        <v>195</v>
      </c>
      <c r="E378" s="42" t="s">
        <v>86</v>
      </c>
      <c r="F378" s="42"/>
      <c r="G378" s="42"/>
      <c r="H378" s="10"/>
      <c r="I378" s="16" t="s">
        <v>89</v>
      </c>
      <c r="J378" s="9">
        <f>5.6-J379</f>
        <v>3.9999999999999996</v>
      </c>
      <c r="K378" s="9">
        <v>2</v>
      </c>
      <c r="L378" s="9"/>
      <c r="M378" s="9">
        <f>0.7*2</f>
        <v>1.4</v>
      </c>
      <c r="N378" s="9"/>
      <c r="O378" s="9"/>
      <c r="P378" s="9"/>
      <c r="Q378" s="9"/>
      <c r="R378" s="9"/>
      <c r="S378" s="23">
        <f t="shared" si="6"/>
        <v>6.6</v>
      </c>
      <c r="T378" s="24"/>
      <c r="U378" s="8"/>
    </row>
    <row r="379" spans="1:21" x14ac:dyDescent="0.25">
      <c r="A379" s="12" t="s">
        <v>62</v>
      </c>
      <c r="B379" s="13" t="s">
        <v>116</v>
      </c>
      <c r="C379" s="14"/>
      <c r="D379" s="40" t="s">
        <v>195</v>
      </c>
      <c r="E379" s="42" t="s">
        <v>86</v>
      </c>
      <c r="F379" s="42"/>
      <c r="G379" s="42"/>
      <c r="H379" s="10"/>
      <c r="I379" s="16" t="s">
        <v>146</v>
      </c>
      <c r="J379" s="9">
        <v>1.6</v>
      </c>
      <c r="K379" s="9">
        <v>2</v>
      </c>
      <c r="L379" s="9"/>
      <c r="M379" s="9"/>
      <c r="N379" s="9"/>
      <c r="O379" s="9"/>
      <c r="P379" s="9"/>
      <c r="Q379" s="9"/>
      <c r="R379" s="9"/>
      <c r="S379" s="23">
        <f t="shared" si="6"/>
        <v>3.2</v>
      </c>
      <c r="T379" s="24"/>
      <c r="U379" s="8"/>
    </row>
    <row r="380" spans="1:21" x14ac:dyDescent="0.25">
      <c r="A380" s="12" t="s">
        <v>62</v>
      </c>
      <c r="B380" s="13" t="s">
        <v>116</v>
      </c>
      <c r="C380" s="14"/>
      <c r="D380" s="40" t="s">
        <v>195</v>
      </c>
      <c r="E380" s="42"/>
      <c r="F380" s="42"/>
      <c r="G380" s="42" t="s">
        <v>82</v>
      </c>
      <c r="H380" s="10"/>
      <c r="I380" s="16"/>
      <c r="J380" s="9">
        <f>J378</f>
        <v>3.9999999999999996</v>
      </c>
      <c r="K380" s="9">
        <v>0.5</v>
      </c>
      <c r="L380" s="9"/>
      <c r="M380" s="9"/>
      <c r="N380" s="9"/>
      <c r="O380" s="9"/>
      <c r="P380" s="9"/>
      <c r="Q380" s="9"/>
      <c r="R380" s="9"/>
      <c r="S380" s="23">
        <f t="shared" si="6"/>
        <v>1.9999999999999998</v>
      </c>
      <c r="T380" s="24"/>
      <c r="U380" s="8"/>
    </row>
    <row r="381" spans="1:21" x14ac:dyDescent="0.25">
      <c r="A381" s="12" t="s">
        <v>62</v>
      </c>
      <c r="B381" s="13" t="s">
        <v>116</v>
      </c>
      <c r="C381" s="14"/>
      <c r="D381" s="40" t="s">
        <v>195</v>
      </c>
      <c r="E381" s="42"/>
      <c r="F381" s="42" t="s">
        <v>83</v>
      </c>
      <c r="G381" s="42"/>
      <c r="H381" s="10"/>
      <c r="I381" s="16"/>
      <c r="J381" s="9">
        <f>J379</f>
        <v>1.6</v>
      </c>
      <c r="K381" s="9">
        <v>0.5</v>
      </c>
      <c r="L381" s="9"/>
      <c r="M381" s="9"/>
      <c r="N381" s="9"/>
      <c r="O381" s="9"/>
      <c r="P381" s="9"/>
      <c r="Q381" s="9"/>
      <c r="R381" s="9"/>
      <c r="S381" s="23">
        <f t="shared" si="6"/>
        <v>0.8</v>
      </c>
      <c r="T381" s="24"/>
      <c r="U381" s="8"/>
    </row>
    <row r="382" spans="1:21" x14ac:dyDescent="0.25">
      <c r="A382" s="12" t="s">
        <v>62</v>
      </c>
      <c r="B382" s="13" t="s">
        <v>117</v>
      </c>
      <c r="C382" s="14"/>
      <c r="D382" s="40"/>
      <c r="E382" s="42"/>
      <c r="F382" s="42" t="s">
        <v>84</v>
      </c>
      <c r="G382" s="42"/>
      <c r="H382" s="10"/>
      <c r="I382" s="16" t="s">
        <v>142</v>
      </c>
      <c r="J382" s="9">
        <f>(0.13+0.19+2.31+0.25)+(0.25+1.455+0.19+0.13)</f>
        <v>4.9049999999999994</v>
      </c>
      <c r="K382" s="9">
        <v>2.7</v>
      </c>
      <c r="L382" s="9"/>
      <c r="M382" s="9"/>
      <c r="N382" s="9"/>
      <c r="O382" s="9"/>
      <c r="P382" s="9"/>
      <c r="Q382" s="9"/>
      <c r="R382" s="9"/>
      <c r="S382" s="23">
        <f t="shared" si="6"/>
        <v>13.243499999999999</v>
      </c>
      <c r="T382" s="24"/>
      <c r="U382" s="8"/>
    </row>
    <row r="383" spans="1:21" x14ac:dyDescent="0.25">
      <c r="A383" s="12" t="s">
        <v>62</v>
      </c>
      <c r="B383" s="13" t="s">
        <v>117</v>
      </c>
      <c r="C383" s="14"/>
      <c r="D383" s="40"/>
      <c r="E383" s="42"/>
      <c r="F383" s="42" t="s">
        <v>83</v>
      </c>
      <c r="G383" s="42"/>
      <c r="H383" s="10"/>
      <c r="I383" s="16" t="s">
        <v>142</v>
      </c>
      <c r="J383" s="9">
        <f>6.75</f>
        <v>6.75</v>
      </c>
      <c r="K383" s="9">
        <v>2.7</v>
      </c>
      <c r="L383" s="9"/>
      <c r="M383" s="9">
        <f>0.9*2.5</f>
        <v>2.25</v>
      </c>
      <c r="N383" s="9"/>
      <c r="O383" s="9"/>
      <c r="P383" s="9"/>
      <c r="Q383" s="9"/>
      <c r="R383" s="9"/>
      <c r="S383" s="23">
        <f t="shared" si="6"/>
        <v>15.975000000000001</v>
      </c>
      <c r="T383" s="24"/>
      <c r="U383" s="8"/>
    </row>
    <row r="384" spans="1:21" x14ac:dyDescent="0.25">
      <c r="A384" s="12" t="s">
        <v>62</v>
      </c>
      <c r="B384" s="13" t="s">
        <v>117</v>
      </c>
      <c r="C384" s="14"/>
      <c r="D384" s="40"/>
      <c r="E384" s="42"/>
      <c r="F384" s="42" t="s">
        <v>85</v>
      </c>
      <c r="G384" s="42"/>
      <c r="H384" s="10"/>
      <c r="I384" s="16" t="s">
        <v>142</v>
      </c>
      <c r="J384" s="9">
        <f>0.45+0.65</f>
        <v>1.1000000000000001</v>
      </c>
      <c r="K384" s="9">
        <v>2.7</v>
      </c>
      <c r="L384" s="9"/>
      <c r="M384" s="9"/>
      <c r="N384" s="9"/>
      <c r="O384" s="9"/>
      <c r="P384" s="9"/>
      <c r="Q384" s="9"/>
      <c r="R384" s="9"/>
      <c r="S384" s="23">
        <f t="shared" si="6"/>
        <v>2.9700000000000006</v>
      </c>
      <c r="T384" s="24"/>
      <c r="U384" s="8"/>
    </row>
    <row r="385" spans="1:21" x14ac:dyDescent="0.25">
      <c r="A385" s="12" t="s">
        <v>62</v>
      </c>
      <c r="B385" s="13" t="s">
        <v>117</v>
      </c>
      <c r="C385" s="14"/>
      <c r="D385" s="40"/>
      <c r="E385" s="42"/>
      <c r="F385" s="42"/>
      <c r="G385" s="42" t="s">
        <v>82</v>
      </c>
      <c r="H385" s="10"/>
      <c r="I385" s="16" t="s">
        <v>142</v>
      </c>
      <c r="J385" s="9">
        <f>(12.71-0.25+1*3)+(12.1+1*2)+(25.695+1*6)+(0.675+1+2.385-0.25)</f>
        <v>65.064999999999998</v>
      </c>
      <c r="K385" s="9">
        <v>2.7</v>
      </c>
      <c r="L385" s="9"/>
      <c r="M385" s="9">
        <f>1.1*2*12+1.55*2.425*3</f>
        <v>37.676250000000003</v>
      </c>
      <c r="N385" s="9"/>
      <c r="O385" s="9"/>
      <c r="P385" s="9"/>
      <c r="Q385" s="9"/>
      <c r="R385" s="9"/>
      <c r="S385" s="23">
        <f t="shared" si="6"/>
        <v>137.99924999999999</v>
      </c>
      <c r="T385" s="24"/>
      <c r="U385" s="8"/>
    </row>
    <row r="386" spans="1:21" x14ac:dyDescent="0.25">
      <c r="A386" s="12" t="s">
        <v>62</v>
      </c>
      <c r="B386" s="13" t="s">
        <v>117</v>
      </c>
      <c r="C386" s="14"/>
      <c r="D386" s="40"/>
      <c r="E386" s="42"/>
      <c r="F386" s="42" t="s">
        <v>83</v>
      </c>
      <c r="G386" s="42"/>
      <c r="H386" s="10"/>
      <c r="I386" s="16" t="s">
        <v>149</v>
      </c>
      <c r="J386" s="9">
        <v>51.62</v>
      </c>
      <c r="K386" s="9">
        <v>2.7</v>
      </c>
      <c r="L386" s="9">
        <f>3.05*2+3*2+2*2</f>
        <v>16.100000000000001</v>
      </c>
      <c r="M386" s="9">
        <f>2*2.5+3.05*2.5+1.1*2+0.8*2+1.3*2+0.8*2</f>
        <v>20.625000000000004</v>
      </c>
      <c r="N386" s="9">
        <f>1.47*2.5+6.8*2.5</f>
        <v>20.675000000000001</v>
      </c>
      <c r="O386" s="9"/>
      <c r="P386" s="9"/>
      <c r="Q386" s="9"/>
      <c r="R386" s="9"/>
      <c r="S386" s="23">
        <f t="shared" si="6"/>
        <v>81.974000000000004</v>
      </c>
      <c r="T386" s="24"/>
      <c r="U386" s="8"/>
    </row>
    <row r="387" spans="1:21" x14ac:dyDescent="0.25">
      <c r="A387" s="12" t="s">
        <v>62</v>
      </c>
      <c r="B387" s="13" t="s">
        <v>117</v>
      </c>
      <c r="C387" s="14"/>
      <c r="D387" s="40"/>
      <c r="E387" s="42"/>
      <c r="F387" s="42" t="s">
        <v>84</v>
      </c>
      <c r="G387" s="42"/>
      <c r="H387" s="10"/>
      <c r="I387" s="16" t="s">
        <v>148</v>
      </c>
      <c r="J387" s="9">
        <f>2.7*2</f>
        <v>5.4</v>
      </c>
      <c r="K387" s="9">
        <v>2.7</v>
      </c>
      <c r="L387" s="9"/>
      <c r="M387" s="9">
        <f>2.5*2.5*2</f>
        <v>12.5</v>
      </c>
      <c r="N387" s="9"/>
      <c r="O387" s="9"/>
      <c r="P387" s="9"/>
      <c r="Q387" s="9"/>
      <c r="R387" s="9"/>
      <c r="S387" s="23">
        <f t="shared" si="6"/>
        <v>2.0800000000000018</v>
      </c>
      <c r="T387" s="24"/>
      <c r="U387" s="8"/>
    </row>
    <row r="388" spans="1:21" x14ac:dyDescent="0.25">
      <c r="A388" s="12" t="s">
        <v>62</v>
      </c>
      <c r="B388" s="13" t="s">
        <v>117</v>
      </c>
      <c r="C388" s="14"/>
      <c r="D388" s="40"/>
      <c r="E388" s="42"/>
      <c r="F388" s="42"/>
      <c r="G388" s="42" t="s">
        <v>82</v>
      </c>
      <c r="H388" s="10"/>
      <c r="I388" s="16" t="s">
        <v>148</v>
      </c>
      <c r="J388" s="9">
        <f>(18.89-2.7)*2</f>
        <v>32.380000000000003</v>
      </c>
      <c r="K388" s="9">
        <v>2.7</v>
      </c>
      <c r="L388" s="9"/>
      <c r="M388" s="9">
        <f>(1.55*2.425+1.1*2)*2</f>
        <v>11.9175</v>
      </c>
      <c r="N388" s="9"/>
      <c r="O388" s="9">
        <f>(4.91*2+1.7)*0.2+(4.475*2+1.7)*0.2</f>
        <v>4.4339999999999993</v>
      </c>
      <c r="P388" s="9"/>
      <c r="Q388" s="9"/>
      <c r="R388" s="9"/>
      <c r="S388" s="23">
        <f t="shared" si="6"/>
        <v>71.074500000000015</v>
      </c>
      <c r="T388" s="24"/>
      <c r="U388" s="8"/>
    </row>
    <row r="389" spans="1:21" x14ac:dyDescent="0.25">
      <c r="A389" s="12" t="s">
        <v>62</v>
      </c>
      <c r="B389" s="13" t="s">
        <v>118</v>
      </c>
      <c r="C389" s="14"/>
      <c r="D389" s="40"/>
      <c r="E389" s="42" t="s">
        <v>86</v>
      </c>
      <c r="F389" s="42"/>
      <c r="G389" s="42"/>
      <c r="H389" s="10"/>
      <c r="I389" s="16" t="s">
        <v>89</v>
      </c>
      <c r="J389" s="9">
        <f>2.4+4.385</f>
        <v>6.7850000000000001</v>
      </c>
      <c r="K389" s="9">
        <v>2</v>
      </c>
      <c r="L389" s="9"/>
      <c r="M389" s="9"/>
      <c r="N389" s="9"/>
      <c r="O389" s="9"/>
      <c r="P389" s="9"/>
      <c r="Q389" s="9"/>
      <c r="R389" s="9"/>
      <c r="S389" s="23">
        <f t="shared" si="6"/>
        <v>13.57</v>
      </c>
      <c r="T389" s="24"/>
      <c r="U389" s="8"/>
    </row>
    <row r="390" spans="1:21" x14ac:dyDescent="0.25">
      <c r="A390" s="12" t="s">
        <v>62</v>
      </c>
      <c r="B390" s="13" t="s">
        <v>118</v>
      </c>
      <c r="C390" s="14"/>
      <c r="D390" s="40"/>
      <c r="E390" s="42" t="s">
        <v>86</v>
      </c>
      <c r="F390" s="42"/>
      <c r="G390" s="42"/>
      <c r="H390" s="10"/>
      <c r="I390" s="16" t="s">
        <v>146</v>
      </c>
      <c r="J390" s="9">
        <v>2.4</v>
      </c>
      <c r="K390" s="9">
        <v>2</v>
      </c>
      <c r="L390" s="9"/>
      <c r="M390" s="9">
        <f>0.9*2</f>
        <v>1.8</v>
      </c>
      <c r="N390" s="9"/>
      <c r="O390" s="9"/>
      <c r="P390" s="9"/>
      <c r="Q390" s="9"/>
      <c r="R390" s="9"/>
      <c r="S390" s="23">
        <f t="shared" si="6"/>
        <v>3</v>
      </c>
      <c r="T390" s="24"/>
      <c r="U390" s="8"/>
    </row>
    <row r="391" spans="1:21" x14ac:dyDescent="0.25">
      <c r="A391" s="12" t="s">
        <v>62</v>
      </c>
      <c r="B391" s="13" t="s">
        <v>118</v>
      </c>
      <c r="C391" s="14"/>
      <c r="D391" s="40"/>
      <c r="E391" s="42" t="s">
        <v>86</v>
      </c>
      <c r="F391" s="42"/>
      <c r="G391" s="42"/>
      <c r="H391" s="10"/>
      <c r="I391" s="16" t="s">
        <v>147</v>
      </c>
      <c r="J391" s="9">
        <v>4.3849999999999998</v>
      </c>
      <c r="K391" s="9">
        <v>2</v>
      </c>
      <c r="L391" s="9"/>
      <c r="M391" s="9">
        <f>0.9*2</f>
        <v>1.8</v>
      </c>
      <c r="N391" s="9"/>
      <c r="O391" s="9"/>
      <c r="P391" s="9"/>
      <c r="Q391" s="9"/>
      <c r="R391" s="9"/>
      <c r="S391" s="23">
        <f t="shared" si="6"/>
        <v>6.97</v>
      </c>
      <c r="T391" s="24"/>
      <c r="U391" s="8"/>
    </row>
    <row r="392" spans="1:21" x14ac:dyDescent="0.25">
      <c r="A392" s="12" t="s">
        <v>62</v>
      </c>
      <c r="B392" s="13" t="s">
        <v>118</v>
      </c>
      <c r="C392" s="14"/>
      <c r="D392" s="40"/>
      <c r="E392" s="42"/>
      <c r="F392" s="42" t="s">
        <v>83</v>
      </c>
      <c r="G392" s="42"/>
      <c r="H392" s="10"/>
      <c r="I392" s="16"/>
      <c r="J392" s="9">
        <f>J390</f>
        <v>2.4</v>
      </c>
      <c r="K392" s="9">
        <f>2.5-2</f>
        <v>0.5</v>
      </c>
      <c r="L392" s="9"/>
      <c r="M392" s="9">
        <f>0.9*0.5</f>
        <v>0.45</v>
      </c>
      <c r="N392" s="9"/>
      <c r="O392" s="9"/>
      <c r="P392" s="9"/>
      <c r="Q392" s="9"/>
      <c r="R392" s="9"/>
      <c r="S392" s="23">
        <f t="shared" si="6"/>
        <v>0.75</v>
      </c>
      <c r="T392" s="24"/>
      <c r="U392" s="8"/>
    </row>
    <row r="393" spans="1:21" x14ac:dyDescent="0.25">
      <c r="A393" s="12" t="s">
        <v>62</v>
      </c>
      <c r="B393" s="13" t="s">
        <v>118</v>
      </c>
      <c r="C393" s="14"/>
      <c r="D393" s="40"/>
      <c r="E393" s="42"/>
      <c r="F393" s="42" t="s">
        <v>84</v>
      </c>
      <c r="G393" s="42"/>
      <c r="H393" s="10"/>
      <c r="I393" s="16"/>
      <c r="J393" s="9">
        <f>J391</f>
        <v>4.3849999999999998</v>
      </c>
      <c r="K393" s="9">
        <f t="shared" ref="K393:K394" si="7">2.5-2</f>
        <v>0.5</v>
      </c>
      <c r="L393" s="9"/>
      <c r="M393" s="9">
        <f>0.9*0.5</f>
        <v>0.45</v>
      </c>
      <c r="N393" s="9"/>
      <c r="O393" s="9"/>
      <c r="P393" s="9"/>
      <c r="Q393" s="9"/>
      <c r="R393" s="9"/>
      <c r="S393" s="23">
        <f t="shared" si="6"/>
        <v>1.7424999999999999</v>
      </c>
      <c r="T393" s="24"/>
      <c r="U393" s="8"/>
    </row>
    <row r="394" spans="1:21" x14ac:dyDescent="0.25">
      <c r="A394" s="12" t="s">
        <v>62</v>
      </c>
      <c r="B394" s="13" t="s">
        <v>118</v>
      </c>
      <c r="C394" s="14"/>
      <c r="D394" s="40"/>
      <c r="E394" s="42"/>
      <c r="F394" s="42"/>
      <c r="G394" s="42" t="s">
        <v>82</v>
      </c>
      <c r="H394" s="10"/>
      <c r="I394" s="16"/>
      <c r="J394" s="9">
        <f>J389</f>
        <v>6.7850000000000001</v>
      </c>
      <c r="K394" s="9">
        <f t="shared" si="7"/>
        <v>0.5</v>
      </c>
      <c r="L394" s="9"/>
      <c r="M394" s="9"/>
      <c r="N394" s="9"/>
      <c r="O394" s="9"/>
      <c r="P394" s="9"/>
      <c r="Q394" s="9"/>
      <c r="R394" s="9"/>
      <c r="S394" s="23">
        <f t="shared" ref="S394:S457" si="8">IF(AND(ISBLANK(E394),ISBLANK(F394),ISBLANK(G394),ISBLANK(H394)),"",IF(J394*K394-L394-M394-N394-O394+P394+Q394+R394=0,"",J394*K394-L394-M394-N394-O394+P394+Q394+R394))</f>
        <v>3.3925000000000001</v>
      </c>
      <c r="T394" s="24"/>
      <c r="U394" s="8"/>
    </row>
    <row r="395" spans="1:21" x14ac:dyDescent="0.25">
      <c r="A395" s="12" t="s">
        <v>62</v>
      </c>
      <c r="B395" s="13" t="s">
        <v>119</v>
      </c>
      <c r="C395" s="14"/>
      <c r="D395" s="40"/>
      <c r="E395" s="42" t="s">
        <v>86</v>
      </c>
      <c r="F395" s="42"/>
      <c r="G395" s="42"/>
      <c r="H395" s="10"/>
      <c r="I395" s="16" t="s">
        <v>89</v>
      </c>
      <c r="J395" s="9">
        <v>0.6</v>
      </c>
      <c r="K395" s="9">
        <v>0.8</v>
      </c>
      <c r="L395" s="9"/>
      <c r="M395" s="9"/>
      <c r="N395" s="9"/>
      <c r="O395" s="9"/>
      <c r="P395" s="9"/>
      <c r="Q395" s="9"/>
      <c r="R395" s="9"/>
      <c r="S395" s="23">
        <f t="shared" si="8"/>
        <v>0.48</v>
      </c>
      <c r="T395" s="24"/>
      <c r="U395" s="8"/>
    </row>
    <row r="396" spans="1:21" x14ac:dyDescent="0.25">
      <c r="A396" s="12" t="s">
        <v>62</v>
      </c>
      <c r="B396" s="13" t="s">
        <v>119</v>
      </c>
      <c r="C396" s="14"/>
      <c r="D396" s="40"/>
      <c r="E396" s="42" t="s">
        <v>86</v>
      </c>
      <c r="F396" s="42"/>
      <c r="G396" s="42"/>
      <c r="H396" s="10"/>
      <c r="I396" s="16" t="s">
        <v>146</v>
      </c>
      <c r="J396" s="9">
        <f>5.19+0.6</f>
        <v>5.79</v>
      </c>
      <c r="K396" s="9">
        <v>0.8</v>
      </c>
      <c r="L396" s="9"/>
      <c r="M396" s="9"/>
      <c r="N396" s="9"/>
      <c r="O396" s="9"/>
      <c r="P396" s="9"/>
      <c r="Q396" s="9"/>
      <c r="R396" s="9"/>
      <c r="S396" s="23">
        <f t="shared" si="8"/>
        <v>4.6320000000000006</v>
      </c>
      <c r="T396" s="24"/>
      <c r="U396" s="8"/>
    </row>
    <row r="397" spans="1:21" x14ac:dyDescent="0.25">
      <c r="A397" s="12" t="s">
        <v>62</v>
      </c>
      <c r="B397" s="13" t="s">
        <v>119</v>
      </c>
      <c r="C397" s="14"/>
      <c r="D397" s="40"/>
      <c r="E397" s="42"/>
      <c r="F397" s="42" t="s">
        <v>83</v>
      </c>
      <c r="G397" s="42"/>
      <c r="H397" s="10"/>
      <c r="I397" s="16"/>
      <c r="J397" s="9">
        <f>6.8+2.88*2-1.6-0.6</f>
        <v>10.36</v>
      </c>
      <c r="K397" s="9">
        <v>2.5</v>
      </c>
      <c r="L397" s="9">
        <f>1.9*2</f>
        <v>3.8</v>
      </c>
      <c r="M397" s="9">
        <f>1.47*2.5</f>
        <v>3.6749999999999998</v>
      </c>
      <c r="N397" s="9"/>
      <c r="O397" s="9">
        <f>S396</f>
        <v>4.6320000000000006</v>
      </c>
      <c r="P397" s="9"/>
      <c r="Q397" s="9"/>
      <c r="R397" s="9"/>
      <c r="S397" s="23">
        <f t="shared" si="8"/>
        <v>13.792999999999996</v>
      </c>
      <c r="T397" s="24"/>
      <c r="U397" s="8"/>
    </row>
    <row r="398" spans="1:21" x14ac:dyDescent="0.25">
      <c r="A398" s="12" t="s">
        <v>62</v>
      </c>
      <c r="B398" s="13" t="s">
        <v>119</v>
      </c>
      <c r="C398" s="14"/>
      <c r="D398" s="40"/>
      <c r="E398" s="42"/>
      <c r="F398" s="42"/>
      <c r="G398" s="42" t="s">
        <v>82</v>
      </c>
      <c r="H398" s="10"/>
      <c r="I398" s="16"/>
      <c r="J398" s="9">
        <f>1.6+0.6</f>
        <v>2.2000000000000002</v>
      </c>
      <c r="K398" s="9">
        <v>2.5</v>
      </c>
      <c r="L398" s="9"/>
      <c r="M398" s="9"/>
      <c r="N398" s="9"/>
      <c r="O398" s="9">
        <f>S395</f>
        <v>0.48</v>
      </c>
      <c r="P398" s="9"/>
      <c r="Q398" s="9"/>
      <c r="R398" s="9"/>
      <c r="S398" s="23">
        <f t="shared" si="8"/>
        <v>5.0199999999999996</v>
      </c>
      <c r="T398" s="24"/>
      <c r="U398" s="8"/>
    </row>
    <row r="399" spans="1:21" x14ac:dyDescent="0.25">
      <c r="A399" s="12" t="s">
        <v>62</v>
      </c>
      <c r="B399" s="13" t="s">
        <v>120</v>
      </c>
      <c r="C399" s="14"/>
      <c r="D399" s="40"/>
      <c r="E399" s="42"/>
      <c r="F399" s="42" t="s">
        <v>83</v>
      </c>
      <c r="G399" s="42"/>
      <c r="H399" s="10"/>
      <c r="I399" s="16"/>
      <c r="J399" s="9">
        <f>2.6+1.77</f>
        <v>4.37</v>
      </c>
      <c r="K399" s="9">
        <v>2.5</v>
      </c>
      <c r="L399" s="9"/>
      <c r="M399" s="9">
        <f>0.8*2</f>
        <v>1.6</v>
      </c>
      <c r="N399" s="9"/>
      <c r="O399" s="9"/>
      <c r="P399" s="9"/>
      <c r="Q399" s="9"/>
      <c r="R399" s="9"/>
      <c r="S399" s="23">
        <f t="shared" si="8"/>
        <v>9.3250000000000011</v>
      </c>
      <c r="T399" s="24"/>
      <c r="U399" s="8"/>
    </row>
    <row r="400" spans="1:21" x14ac:dyDescent="0.25">
      <c r="A400" s="12" t="s">
        <v>62</v>
      </c>
      <c r="B400" s="13" t="s">
        <v>120</v>
      </c>
      <c r="C400" s="14"/>
      <c r="D400" s="40"/>
      <c r="E400" s="42"/>
      <c r="F400" s="42"/>
      <c r="G400" s="42" t="s">
        <v>82</v>
      </c>
      <c r="H400" s="10"/>
      <c r="I400" s="16"/>
      <c r="J400" s="9">
        <f>8.74-J399</f>
        <v>4.37</v>
      </c>
      <c r="K400" s="9">
        <v>2.5</v>
      </c>
      <c r="L400" s="9"/>
      <c r="M400" s="9"/>
      <c r="N400" s="9"/>
      <c r="O400" s="9"/>
      <c r="P400" s="9"/>
      <c r="Q400" s="9"/>
      <c r="R400" s="9"/>
      <c r="S400" s="23">
        <f t="shared" si="8"/>
        <v>10.925000000000001</v>
      </c>
      <c r="T400" s="24"/>
      <c r="U400" s="8"/>
    </row>
    <row r="401" spans="1:21" x14ac:dyDescent="0.25">
      <c r="A401" s="12" t="s">
        <v>62</v>
      </c>
      <c r="B401" s="13" t="s">
        <v>121</v>
      </c>
      <c r="C401" s="14"/>
      <c r="D401" s="40" t="s">
        <v>195</v>
      </c>
      <c r="E401" s="42" t="s">
        <v>86</v>
      </c>
      <c r="F401" s="42"/>
      <c r="G401" s="42"/>
      <c r="H401" s="10"/>
      <c r="I401" s="16" t="s">
        <v>89</v>
      </c>
      <c r="J401" s="9">
        <f>0.9+1.45</f>
        <v>2.35</v>
      </c>
      <c r="K401" s="9">
        <v>2</v>
      </c>
      <c r="L401" s="9"/>
      <c r="M401" s="9"/>
      <c r="N401" s="9"/>
      <c r="O401" s="9"/>
      <c r="P401" s="9"/>
      <c r="Q401" s="9"/>
      <c r="R401" s="9"/>
      <c r="S401" s="23">
        <f t="shared" si="8"/>
        <v>4.7</v>
      </c>
      <c r="T401" s="24"/>
      <c r="U401" s="8"/>
    </row>
    <row r="402" spans="1:21" x14ac:dyDescent="0.25">
      <c r="A402" s="12" t="s">
        <v>62</v>
      </c>
      <c r="B402" s="13" t="s">
        <v>121</v>
      </c>
      <c r="C402" s="14"/>
      <c r="D402" s="40" t="s">
        <v>195</v>
      </c>
      <c r="E402" s="42" t="s">
        <v>86</v>
      </c>
      <c r="F402" s="42"/>
      <c r="G402" s="42"/>
      <c r="H402" s="10"/>
      <c r="I402" s="16" t="s">
        <v>146</v>
      </c>
      <c r="J402" s="9">
        <f>0.9+1.45</f>
        <v>2.35</v>
      </c>
      <c r="K402" s="9">
        <v>2</v>
      </c>
      <c r="L402" s="9"/>
      <c r="M402" s="9">
        <f>1.3*2</f>
        <v>2.6</v>
      </c>
      <c r="N402" s="9"/>
      <c r="O402" s="9"/>
      <c r="P402" s="9"/>
      <c r="Q402" s="9"/>
      <c r="R402" s="9"/>
      <c r="S402" s="23">
        <f t="shared" si="8"/>
        <v>2.1</v>
      </c>
      <c r="T402" s="24"/>
      <c r="U402" s="8"/>
    </row>
    <row r="403" spans="1:21" x14ac:dyDescent="0.25">
      <c r="A403" s="12" t="s">
        <v>62</v>
      </c>
      <c r="B403" s="13" t="s">
        <v>121</v>
      </c>
      <c r="C403" s="14"/>
      <c r="D403" s="40" t="s">
        <v>195</v>
      </c>
      <c r="E403" s="42"/>
      <c r="F403" s="42" t="s">
        <v>83</v>
      </c>
      <c r="G403" s="42"/>
      <c r="H403" s="10"/>
      <c r="I403" s="16"/>
      <c r="J403" s="9">
        <f>J402</f>
        <v>2.35</v>
      </c>
      <c r="K403" s="9">
        <v>0.5</v>
      </c>
      <c r="L403" s="9"/>
      <c r="M403" s="9"/>
      <c r="N403" s="9"/>
      <c r="O403" s="9"/>
      <c r="P403" s="9"/>
      <c r="Q403" s="9"/>
      <c r="R403" s="9"/>
      <c r="S403" s="23">
        <f t="shared" si="8"/>
        <v>1.175</v>
      </c>
      <c r="T403" s="24"/>
      <c r="U403" s="8"/>
    </row>
    <row r="404" spans="1:21" x14ac:dyDescent="0.25">
      <c r="A404" s="12" t="s">
        <v>62</v>
      </c>
      <c r="B404" s="13" t="s">
        <v>121</v>
      </c>
      <c r="C404" s="14"/>
      <c r="D404" s="40" t="s">
        <v>195</v>
      </c>
      <c r="E404" s="42"/>
      <c r="F404" s="42"/>
      <c r="G404" s="42" t="s">
        <v>82</v>
      </c>
      <c r="H404" s="10"/>
      <c r="I404" s="16"/>
      <c r="J404" s="9">
        <f>J401</f>
        <v>2.35</v>
      </c>
      <c r="K404" s="9">
        <v>0.5</v>
      </c>
      <c r="L404" s="9"/>
      <c r="M404" s="9"/>
      <c r="N404" s="9"/>
      <c r="O404" s="9"/>
      <c r="P404" s="9"/>
      <c r="Q404" s="9"/>
      <c r="R404" s="9"/>
      <c r="S404" s="23">
        <f t="shared" si="8"/>
        <v>1.175</v>
      </c>
      <c r="T404" s="24"/>
      <c r="U404" s="8"/>
    </row>
    <row r="405" spans="1:21" x14ac:dyDescent="0.25">
      <c r="A405" s="12" t="s">
        <v>62</v>
      </c>
      <c r="B405" s="13" t="s">
        <v>122</v>
      </c>
      <c r="C405" s="14"/>
      <c r="D405" s="40" t="s">
        <v>195</v>
      </c>
      <c r="E405" s="42" t="s">
        <v>86</v>
      </c>
      <c r="F405" s="42"/>
      <c r="G405" s="42"/>
      <c r="H405" s="10"/>
      <c r="I405" s="16" t="s">
        <v>89</v>
      </c>
      <c r="J405" s="9">
        <f>1.75+2.22*2</f>
        <v>6.19</v>
      </c>
      <c r="K405" s="9">
        <v>2</v>
      </c>
      <c r="L405" s="9"/>
      <c r="M405" s="9"/>
      <c r="N405" s="9"/>
      <c r="O405" s="9"/>
      <c r="P405" s="9"/>
      <c r="Q405" s="9"/>
      <c r="R405" s="9"/>
      <c r="S405" s="23">
        <f t="shared" si="8"/>
        <v>12.38</v>
      </c>
      <c r="T405" s="24"/>
      <c r="U405" s="8"/>
    </row>
    <row r="406" spans="1:21" x14ac:dyDescent="0.25">
      <c r="A406" s="12" t="s">
        <v>62</v>
      </c>
      <c r="B406" s="13" t="s">
        <v>122</v>
      </c>
      <c r="C406" s="14"/>
      <c r="D406" s="40" t="s">
        <v>195</v>
      </c>
      <c r="E406" s="42" t="s">
        <v>86</v>
      </c>
      <c r="F406" s="42"/>
      <c r="G406" s="42"/>
      <c r="H406" s="10"/>
      <c r="I406" s="16" t="s">
        <v>146</v>
      </c>
      <c r="J406" s="9">
        <v>1.75</v>
      </c>
      <c r="K406" s="9">
        <v>2</v>
      </c>
      <c r="L406" s="9"/>
      <c r="M406" s="9">
        <f>0.8*2</f>
        <v>1.6</v>
      </c>
      <c r="N406" s="9"/>
      <c r="O406" s="9"/>
      <c r="P406" s="9"/>
      <c r="Q406" s="9"/>
      <c r="R406" s="9"/>
      <c r="S406" s="23">
        <f t="shared" si="8"/>
        <v>1.9</v>
      </c>
      <c r="T406" s="24"/>
      <c r="U406" s="8"/>
    </row>
    <row r="407" spans="1:21" x14ac:dyDescent="0.25">
      <c r="A407" s="12" t="s">
        <v>62</v>
      </c>
      <c r="B407" s="13" t="s">
        <v>122</v>
      </c>
      <c r="C407" s="14"/>
      <c r="D407" s="40" t="s">
        <v>195</v>
      </c>
      <c r="E407" s="42"/>
      <c r="F407" s="42" t="s">
        <v>83</v>
      </c>
      <c r="G407" s="42"/>
      <c r="H407" s="10"/>
      <c r="I407" s="16"/>
      <c r="J407" s="9">
        <f>J406</f>
        <v>1.75</v>
      </c>
      <c r="K407" s="9">
        <v>0.5</v>
      </c>
      <c r="L407" s="9"/>
      <c r="M407" s="9"/>
      <c r="N407" s="9"/>
      <c r="O407" s="9"/>
      <c r="P407" s="9"/>
      <c r="Q407" s="9"/>
      <c r="R407" s="9"/>
      <c r="S407" s="23">
        <f t="shared" si="8"/>
        <v>0.875</v>
      </c>
      <c r="T407" s="24"/>
      <c r="U407" s="8"/>
    </row>
    <row r="408" spans="1:21" x14ac:dyDescent="0.25">
      <c r="A408" s="12" t="s">
        <v>62</v>
      </c>
      <c r="B408" s="13" t="s">
        <v>122</v>
      </c>
      <c r="C408" s="14"/>
      <c r="D408" s="40" t="s">
        <v>195</v>
      </c>
      <c r="E408" s="42"/>
      <c r="F408" s="42"/>
      <c r="G408" s="42" t="s">
        <v>82</v>
      </c>
      <c r="H408" s="10"/>
      <c r="I408" s="16"/>
      <c r="J408" s="9">
        <f>J405</f>
        <v>6.19</v>
      </c>
      <c r="K408" s="9">
        <v>0.5</v>
      </c>
      <c r="L408" s="9"/>
      <c r="M408" s="9"/>
      <c r="N408" s="9"/>
      <c r="O408" s="9"/>
      <c r="P408" s="9"/>
      <c r="Q408" s="9"/>
      <c r="R408" s="9"/>
      <c r="S408" s="23">
        <f t="shared" si="8"/>
        <v>3.0950000000000002</v>
      </c>
      <c r="T408" s="24"/>
      <c r="U408" s="8"/>
    </row>
    <row r="409" spans="1:21" x14ac:dyDescent="0.25">
      <c r="A409" s="12" t="s">
        <v>62</v>
      </c>
      <c r="B409" s="47" t="s">
        <v>123</v>
      </c>
      <c r="C409" s="14"/>
      <c r="D409" s="40" t="s">
        <v>195</v>
      </c>
      <c r="E409" s="42" t="s">
        <v>86</v>
      </c>
      <c r="F409" s="42"/>
      <c r="G409" s="42"/>
      <c r="H409" s="10"/>
      <c r="I409" s="16" t="s">
        <v>89</v>
      </c>
      <c r="J409" s="9">
        <f>3.8+3.67</f>
        <v>7.47</v>
      </c>
      <c r="K409" s="9">
        <v>2</v>
      </c>
      <c r="L409" s="9"/>
      <c r="M409" s="9"/>
      <c r="N409" s="9"/>
      <c r="O409" s="9"/>
      <c r="P409" s="9"/>
      <c r="Q409" s="9"/>
      <c r="R409" s="9"/>
      <c r="S409" s="23">
        <f t="shared" si="8"/>
        <v>14.94</v>
      </c>
      <c r="T409" s="24"/>
      <c r="U409" s="8"/>
    </row>
    <row r="410" spans="1:21" x14ac:dyDescent="0.25">
      <c r="A410" s="12" t="s">
        <v>62</v>
      </c>
      <c r="B410" s="47" t="s">
        <v>123</v>
      </c>
      <c r="C410" s="14"/>
      <c r="D410" s="40" t="s">
        <v>195</v>
      </c>
      <c r="E410" s="42" t="s">
        <v>86</v>
      </c>
      <c r="F410" s="42"/>
      <c r="G410" s="42"/>
      <c r="H410" s="10"/>
      <c r="I410" s="16" t="s">
        <v>146</v>
      </c>
      <c r="J410" s="9">
        <f>3.8+3.67</f>
        <v>7.47</v>
      </c>
      <c r="K410" s="9">
        <v>2</v>
      </c>
      <c r="L410" s="9">
        <f>0.77*(2-0.5)</f>
        <v>1.155</v>
      </c>
      <c r="M410" s="9">
        <f>1.1*2</f>
        <v>2.2000000000000002</v>
      </c>
      <c r="N410" s="9"/>
      <c r="O410" s="9"/>
      <c r="P410" s="9"/>
      <c r="Q410" s="9"/>
      <c r="R410" s="9"/>
      <c r="S410" s="23">
        <f t="shared" si="8"/>
        <v>11.585000000000001</v>
      </c>
      <c r="T410" s="24"/>
      <c r="U410" s="8"/>
    </row>
    <row r="411" spans="1:21" x14ac:dyDescent="0.25">
      <c r="A411" s="12" t="s">
        <v>62</v>
      </c>
      <c r="B411" s="47" t="s">
        <v>123</v>
      </c>
      <c r="C411" s="14"/>
      <c r="D411" s="40" t="s">
        <v>195</v>
      </c>
      <c r="E411" s="42"/>
      <c r="F411" s="42" t="s">
        <v>83</v>
      </c>
      <c r="G411" s="42"/>
      <c r="H411" s="10"/>
      <c r="I411" s="16"/>
      <c r="J411" s="9">
        <f>J410</f>
        <v>7.47</v>
      </c>
      <c r="K411" s="9">
        <v>0.5</v>
      </c>
      <c r="L411" s="9"/>
      <c r="M411" s="9"/>
      <c r="N411" s="9"/>
      <c r="O411" s="9"/>
      <c r="P411" s="9"/>
      <c r="Q411" s="9"/>
      <c r="R411" s="9"/>
      <c r="S411" s="23">
        <f t="shared" si="8"/>
        <v>3.7349999999999999</v>
      </c>
      <c r="T411" s="24"/>
      <c r="U411" s="8"/>
    </row>
    <row r="412" spans="1:21" x14ac:dyDescent="0.25">
      <c r="A412" s="12" t="s">
        <v>62</v>
      </c>
      <c r="B412" s="47" t="s">
        <v>123</v>
      </c>
      <c r="C412" s="14"/>
      <c r="D412" s="40" t="s">
        <v>195</v>
      </c>
      <c r="E412" s="42"/>
      <c r="F412" s="42"/>
      <c r="G412" s="42" t="s">
        <v>82</v>
      </c>
      <c r="H412" s="10"/>
      <c r="I412" s="16"/>
      <c r="J412" s="9">
        <f>J409</f>
        <v>7.47</v>
      </c>
      <c r="K412" s="9">
        <v>0.5</v>
      </c>
      <c r="L412" s="9"/>
      <c r="M412" s="9"/>
      <c r="N412" s="9"/>
      <c r="O412" s="9"/>
      <c r="P412" s="9"/>
      <c r="Q412" s="9"/>
      <c r="R412" s="9"/>
      <c r="S412" s="23">
        <f t="shared" si="8"/>
        <v>3.7349999999999999</v>
      </c>
      <c r="T412" s="24"/>
      <c r="U412" s="8"/>
    </row>
    <row r="413" spans="1:21" x14ac:dyDescent="0.25">
      <c r="A413" s="12" t="s">
        <v>62</v>
      </c>
      <c r="B413" s="46" t="s">
        <v>70</v>
      </c>
      <c r="C413" s="14"/>
      <c r="D413" s="40"/>
      <c r="E413" s="42"/>
      <c r="F413" s="42" t="s">
        <v>84</v>
      </c>
      <c r="G413" s="42"/>
      <c r="H413" s="10"/>
      <c r="I413" s="16"/>
      <c r="J413" s="9">
        <f>20.45-J414</f>
        <v>13.125</v>
      </c>
      <c r="K413" s="9">
        <v>2.75</v>
      </c>
      <c r="L413" s="9">
        <f>2.04*2</f>
        <v>4.08</v>
      </c>
      <c r="M413" s="9"/>
      <c r="N413" s="9"/>
      <c r="O413" s="9">
        <f>(1.45+0.25)*0.25</f>
        <v>0.42499999999999999</v>
      </c>
      <c r="P413" s="9"/>
      <c r="Q413" s="9"/>
      <c r="R413" s="9"/>
      <c r="S413" s="23">
        <f t="shared" si="8"/>
        <v>31.588750000000001</v>
      </c>
      <c r="T413" s="24"/>
      <c r="U413" s="8"/>
    </row>
    <row r="414" spans="1:21" x14ac:dyDescent="0.25">
      <c r="A414" s="12" t="s">
        <v>62</v>
      </c>
      <c r="B414" s="46" t="s">
        <v>70</v>
      </c>
      <c r="C414" s="14"/>
      <c r="D414" s="40"/>
      <c r="E414" s="42"/>
      <c r="F414" s="42"/>
      <c r="G414" s="42" t="s">
        <v>82</v>
      </c>
      <c r="H414" s="10"/>
      <c r="I414" s="16"/>
      <c r="J414" s="9">
        <f>3.99+2.125+1.46-0.25</f>
        <v>7.3250000000000002</v>
      </c>
      <c r="K414" s="9">
        <v>2.75</v>
      </c>
      <c r="L414" s="9"/>
      <c r="M414" s="9">
        <f>1.1*2+1*2</f>
        <v>4.2</v>
      </c>
      <c r="N414" s="9"/>
      <c r="O414" s="9">
        <f>(2.125+1.45-0.25)*0.25</f>
        <v>0.83125000000000004</v>
      </c>
      <c r="P414" s="9"/>
      <c r="Q414" s="9"/>
      <c r="R414" s="9"/>
      <c r="S414" s="23">
        <f t="shared" si="8"/>
        <v>15.112500000000001</v>
      </c>
      <c r="T414" s="24"/>
      <c r="U414" s="8"/>
    </row>
    <row r="415" spans="1:21" x14ac:dyDescent="0.25">
      <c r="A415" s="12" t="s">
        <v>62</v>
      </c>
      <c r="B415" s="46" t="s">
        <v>124</v>
      </c>
      <c r="C415" s="14"/>
      <c r="D415" s="40" t="s">
        <v>195</v>
      </c>
      <c r="E415" s="42" t="s">
        <v>86</v>
      </c>
      <c r="F415" s="42"/>
      <c r="G415" s="42"/>
      <c r="H415" s="10"/>
      <c r="I415" s="16" t="s">
        <v>89</v>
      </c>
      <c r="J415" s="9">
        <f>2.5+2.15*2</f>
        <v>6.8</v>
      </c>
      <c r="K415" s="9">
        <v>2</v>
      </c>
      <c r="L415" s="9"/>
      <c r="M415" s="9">
        <f>1*2</f>
        <v>2</v>
      </c>
      <c r="N415" s="9"/>
      <c r="O415" s="9"/>
      <c r="P415" s="9"/>
      <c r="Q415" s="9"/>
      <c r="R415" s="9"/>
      <c r="S415" s="23">
        <f t="shared" si="8"/>
        <v>11.6</v>
      </c>
      <c r="T415" s="24"/>
      <c r="U415" s="8"/>
    </row>
    <row r="416" spans="1:21" x14ac:dyDescent="0.25">
      <c r="A416" s="12" t="s">
        <v>62</v>
      </c>
      <c r="B416" s="46" t="s">
        <v>124</v>
      </c>
      <c r="C416" s="14"/>
      <c r="D416" s="40" t="s">
        <v>195</v>
      </c>
      <c r="E416" s="42" t="s">
        <v>86</v>
      </c>
      <c r="F416" s="42"/>
      <c r="G416" s="42"/>
      <c r="H416" s="10"/>
      <c r="I416" s="16" t="s">
        <v>147</v>
      </c>
      <c r="J416" s="9">
        <v>2.5</v>
      </c>
      <c r="K416" s="9">
        <v>2</v>
      </c>
      <c r="L416" s="9"/>
      <c r="M416" s="9"/>
      <c r="N416" s="9"/>
      <c r="O416" s="9"/>
      <c r="P416" s="9"/>
      <c r="Q416" s="9"/>
      <c r="R416" s="9"/>
      <c r="S416" s="23">
        <f t="shared" si="8"/>
        <v>5</v>
      </c>
      <c r="T416" s="24"/>
      <c r="U416" s="8"/>
    </row>
    <row r="417" spans="1:21" x14ac:dyDescent="0.25">
      <c r="A417" s="12" t="s">
        <v>62</v>
      </c>
      <c r="B417" s="46" t="s">
        <v>124</v>
      </c>
      <c r="C417" s="14"/>
      <c r="D417" s="40" t="s">
        <v>195</v>
      </c>
      <c r="E417" s="42"/>
      <c r="F417" s="42" t="s">
        <v>84</v>
      </c>
      <c r="G417" s="42"/>
      <c r="H417" s="10"/>
      <c r="I417" s="16"/>
      <c r="J417" s="9">
        <f>J416</f>
        <v>2.5</v>
      </c>
      <c r="K417" s="9">
        <f>2.5-2</f>
        <v>0.5</v>
      </c>
      <c r="L417" s="9"/>
      <c r="M417" s="9"/>
      <c r="N417" s="9"/>
      <c r="O417" s="9"/>
      <c r="P417" s="9"/>
      <c r="Q417" s="9"/>
      <c r="R417" s="9"/>
      <c r="S417" s="23">
        <f t="shared" si="8"/>
        <v>1.25</v>
      </c>
      <c r="T417" s="24"/>
      <c r="U417" s="8"/>
    </row>
    <row r="418" spans="1:21" x14ac:dyDescent="0.25">
      <c r="A418" s="12" t="s">
        <v>62</v>
      </c>
      <c r="B418" s="46" t="s">
        <v>124</v>
      </c>
      <c r="C418" s="14"/>
      <c r="D418" s="40" t="s">
        <v>195</v>
      </c>
      <c r="E418" s="42"/>
      <c r="F418" s="42"/>
      <c r="G418" s="42" t="s">
        <v>82</v>
      </c>
      <c r="H418" s="10"/>
      <c r="I418" s="16"/>
      <c r="J418" s="9">
        <f>J415</f>
        <v>6.8</v>
      </c>
      <c r="K418" s="9">
        <f>2.5-2</f>
        <v>0.5</v>
      </c>
      <c r="L418" s="9"/>
      <c r="M418" s="9"/>
      <c r="N418" s="9"/>
      <c r="O418" s="9"/>
      <c r="P418" s="9"/>
      <c r="Q418" s="9"/>
      <c r="R418" s="9"/>
      <c r="S418" s="23">
        <f t="shared" si="8"/>
        <v>3.4</v>
      </c>
      <c r="T418" s="24"/>
      <c r="U418" s="8"/>
    </row>
    <row r="419" spans="1:21" x14ac:dyDescent="0.25">
      <c r="A419" s="12" t="s">
        <v>62</v>
      </c>
      <c r="B419" s="46" t="s">
        <v>71</v>
      </c>
      <c r="C419" s="14"/>
      <c r="D419" s="40"/>
      <c r="E419" s="42"/>
      <c r="F419" s="42" t="s">
        <v>84</v>
      </c>
      <c r="G419" s="42"/>
      <c r="H419" s="10"/>
      <c r="I419" s="16"/>
      <c r="J419" s="9">
        <f>20.45-J420</f>
        <v>13.259999999999998</v>
      </c>
      <c r="K419" s="9">
        <v>2.75</v>
      </c>
      <c r="L419" s="9">
        <f>2.04*2+0.54*2.5</f>
        <v>5.43</v>
      </c>
      <c r="M419" s="9"/>
      <c r="N419" s="9"/>
      <c r="O419" s="9">
        <f>(1.45+0.25)*0.25</f>
        <v>0.42499999999999999</v>
      </c>
      <c r="P419" s="9"/>
      <c r="Q419" s="9"/>
      <c r="R419" s="9"/>
      <c r="S419" s="23">
        <f t="shared" si="8"/>
        <v>30.609999999999996</v>
      </c>
      <c r="T419" s="24"/>
      <c r="U419" s="8"/>
    </row>
    <row r="420" spans="1:21" x14ac:dyDescent="0.25">
      <c r="A420" s="12" t="s">
        <v>62</v>
      </c>
      <c r="B420" s="46" t="s">
        <v>71</v>
      </c>
      <c r="C420" s="14"/>
      <c r="D420" s="40"/>
      <c r="E420" s="42"/>
      <c r="F420" s="42"/>
      <c r="G420" s="42" t="s">
        <v>82</v>
      </c>
      <c r="H420" s="10"/>
      <c r="I420" s="16"/>
      <c r="J420" s="9">
        <f>3.99+2+1.45-0.25</f>
        <v>7.19</v>
      </c>
      <c r="K420" s="9">
        <v>2.75</v>
      </c>
      <c r="L420" s="9"/>
      <c r="M420" s="9">
        <f>1.1*2+1*2</f>
        <v>4.2</v>
      </c>
      <c r="N420" s="9"/>
      <c r="O420" s="9">
        <f>(2+1.45-0.25)*0.25</f>
        <v>0.8</v>
      </c>
      <c r="P420" s="9"/>
      <c r="Q420" s="9"/>
      <c r="R420" s="9"/>
      <c r="S420" s="23">
        <f t="shared" si="8"/>
        <v>14.772500000000001</v>
      </c>
      <c r="T420" s="24"/>
      <c r="U420" s="8"/>
    </row>
    <row r="421" spans="1:21" x14ac:dyDescent="0.25">
      <c r="A421" s="12" t="s">
        <v>62</v>
      </c>
      <c r="B421" s="46" t="s">
        <v>72</v>
      </c>
      <c r="C421" s="14"/>
      <c r="D421" s="40" t="s">
        <v>195</v>
      </c>
      <c r="E421" s="42" t="s">
        <v>86</v>
      </c>
      <c r="F421" s="42"/>
      <c r="G421" s="42"/>
      <c r="H421" s="10"/>
      <c r="I421" s="16" t="s">
        <v>89</v>
      </c>
      <c r="J421" s="9">
        <f>2.5+2.15*2</f>
        <v>6.8</v>
      </c>
      <c r="K421" s="9">
        <v>2</v>
      </c>
      <c r="L421" s="9"/>
      <c r="M421" s="9">
        <f>1*2</f>
        <v>2</v>
      </c>
      <c r="N421" s="9"/>
      <c r="O421" s="9"/>
      <c r="P421" s="9"/>
      <c r="Q421" s="9"/>
      <c r="R421" s="9"/>
      <c r="S421" s="23">
        <f t="shared" si="8"/>
        <v>11.6</v>
      </c>
      <c r="T421" s="24"/>
      <c r="U421" s="8"/>
    </row>
    <row r="422" spans="1:21" x14ac:dyDescent="0.25">
      <c r="A422" s="12" t="s">
        <v>62</v>
      </c>
      <c r="B422" s="46" t="s">
        <v>72</v>
      </c>
      <c r="C422" s="14"/>
      <c r="D422" s="40" t="s">
        <v>195</v>
      </c>
      <c r="E422" s="42" t="s">
        <v>86</v>
      </c>
      <c r="F422" s="42"/>
      <c r="G422" s="42"/>
      <c r="H422" s="10"/>
      <c r="I422" s="16" t="s">
        <v>147</v>
      </c>
      <c r="J422" s="9">
        <v>2.5</v>
      </c>
      <c r="K422" s="9">
        <v>2</v>
      </c>
      <c r="L422" s="9"/>
      <c r="M422" s="9"/>
      <c r="N422" s="9"/>
      <c r="O422" s="9"/>
      <c r="P422" s="9"/>
      <c r="Q422" s="9"/>
      <c r="R422" s="9"/>
      <c r="S422" s="23">
        <f t="shared" si="8"/>
        <v>5</v>
      </c>
      <c r="T422" s="24"/>
      <c r="U422" s="8"/>
    </row>
    <row r="423" spans="1:21" x14ac:dyDescent="0.25">
      <c r="A423" s="12" t="s">
        <v>62</v>
      </c>
      <c r="B423" s="46" t="s">
        <v>72</v>
      </c>
      <c r="C423" s="14"/>
      <c r="D423" s="40" t="s">
        <v>195</v>
      </c>
      <c r="E423" s="42"/>
      <c r="F423" s="42" t="s">
        <v>84</v>
      </c>
      <c r="G423" s="42"/>
      <c r="H423" s="10"/>
      <c r="I423" s="16"/>
      <c r="J423" s="9">
        <f>J422</f>
        <v>2.5</v>
      </c>
      <c r="K423" s="9">
        <f>2.5-2</f>
        <v>0.5</v>
      </c>
      <c r="L423" s="9"/>
      <c r="M423" s="9"/>
      <c r="N423" s="9"/>
      <c r="O423" s="9"/>
      <c r="P423" s="9"/>
      <c r="Q423" s="9"/>
      <c r="R423" s="9"/>
      <c r="S423" s="23">
        <f t="shared" si="8"/>
        <v>1.25</v>
      </c>
      <c r="T423" s="24"/>
      <c r="U423" s="8"/>
    </row>
    <row r="424" spans="1:21" x14ac:dyDescent="0.25">
      <c r="A424" s="12" t="s">
        <v>62</v>
      </c>
      <c r="B424" s="46" t="s">
        <v>72</v>
      </c>
      <c r="C424" s="14"/>
      <c r="D424" s="40" t="s">
        <v>195</v>
      </c>
      <c r="E424" s="42"/>
      <c r="F424" s="42"/>
      <c r="G424" s="42" t="s">
        <v>82</v>
      </c>
      <c r="H424" s="10"/>
      <c r="I424" s="16"/>
      <c r="J424" s="9">
        <f>J421</f>
        <v>6.8</v>
      </c>
      <c r="K424" s="9">
        <f>2.5-2</f>
        <v>0.5</v>
      </c>
      <c r="L424" s="9"/>
      <c r="M424" s="9"/>
      <c r="N424" s="9"/>
      <c r="O424" s="9"/>
      <c r="P424" s="9"/>
      <c r="Q424" s="9"/>
      <c r="R424" s="9"/>
      <c r="S424" s="23">
        <f t="shared" si="8"/>
        <v>3.4</v>
      </c>
      <c r="T424" s="24"/>
      <c r="U424" s="8"/>
    </row>
    <row r="425" spans="1:21" x14ac:dyDescent="0.25">
      <c r="A425" s="12" t="s">
        <v>62</v>
      </c>
      <c r="B425" s="46" t="s">
        <v>151</v>
      </c>
      <c r="C425" s="14"/>
      <c r="D425" s="40"/>
      <c r="E425" s="42"/>
      <c r="F425" s="42" t="s">
        <v>84</v>
      </c>
      <c r="G425" s="42"/>
      <c r="H425" s="10"/>
      <c r="I425" s="16"/>
      <c r="J425" s="9">
        <f>4.14+2.23+0.25</f>
        <v>6.6199999999999992</v>
      </c>
      <c r="K425" s="9">
        <v>2.75</v>
      </c>
      <c r="L425" s="9">
        <f>2.04*2</f>
        <v>4.08</v>
      </c>
      <c r="M425" s="9"/>
      <c r="N425" s="9"/>
      <c r="O425" s="9">
        <f>(0.25)*0.25</f>
        <v>6.25E-2</v>
      </c>
      <c r="P425" s="9"/>
      <c r="Q425" s="9"/>
      <c r="R425" s="9"/>
      <c r="S425" s="23">
        <f t="shared" si="8"/>
        <v>14.062499999999998</v>
      </c>
      <c r="T425" s="24"/>
      <c r="U425" s="8"/>
    </row>
    <row r="426" spans="1:21" x14ac:dyDescent="0.25">
      <c r="A426" s="12" t="s">
        <v>62</v>
      </c>
      <c r="B426" s="46" t="s">
        <v>151</v>
      </c>
      <c r="C426" s="14"/>
      <c r="D426" s="40"/>
      <c r="E426" s="42"/>
      <c r="F426" s="42"/>
      <c r="G426" s="42" t="s">
        <v>82</v>
      </c>
      <c r="H426" s="10"/>
      <c r="I426" s="16"/>
      <c r="J426" s="9">
        <f>21.98-J425</f>
        <v>15.360000000000001</v>
      </c>
      <c r="K426" s="9">
        <v>2.75</v>
      </c>
      <c r="L426" s="9"/>
      <c r="M426" s="9">
        <f>1.1*2+1*2</f>
        <v>4.2</v>
      </c>
      <c r="N426" s="9"/>
      <c r="O426" s="9">
        <f>(1.76*2+1.91-0.25)*0.25</f>
        <v>1.2949999999999999</v>
      </c>
      <c r="P426" s="9"/>
      <c r="Q426" s="9"/>
      <c r="R426" s="9"/>
      <c r="S426" s="23">
        <f t="shared" si="8"/>
        <v>36.744999999999997</v>
      </c>
      <c r="T426" s="24"/>
      <c r="U426" s="8"/>
    </row>
    <row r="427" spans="1:21" x14ac:dyDescent="0.25">
      <c r="A427" s="12" t="s">
        <v>62</v>
      </c>
      <c r="B427" s="46" t="s">
        <v>152</v>
      </c>
      <c r="C427" s="14"/>
      <c r="D427" s="40" t="s">
        <v>195</v>
      </c>
      <c r="E427" s="42" t="s">
        <v>86</v>
      </c>
      <c r="F427" s="42"/>
      <c r="G427" s="42"/>
      <c r="H427" s="10"/>
      <c r="I427" s="16" t="s">
        <v>89</v>
      </c>
      <c r="J427" s="9">
        <f>2.5*2+1.9</f>
        <v>6.9</v>
      </c>
      <c r="K427" s="9">
        <v>2</v>
      </c>
      <c r="L427" s="9"/>
      <c r="M427" s="9">
        <f>1*2</f>
        <v>2</v>
      </c>
      <c r="N427" s="9"/>
      <c r="O427" s="9"/>
      <c r="P427" s="9"/>
      <c r="Q427" s="9"/>
      <c r="R427" s="9"/>
      <c r="S427" s="23">
        <f t="shared" si="8"/>
        <v>11.8</v>
      </c>
      <c r="T427" s="24"/>
      <c r="U427" s="8"/>
    </row>
    <row r="428" spans="1:21" x14ac:dyDescent="0.25">
      <c r="A428" s="12" t="s">
        <v>62</v>
      </c>
      <c r="B428" s="46" t="s">
        <v>152</v>
      </c>
      <c r="C428" s="14"/>
      <c r="D428" s="40" t="s">
        <v>195</v>
      </c>
      <c r="E428" s="42" t="s">
        <v>86</v>
      </c>
      <c r="F428" s="42"/>
      <c r="G428" s="42"/>
      <c r="H428" s="10"/>
      <c r="I428" s="16" t="s">
        <v>147</v>
      </c>
      <c r="J428" s="9">
        <v>1.9</v>
      </c>
      <c r="K428" s="9">
        <v>2</v>
      </c>
      <c r="L428" s="9"/>
      <c r="M428" s="9"/>
      <c r="N428" s="9"/>
      <c r="O428" s="9"/>
      <c r="P428" s="9"/>
      <c r="Q428" s="9"/>
      <c r="R428" s="9"/>
      <c r="S428" s="23">
        <f t="shared" si="8"/>
        <v>3.8</v>
      </c>
      <c r="T428" s="24"/>
      <c r="U428" s="8"/>
    </row>
    <row r="429" spans="1:21" x14ac:dyDescent="0.25">
      <c r="A429" s="12" t="s">
        <v>62</v>
      </c>
      <c r="B429" s="46" t="s">
        <v>152</v>
      </c>
      <c r="C429" s="14"/>
      <c r="D429" s="40" t="s">
        <v>195</v>
      </c>
      <c r="E429" s="42"/>
      <c r="F429" s="42" t="s">
        <v>84</v>
      </c>
      <c r="G429" s="42"/>
      <c r="H429" s="10"/>
      <c r="I429" s="16"/>
      <c r="J429" s="9">
        <f>J428</f>
        <v>1.9</v>
      </c>
      <c r="K429" s="9">
        <f>2.5-2</f>
        <v>0.5</v>
      </c>
      <c r="L429" s="9"/>
      <c r="M429" s="9"/>
      <c r="N429" s="9"/>
      <c r="O429" s="9"/>
      <c r="P429" s="9"/>
      <c r="Q429" s="9"/>
      <c r="R429" s="9"/>
      <c r="S429" s="23">
        <f t="shared" si="8"/>
        <v>0.95</v>
      </c>
      <c r="T429" s="24"/>
      <c r="U429" s="8"/>
    </row>
    <row r="430" spans="1:21" x14ac:dyDescent="0.25">
      <c r="A430" s="12" t="s">
        <v>62</v>
      </c>
      <c r="B430" s="46" t="s">
        <v>152</v>
      </c>
      <c r="C430" s="14"/>
      <c r="D430" s="40" t="s">
        <v>195</v>
      </c>
      <c r="E430" s="42"/>
      <c r="F430" s="42"/>
      <c r="G430" s="42" t="s">
        <v>82</v>
      </c>
      <c r="H430" s="10"/>
      <c r="I430" s="16"/>
      <c r="J430" s="9">
        <f>J427</f>
        <v>6.9</v>
      </c>
      <c r="K430" s="9">
        <f>2.5-2</f>
        <v>0.5</v>
      </c>
      <c r="L430" s="9"/>
      <c r="M430" s="9"/>
      <c r="N430" s="9"/>
      <c r="O430" s="9"/>
      <c r="P430" s="9"/>
      <c r="Q430" s="9"/>
      <c r="R430" s="9"/>
      <c r="S430" s="23">
        <f t="shared" si="8"/>
        <v>3.45</v>
      </c>
      <c r="T430" s="24"/>
      <c r="U430" s="8"/>
    </row>
    <row r="431" spans="1:21" x14ac:dyDescent="0.25">
      <c r="A431" s="12" t="s">
        <v>62</v>
      </c>
      <c r="B431" s="46" t="s">
        <v>153</v>
      </c>
      <c r="C431" s="14"/>
      <c r="D431" s="40"/>
      <c r="E431" s="42"/>
      <c r="F431" s="42" t="s">
        <v>84</v>
      </c>
      <c r="G431" s="42"/>
      <c r="H431" s="10"/>
      <c r="I431" s="16"/>
      <c r="J431" s="9">
        <f>4.09+2.125+0.25</f>
        <v>6.4649999999999999</v>
      </c>
      <c r="K431" s="9">
        <v>2.75</v>
      </c>
      <c r="L431" s="9">
        <f>2.04*2</f>
        <v>4.08</v>
      </c>
      <c r="M431" s="9"/>
      <c r="N431" s="9"/>
      <c r="O431" s="9">
        <f>(0.25)*0.25</f>
        <v>6.25E-2</v>
      </c>
      <c r="P431" s="9"/>
      <c r="Q431" s="9"/>
      <c r="R431" s="9"/>
      <c r="S431" s="23">
        <f t="shared" si="8"/>
        <v>13.636249999999999</v>
      </c>
      <c r="T431" s="24"/>
      <c r="U431" s="8"/>
    </row>
    <row r="432" spans="1:21" x14ac:dyDescent="0.25">
      <c r="A432" s="12" t="s">
        <v>62</v>
      </c>
      <c r="B432" s="46" t="s">
        <v>153</v>
      </c>
      <c r="C432" s="14"/>
      <c r="D432" s="40"/>
      <c r="E432" s="42"/>
      <c r="F432" s="42"/>
      <c r="G432" s="42" t="s">
        <v>82</v>
      </c>
      <c r="H432" s="10"/>
      <c r="I432" s="16"/>
      <c r="J432" s="9">
        <f>21.68-J431</f>
        <v>15.215</v>
      </c>
      <c r="K432" s="9">
        <v>2.75</v>
      </c>
      <c r="L432" s="9"/>
      <c r="M432" s="9">
        <f>1.1*2+1*2</f>
        <v>4.2</v>
      </c>
      <c r="N432" s="9"/>
      <c r="O432" s="9">
        <f>(1.76*2+1.94-0.25)*0.25</f>
        <v>1.3025</v>
      </c>
      <c r="P432" s="9"/>
      <c r="Q432" s="9"/>
      <c r="R432" s="9"/>
      <c r="S432" s="23">
        <f t="shared" si="8"/>
        <v>36.338749999999997</v>
      </c>
      <c r="T432" s="24"/>
      <c r="U432" s="8"/>
    </row>
    <row r="433" spans="1:21" x14ac:dyDescent="0.25">
      <c r="A433" s="12" t="s">
        <v>62</v>
      </c>
      <c r="B433" s="46" t="s">
        <v>154</v>
      </c>
      <c r="C433" s="14"/>
      <c r="D433" s="40" t="s">
        <v>195</v>
      </c>
      <c r="E433" s="42" t="s">
        <v>86</v>
      </c>
      <c r="F433" s="42"/>
      <c r="G433" s="42"/>
      <c r="H433" s="10"/>
      <c r="I433" s="16" t="s">
        <v>89</v>
      </c>
      <c r="J433" s="9">
        <f>2.5*2+1.9</f>
        <v>6.9</v>
      </c>
      <c r="K433" s="9">
        <v>2</v>
      </c>
      <c r="L433" s="9"/>
      <c r="M433" s="9">
        <f>1*2</f>
        <v>2</v>
      </c>
      <c r="N433" s="9"/>
      <c r="O433" s="9"/>
      <c r="P433" s="9"/>
      <c r="Q433" s="9"/>
      <c r="R433" s="9"/>
      <c r="S433" s="23">
        <f t="shared" si="8"/>
        <v>11.8</v>
      </c>
      <c r="T433" s="24"/>
      <c r="U433" s="8"/>
    </row>
    <row r="434" spans="1:21" x14ac:dyDescent="0.25">
      <c r="A434" s="12" t="s">
        <v>62</v>
      </c>
      <c r="B434" s="46" t="s">
        <v>154</v>
      </c>
      <c r="C434" s="14"/>
      <c r="D434" s="40" t="s">
        <v>195</v>
      </c>
      <c r="E434" s="42" t="s">
        <v>86</v>
      </c>
      <c r="F434" s="42"/>
      <c r="G434" s="42"/>
      <c r="H434" s="10"/>
      <c r="I434" s="16" t="s">
        <v>147</v>
      </c>
      <c r="J434" s="9">
        <v>1.9</v>
      </c>
      <c r="K434" s="9">
        <v>2</v>
      </c>
      <c r="L434" s="9"/>
      <c r="M434" s="9"/>
      <c r="N434" s="9"/>
      <c r="O434" s="9"/>
      <c r="P434" s="9"/>
      <c r="Q434" s="9"/>
      <c r="R434" s="9"/>
      <c r="S434" s="23">
        <f t="shared" si="8"/>
        <v>3.8</v>
      </c>
      <c r="T434" s="24"/>
      <c r="U434" s="8"/>
    </row>
    <row r="435" spans="1:21" x14ac:dyDescent="0.25">
      <c r="A435" s="12" t="s">
        <v>62</v>
      </c>
      <c r="B435" s="46" t="s">
        <v>154</v>
      </c>
      <c r="C435" s="14"/>
      <c r="D435" s="40" t="s">
        <v>195</v>
      </c>
      <c r="E435" s="42"/>
      <c r="F435" s="42" t="s">
        <v>84</v>
      </c>
      <c r="G435" s="42"/>
      <c r="H435" s="10"/>
      <c r="I435" s="16"/>
      <c r="J435" s="9">
        <f>J434</f>
        <v>1.9</v>
      </c>
      <c r="K435" s="9">
        <f>2.5-2</f>
        <v>0.5</v>
      </c>
      <c r="L435" s="9"/>
      <c r="M435" s="9"/>
      <c r="N435" s="9"/>
      <c r="O435" s="9"/>
      <c r="P435" s="9"/>
      <c r="Q435" s="9"/>
      <c r="R435" s="9"/>
      <c r="S435" s="23">
        <f t="shared" si="8"/>
        <v>0.95</v>
      </c>
      <c r="T435" s="24"/>
      <c r="U435" s="8"/>
    </row>
    <row r="436" spans="1:21" x14ac:dyDescent="0.25">
      <c r="A436" s="12" t="s">
        <v>62</v>
      </c>
      <c r="B436" s="46" t="s">
        <v>154</v>
      </c>
      <c r="C436" s="14"/>
      <c r="D436" s="40" t="s">
        <v>195</v>
      </c>
      <c r="E436" s="42"/>
      <c r="F436" s="42"/>
      <c r="G436" s="42" t="s">
        <v>82</v>
      </c>
      <c r="H436" s="10"/>
      <c r="I436" s="16"/>
      <c r="J436" s="9">
        <f>J433</f>
        <v>6.9</v>
      </c>
      <c r="K436" s="9">
        <f>2.5-2</f>
        <v>0.5</v>
      </c>
      <c r="L436" s="9"/>
      <c r="M436" s="9"/>
      <c r="N436" s="9"/>
      <c r="O436" s="9"/>
      <c r="P436" s="9"/>
      <c r="Q436" s="9"/>
      <c r="R436" s="9"/>
      <c r="S436" s="23">
        <f t="shared" si="8"/>
        <v>3.45</v>
      </c>
      <c r="T436" s="24"/>
      <c r="U436" s="8"/>
    </row>
    <row r="437" spans="1:21" x14ac:dyDescent="0.25">
      <c r="A437" s="12" t="s">
        <v>62</v>
      </c>
      <c r="B437" s="46" t="s">
        <v>155</v>
      </c>
      <c r="C437" s="14"/>
      <c r="D437" s="40"/>
      <c r="E437" s="42"/>
      <c r="F437" s="42" t="s">
        <v>84</v>
      </c>
      <c r="G437" s="42"/>
      <c r="H437" s="10"/>
      <c r="I437" s="16"/>
      <c r="J437" s="9">
        <f>4.095+2.155+0.25</f>
        <v>6.5</v>
      </c>
      <c r="K437" s="9">
        <v>2.75</v>
      </c>
      <c r="L437" s="9">
        <f>2.04*2</f>
        <v>4.08</v>
      </c>
      <c r="M437" s="9"/>
      <c r="N437" s="9"/>
      <c r="O437" s="9">
        <f>(0.25)*0.25</f>
        <v>6.25E-2</v>
      </c>
      <c r="P437" s="9"/>
      <c r="Q437" s="9"/>
      <c r="R437" s="9"/>
      <c r="S437" s="23">
        <f t="shared" si="8"/>
        <v>13.7325</v>
      </c>
      <c r="T437" s="24"/>
      <c r="U437" s="8"/>
    </row>
    <row r="438" spans="1:21" x14ac:dyDescent="0.25">
      <c r="A438" s="12" t="s">
        <v>62</v>
      </c>
      <c r="B438" s="46" t="s">
        <v>155</v>
      </c>
      <c r="C438" s="14"/>
      <c r="D438" s="40"/>
      <c r="E438" s="42"/>
      <c r="F438" s="42"/>
      <c r="G438" s="42" t="s">
        <v>82</v>
      </c>
      <c r="H438" s="10"/>
      <c r="I438" s="16"/>
      <c r="J438" s="9">
        <f>21.69-J437</f>
        <v>15.190000000000001</v>
      </c>
      <c r="K438" s="9">
        <v>2.75</v>
      </c>
      <c r="L438" s="9"/>
      <c r="M438" s="9">
        <f>1.1*2+1*2</f>
        <v>4.2</v>
      </c>
      <c r="N438" s="9"/>
      <c r="O438" s="9">
        <f>(1.76*2+1.94-0.25)*0.25</f>
        <v>1.3025</v>
      </c>
      <c r="P438" s="9"/>
      <c r="Q438" s="9"/>
      <c r="R438" s="9"/>
      <c r="S438" s="23">
        <f t="shared" si="8"/>
        <v>36.269999999999996</v>
      </c>
      <c r="T438" s="24"/>
      <c r="U438" s="8"/>
    </row>
    <row r="439" spans="1:21" x14ac:dyDescent="0.25">
      <c r="A439" s="12" t="s">
        <v>62</v>
      </c>
      <c r="B439" s="46" t="s">
        <v>156</v>
      </c>
      <c r="C439" s="14"/>
      <c r="D439" s="40" t="s">
        <v>195</v>
      </c>
      <c r="E439" s="42" t="s">
        <v>86</v>
      </c>
      <c r="F439" s="42"/>
      <c r="G439" s="42"/>
      <c r="H439" s="10"/>
      <c r="I439" s="16" t="s">
        <v>89</v>
      </c>
      <c r="J439" s="9">
        <f>2.5*2+1.9</f>
        <v>6.9</v>
      </c>
      <c r="K439" s="9">
        <v>2</v>
      </c>
      <c r="L439" s="9"/>
      <c r="M439" s="9">
        <f>1*2</f>
        <v>2</v>
      </c>
      <c r="N439" s="9"/>
      <c r="O439" s="9"/>
      <c r="P439" s="9"/>
      <c r="Q439" s="9"/>
      <c r="R439" s="9"/>
      <c r="S439" s="23">
        <f t="shared" si="8"/>
        <v>11.8</v>
      </c>
      <c r="T439" s="24"/>
      <c r="U439" s="8"/>
    </row>
    <row r="440" spans="1:21" x14ac:dyDescent="0.25">
      <c r="A440" s="12" t="s">
        <v>62</v>
      </c>
      <c r="B440" s="46" t="s">
        <v>156</v>
      </c>
      <c r="C440" s="14"/>
      <c r="D440" s="40" t="s">
        <v>195</v>
      </c>
      <c r="E440" s="42" t="s">
        <v>86</v>
      </c>
      <c r="F440" s="42"/>
      <c r="G440" s="42"/>
      <c r="H440" s="10"/>
      <c r="I440" s="16" t="s">
        <v>147</v>
      </c>
      <c r="J440" s="9">
        <v>1.9</v>
      </c>
      <c r="K440" s="9">
        <v>2</v>
      </c>
      <c r="L440" s="9"/>
      <c r="M440" s="9"/>
      <c r="N440" s="9"/>
      <c r="O440" s="9"/>
      <c r="P440" s="9"/>
      <c r="Q440" s="9"/>
      <c r="R440" s="9"/>
      <c r="S440" s="23">
        <f t="shared" si="8"/>
        <v>3.8</v>
      </c>
      <c r="T440" s="24"/>
      <c r="U440" s="8"/>
    </row>
    <row r="441" spans="1:21" x14ac:dyDescent="0.25">
      <c r="A441" s="12" t="s">
        <v>62</v>
      </c>
      <c r="B441" s="46" t="s">
        <v>156</v>
      </c>
      <c r="C441" s="14"/>
      <c r="D441" s="40" t="s">
        <v>195</v>
      </c>
      <c r="E441" s="42"/>
      <c r="F441" s="42" t="s">
        <v>84</v>
      </c>
      <c r="G441" s="42"/>
      <c r="H441" s="10"/>
      <c r="I441" s="16"/>
      <c r="J441" s="9">
        <f>J440</f>
        <v>1.9</v>
      </c>
      <c r="K441" s="9">
        <f>2.5-2</f>
        <v>0.5</v>
      </c>
      <c r="L441" s="9"/>
      <c r="M441" s="9"/>
      <c r="N441" s="9"/>
      <c r="O441" s="9"/>
      <c r="P441" s="9"/>
      <c r="Q441" s="9"/>
      <c r="R441" s="9"/>
      <c r="S441" s="23">
        <f t="shared" si="8"/>
        <v>0.95</v>
      </c>
      <c r="T441" s="24"/>
      <c r="U441" s="8"/>
    </row>
    <row r="442" spans="1:21" x14ac:dyDescent="0.25">
      <c r="A442" s="12" t="s">
        <v>62</v>
      </c>
      <c r="B442" s="46" t="s">
        <v>156</v>
      </c>
      <c r="C442" s="14"/>
      <c r="D442" s="40" t="s">
        <v>195</v>
      </c>
      <c r="E442" s="42"/>
      <c r="F442" s="42"/>
      <c r="G442" s="42" t="s">
        <v>82</v>
      </c>
      <c r="H442" s="10"/>
      <c r="I442" s="16"/>
      <c r="J442" s="9">
        <f>J439</f>
        <v>6.9</v>
      </c>
      <c r="K442" s="9">
        <f>2.5-2</f>
        <v>0.5</v>
      </c>
      <c r="L442" s="9"/>
      <c r="M442" s="9"/>
      <c r="N442" s="9"/>
      <c r="O442" s="9"/>
      <c r="P442" s="9"/>
      <c r="Q442" s="9"/>
      <c r="R442" s="9"/>
      <c r="S442" s="23">
        <f t="shared" si="8"/>
        <v>3.45</v>
      </c>
      <c r="T442" s="24"/>
      <c r="U442" s="8"/>
    </row>
    <row r="443" spans="1:21" x14ac:dyDescent="0.25">
      <c r="A443" s="12" t="s">
        <v>62</v>
      </c>
      <c r="B443" s="46" t="s">
        <v>157</v>
      </c>
      <c r="C443" s="14"/>
      <c r="D443" s="40"/>
      <c r="E443" s="42"/>
      <c r="F443" s="42" t="s">
        <v>84</v>
      </c>
      <c r="G443" s="42"/>
      <c r="H443" s="10"/>
      <c r="I443" s="16"/>
      <c r="J443" s="9">
        <f>4.095+2.155+0.25</f>
        <v>6.5</v>
      </c>
      <c r="K443" s="9">
        <v>2.75</v>
      </c>
      <c r="L443" s="9">
        <f>2.04*2</f>
        <v>4.08</v>
      </c>
      <c r="M443" s="9"/>
      <c r="N443" s="9"/>
      <c r="O443" s="9">
        <f>(0.25)*0.25</f>
        <v>6.25E-2</v>
      </c>
      <c r="P443" s="9"/>
      <c r="Q443" s="9"/>
      <c r="R443" s="9"/>
      <c r="S443" s="23">
        <f t="shared" si="8"/>
        <v>13.7325</v>
      </c>
      <c r="T443" s="24"/>
      <c r="U443" s="8"/>
    </row>
    <row r="444" spans="1:21" x14ac:dyDescent="0.25">
      <c r="A444" s="12" t="s">
        <v>62</v>
      </c>
      <c r="B444" s="46" t="s">
        <v>157</v>
      </c>
      <c r="C444" s="14"/>
      <c r="D444" s="40"/>
      <c r="E444" s="42"/>
      <c r="F444" s="42"/>
      <c r="G444" s="42" t="s">
        <v>82</v>
      </c>
      <c r="H444" s="10"/>
      <c r="I444" s="16"/>
      <c r="J444" s="9">
        <f>21.68-J443</f>
        <v>15.18</v>
      </c>
      <c r="K444" s="9">
        <v>2.75</v>
      </c>
      <c r="L444" s="9"/>
      <c r="M444" s="9">
        <f>1.1*2+1*2</f>
        <v>4.2</v>
      </c>
      <c r="N444" s="9"/>
      <c r="O444" s="9">
        <f>(1.76*2+1.94-0.25)*0.25</f>
        <v>1.3025</v>
      </c>
      <c r="P444" s="9"/>
      <c r="Q444" s="9"/>
      <c r="R444" s="9"/>
      <c r="S444" s="23">
        <f t="shared" si="8"/>
        <v>36.242499999999993</v>
      </c>
      <c r="T444" s="24"/>
      <c r="U444" s="8"/>
    </row>
    <row r="445" spans="1:21" x14ac:dyDescent="0.25">
      <c r="A445" s="12" t="s">
        <v>62</v>
      </c>
      <c r="B445" s="46" t="s">
        <v>158</v>
      </c>
      <c r="C445" s="14"/>
      <c r="D445" s="40" t="s">
        <v>195</v>
      </c>
      <c r="E445" s="42" t="s">
        <v>86</v>
      </c>
      <c r="F445" s="42"/>
      <c r="G445" s="42"/>
      <c r="H445" s="10"/>
      <c r="I445" s="16" t="s">
        <v>89</v>
      </c>
      <c r="J445" s="9">
        <f>2.5*2+1.9</f>
        <v>6.9</v>
      </c>
      <c r="K445" s="9">
        <v>2</v>
      </c>
      <c r="L445" s="9"/>
      <c r="M445" s="9">
        <f>1*2</f>
        <v>2</v>
      </c>
      <c r="N445" s="9"/>
      <c r="O445" s="9"/>
      <c r="P445" s="9"/>
      <c r="Q445" s="9"/>
      <c r="R445" s="9"/>
      <c r="S445" s="23">
        <f t="shared" si="8"/>
        <v>11.8</v>
      </c>
      <c r="T445" s="24"/>
      <c r="U445" s="8"/>
    </row>
    <row r="446" spans="1:21" x14ac:dyDescent="0.25">
      <c r="A446" s="12" t="s">
        <v>62</v>
      </c>
      <c r="B446" s="46" t="s">
        <v>158</v>
      </c>
      <c r="C446" s="14"/>
      <c r="D446" s="40" t="s">
        <v>195</v>
      </c>
      <c r="E446" s="42" t="s">
        <v>86</v>
      </c>
      <c r="F446" s="42"/>
      <c r="G446" s="42"/>
      <c r="H446" s="10"/>
      <c r="I446" s="16" t="s">
        <v>147</v>
      </c>
      <c r="J446" s="9">
        <v>1.9</v>
      </c>
      <c r="K446" s="9">
        <v>2</v>
      </c>
      <c r="L446" s="9"/>
      <c r="M446" s="9"/>
      <c r="N446" s="9"/>
      <c r="O446" s="9"/>
      <c r="P446" s="9"/>
      <c r="Q446" s="9"/>
      <c r="R446" s="9"/>
      <c r="S446" s="23">
        <f t="shared" si="8"/>
        <v>3.8</v>
      </c>
      <c r="T446" s="24"/>
      <c r="U446" s="8"/>
    </row>
    <row r="447" spans="1:21" x14ac:dyDescent="0.25">
      <c r="A447" s="12" t="s">
        <v>62</v>
      </c>
      <c r="B447" s="46" t="s">
        <v>158</v>
      </c>
      <c r="C447" s="14"/>
      <c r="D447" s="40" t="s">
        <v>195</v>
      </c>
      <c r="E447" s="42"/>
      <c r="F447" s="42" t="s">
        <v>84</v>
      </c>
      <c r="G447" s="42"/>
      <c r="H447" s="10"/>
      <c r="I447" s="16"/>
      <c r="J447" s="9">
        <f>J446</f>
        <v>1.9</v>
      </c>
      <c r="K447" s="9">
        <f>2.5-2</f>
        <v>0.5</v>
      </c>
      <c r="L447" s="9"/>
      <c r="M447" s="9"/>
      <c r="N447" s="9"/>
      <c r="O447" s="9"/>
      <c r="P447" s="9"/>
      <c r="Q447" s="9"/>
      <c r="R447" s="9"/>
      <c r="S447" s="23">
        <f t="shared" si="8"/>
        <v>0.95</v>
      </c>
      <c r="T447" s="24"/>
      <c r="U447" s="8"/>
    </row>
    <row r="448" spans="1:21" x14ac:dyDescent="0.25">
      <c r="A448" s="12" t="s">
        <v>62</v>
      </c>
      <c r="B448" s="46" t="s">
        <v>158</v>
      </c>
      <c r="C448" s="14"/>
      <c r="D448" s="40" t="s">
        <v>195</v>
      </c>
      <c r="E448" s="42"/>
      <c r="F448" s="42"/>
      <c r="G448" s="42" t="s">
        <v>82</v>
      </c>
      <c r="H448" s="10"/>
      <c r="I448" s="16"/>
      <c r="J448" s="9">
        <f>J445</f>
        <v>6.9</v>
      </c>
      <c r="K448" s="9">
        <f>2.5-2</f>
        <v>0.5</v>
      </c>
      <c r="L448" s="9"/>
      <c r="M448" s="9"/>
      <c r="N448" s="9"/>
      <c r="O448" s="9"/>
      <c r="P448" s="9"/>
      <c r="Q448" s="9"/>
      <c r="R448" s="9"/>
      <c r="S448" s="23">
        <f t="shared" si="8"/>
        <v>3.45</v>
      </c>
      <c r="T448" s="24"/>
      <c r="U448" s="8"/>
    </row>
    <row r="449" spans="1:21" x14ac:dyDescent="0.25">
      <c r="A449" s="12" t="s">
        <v>62</v>
      </c>
      <c r="B449" s="46" t="s">
        <v>159</v>
      </c>
      <c r="C449" s="14"/>
      <c r="D449" s="40"/>
      <c r="E449" s="42"/>
      <c r="F449" s="42" t="s">
        <v>84</v>
      </c>
      <c r="G449" s="42"/>
      <c r="H449" s="10"/>
      <c r="I449" s="16"/>
      <c r="J449" s="9">
        <f>4.095+2.155+0.25</f>
        <v>6.5</v>
      </c>
      <c r="K449" s="9">
        <v>2.75</v>
      </c>
      <c r="L449" s="9">
        <f>2.04*2</f>
        <v>4.08</v>
      </c>
      <c r="M449" s="9"/>
      <c r="N449" s="9"/>
      <c r="O449" s="9">
        <f>(0.25)*0.25</f>
        <v>6.25E-2</v>
      </c>
      <c r="P449" s="9"/>
      <c r="Q449" s="9"/>
      <c r="R449" s="9"/>
      <c r="S449" s="23">
        <f t="shared" si="8"/>
        <v>13.7325</v>
      </c>
      <c r="T449" s="24"/>
      <c r="U449" s="8"/>
    </row>
    <row r="450" spans="1:21" x14ac:dyDescent="0.25">
      <c r="A450" s="12" t="s">
        <v>62</v>
      </c>
      <c r="B450" s="46" t="s">
        <v>159</v>
      </c>
      <c r="C450" s="14"/>
      <c r="D450" s="40"/>
      <c r="E450" s="42"/>
      <c r="F450" s="42"/>
      <c r="G450" s="42" t="s">
        <v>82</v>
      </c>
      <c r="H450" s="10"/>
      <c r="I450" s="16"/>
      <c r="J450" s="9">
        <f>21.68-J449</f>
        <v>15.18</v>
      </c>
      <c r="K450" s="9">
        <v>2.75</v>
      </c>
      <c r="L450" s="9"/>
      <c r="M450" s="9">
        <f>1.1*2+1*2</f>
        <v>4.2</v>
      </c>
      <c r="N450" s="9"/>
      <c r="O450" s="9">
        <f>(1.76*2+1.94-0.25)*0.25</f>
        <v>1.3025</v>
      </c>
      <c r="P450" s="9"/>
      <c r="Q450" s="9"/>
      <c r="R450" s="9"/>
      <c r="S450" s="23">
        <f t="shared" si="8"/>
        <v>36.242499999999993</v>
      </c>
      <c r="T450" s="24"/>
      <c r="U450" s="8"/>
    </row>
    <row r="451" spans="1:21" x14ac:dyDescent="0.25">
      <c r="A451" s="12" t="s">
        <v>62</v>
      </c>
      <c r="B451" s="46" t="s">
        <v>160</v>
      </c>
      <c r="C451" s="14"/>
      <c r="D451" s="40" t="s">
        <v>195</v>
      </c>
      <c r="E451" s="42" t="s">
        <v>86</v>
      </c>
      <c r="F451" s="42"/>
      <c r="G451" s="42"/>
      <c r="H451" s="10"/>
      <c r="I451" s="16" t="s">
        <v>89</v>
      </c>
      <c r="J451" s="9">
        <f>2.5*2+1.9</f>
        <v>6.9</v>
      </c>
      <c r="K451" s="9">
        <v>2</v>
      </c>
      <c r="L451" s="9"/>
      <c r="M451" s="9">
        <f>1*2</f>
        <v>2</v>
      </c>
      <c r="N451" s="9"/>
      <c r="O451" s="9"/>
      <c r="P451" s="9"/>
      <c r="Q451" s="9"/>
      <c r="R451" s="9"/>
      <c r="S451" s="23">
        <f t="shared" si="8"/>
        <v>11.8</v>
      </c>
      <c r="T451" s="24"/>
      <c r="U451" s="8"/>
    </row>
    <row r="452" spans="1:21" x14ac:dyDescent="0.25">
      <c r="A452" s="12" t="s">
        <v>62</v>
      </c>
      <c r="B452" s="46" t="s">
        <v>160</v>
      </c>
      <c r="C452" s="14"/>
      <c r="D452" s="40" t="s">
        <v>195</v>
      </c>
      <c r="E452" s="42" t="s">
        <v>86</v>
      </c>
      <c r="F452" s="42"/>
      <c r="G452" s="42"/>
      <c r="H452" s="10"/>
      <c r="I452" s="16" t="s">
        <v>147</v>
      </c>
      <c r="J452" s="9">
        <v>1.9</v>
      </c>
      <c r="K452" s="9">
        <v>2</v>
      </c>
      <c r="L452" s="9"/>
      <c r="M452" s="9"/>
      <c r="N452" s="9"/>
      <c r="O452" s="9"/>
      <c r="P452" s="9"/>
      <c r="Q452" s="9"/>
      <c r="R452" s="9"/>
      <c r="S452" s="23">
        <f t="shared" si="8"/>
        <v>3.8</v>
      </c>
      <c r="T452" s="24"/>
      <c r="U452" s="8"/>
    </row>
    <row r="453" spans="1:21" x14ac:dyDescent="0.25">
      <c r="A453" s="12" t="s">
        <v>62</v>
      </c>
      <c r="B453" s="46" t="s">
        <v>160</v>
      </c>
      <c r="C453" s="14"/>
      <c r="D453" s="40" t="s">
        <v>195</v>
      </c>
      <c r="E453" s="42"/>
      <c r="F453" s="42" t="s">
        <v>84</v>
      </c>
      <c r="G453" s="42"/>
      <c r="H453" s="10"/>
      <c r="I453" s="16"/>
      <c r="J453" s="9">
        <f>J452</f>
        <v>1.9</v>
      </c>
      <c r="K453" s="9">
        <f>2.5-2</f>
        <v>0.5</v>
      </c>
      <c r="L453" s="9"/>
      <c r="M453" s="9"/>
      <c r="N453" s="9"/>
      <c r="O453" s="9"/>
      <c r="P453" s="9"/>
      <c r="Q453" s="9"/>
      <c r="R453" s="9"/>
      <c r="S453" s="23">
        <f t="shared" si="8"/>
        <v>0.95</v>
      </c>
      <c r="T453" s="24"/>
      <c r="U453" s="8"/>
    </row>
    <row r="454" spans="1:21" x14ac:dyDescent="0.25">
      <c r="A454" s="12" t="s">
        <v>62</v>
      </c>
      <c r="B454" s="46" t="s">
        <v>160</v>
      </c>
      <c r="C454" s="14"/>
      <c r="D454" s="40" t="s">
        <v>195</v>
      </c>
      <c r="E454" s="42"/>
      <c r="F454" s="42"/>
      <c r="G454" s="42" t="s">
        <v>82</v>
      </c>
      <c r="H454" s="10"/>
      <c r="I454" s="16"/>
      <c r="J454" s="9">
        <f>J451</f>
        <v>6.9</v>
      </c>
      <c r="K454" s="9">
        <f>2.5-2</f>
        <v>0.5</v>
      </c>
      <c r="L454" s="9"/>
      <c r="M454" s="9"/>
      <c r="N454" s="9"/>
      <c r="O454" s="9"/>
      <c r="P454" s="9"/>
      <c r="Q454" s="9"/>
      <c r="R454" s="9"/>
      <c r="S454" s="23">
        <f t="shared" si="8"/>
        <v>3.45</v>
      </c>
      <c r="T454" s="24"/>
      <c r="U454" s="8"/>
    </row>
    <row r="455" spans="1:21" x14ac:dyDescent="0.25">
      <c r="A455" s="12" t="s">
        <v>62</v>
      </c>
      <c r="B455" s="46" t="s">
        <v>161</v>
      </c>
      <c r="C455" s="14"/>
      <c r="D455" s="40"/>
      <c r="E455" s="42"/>
      <c r="F455" s="42" t="s">
        <v>84</v>
      </c>
      <c r="G455" s="42"/>
      <c r="H455" s="10"/>
      <c r="I455" s="16"/>
      <c r="J455" s="9">
        <f>4.645+2.76+0.25+0.71+0.15*2</f>
        <v>8.6649999999999991</v>
      </c>
      <c r="K455" s="9">
        <v>2.75</v>
      </c>
      <c r="L455" s="9">
        <f>2.04*2</f>
        <v>4.08</v>
      </c>
      <c r="M455" s="9"/>
      <c r="N455" s="9"/>
      <c r="O455" s="9">
        <f>(0.25+0.71+0.15)*0.25</f>
        <v>0.27749999999999997</v>
      </c>
      <c r="P455" s="9"/>
      <c r="Q455" s="9"/>
      <c r="R455" s="9"/>
      <c r="S455" s="23">
        <f t="shared" si="8"/>
        <v>19.471250000000001</v>
      </c>
      <c r="T455" s="24"/>
      <c r="U455" s="8"/>
    </row>
    <row r="456" spans="1:21" x14ac:dyDescent="0.25">
      <c r="A456" s="12" t="s">
        <v>62</v>
      </c>
      <c r="B456" s="46" t="s">
        <v>161</v>
      </c>
      <c r="C456" s="14"/>
      <c r="D456" s="40"/>
      <c r="E456" s="42"/>
      <c r="F456" s="42"/>
      <c r="G456" s="42" t="s">
        <v>82</v>
      </c>
      <c r="H456" s="10"/>
      <c r="I456" s="16"/>
      <c r="J456" s="9">
        <f>23.07-J455</f>
        <v>14.405000000000001</v>
      </c>
      <c r="K456" s="9">
        <v>2.75</v>
      </c>
      <c r="L456" s="9"/>
      <c r="M456" s="9">
        <f>1.1*2+1*2</f>
        <v>4.2</v>
      </c>
      <c r="N456" s="9"/>
      <c r="O456" s="9">
        <f>(2.45*2+1.89-0.71-0.25)*0.25</f>
        <v>1.4575</v>
      </c>
      <c r="P456" s="9"/>
      <c r="Q456" s="9"/>
      <c r="R456" s="9"/>
      <c r="S456" s="23">
        <f t="shared" si="8"/>
        <v>33.956249999999997</v>
      </c>
      <c r="T456" s="24"/>
      <c r="U456" s="8"/>
    </row>
    <row r="457" spans="1:21" x14ac:dyDescent="0.25">
      <c r="A457" s="12" t="s">
        <v>62</v>
      </c>
      <c r="B457" s="46" t="s">
        <v>162</v>
      </c>
      <c r="C457" s="14"/>
      <c r="D457" s="40" t="s">
        <v>195</v>
      </c>
      <c r="E457" s="42" t="s">
        <v>86</v>
      </c>
      <c r="F457" s="42"/>
      <c r="G457" s="42"/>
      <c r="H457" s="10"/>
      <c r="I457" s="16" t="s">
        <v>89</v>
      </c>
      <c r="J457" s="9">
        <f>2.5*2+2.15</f>
        <v>7.15</v>
      </c>
      <c r="K457" s="9">
        <v>2</v>
      </c>
      <c r="L457" s="9"/>
      <c r="M457" s="9">
        <f>1*2</f>
        <v>2</v>
      </c>
      <c r="N457" s="9"/>
      <c r="O457" s="9"/>
      <c r="P457" s="9"/>
      <c r="Q457" s="9"/>
      <c r="R457" s="9"/>
      <c r="S457" s="23">
        <f t="shared" si="8"/>
        <v>12.3</v>
      </c>
      <c r="T457" s="24"/>
      <c r="U457" s="8"/>
    </row>
    <row r="458" spans="1:21" x14ac:dyDescent="0.25">
      <c r="A458" s="12" t="s">
        <v>62</v>
      </c>
      <c r="B458" s="46" t="s">
        <v>162</v>
      </c>
      <c r="C458" s="14"/>
      <c r="D458" s="40" t="s">
        <v>195</v>
      </c>
      <c r="E458" s="42" t="s">
        <v>86</v>
      </c>
      <c r="F458" s="42"/>
      <c r="G458" s="42"/>
      <c r="H458" s="10"/>
      <c r="I458" s="16" t="s">
        <v>147</v>
      </c>
      <c r="J458" s="9">
        <v>2.15</v>
      </c>
      <c r="K458" s="9">
        <v>2</v>
      </c>
      <c r="L458" s="9"/>
      <c r="M458" s="9"/>
      <c r="N458" s="9"/>
      <c r="O458" s="9"/>
      <c r="P458" s="9"/>
      <c r="Q458" s="9"/>
      <c r="R458" s="9"/>
      <c r="S458" s="23">
        <f t="shared" ref="S458:S521" si="9">IF(AND(ISBLANK(E458),ISBLANK(F458),ISBLANK(G458),ISBLANK(H458)),"",IF(J458*K458-L458-M458-N458-O458+P458+Q458+R458=0,"",J458*K458-L458-M458-N458-O458+P458+Q458+R458))</f>
        <v>4.3</v>
      </c>
      <c r="T458" s="24"/>
      <c r="U458" s="8"/>
    </row>
    <row r="459" spans="1:21" x14ac:dyDescent="0.25">
      <c r="A459" s="12" t="s">
        <v>62</v>
      </c>
      <c r="B459" s="46" t="s">
        <v>162</v>
      </c>
      <c r="C459" s="14"/>
      <c r="D459" s="40" t="s">
        <v>195</v>
      </c>
      <c r="E459" s="42"/>
      <c r="F459" s="42" t="s">
        <v>84</v>
      </c>
      <c r="G459" s="42"/>
      <c r="H459" s="10"/>
      <c r="I459" s="16"/>
      <c r="J459" s="9">
        <f>J458</f>
        <v>2.15</v>
      </c>
      <c r="K459" s="9">
        <f>2.5-2</f>
        <v>0.5</v>
      </c>
      <c r="L459" s="9"/>
      <c r="M459" s="9"/>
      <c r="N459" s="9"/>
      <c r="O459" s="9"/>
      <c r="P459" s="9"/>
      <c r="Q459" s="9"/>
      <c r="R459" s="9"/>
      <c r="S459" s="23">
        <f t="shared" si="9"/>
        <v>1.075</v>
      </c>
      <c r="T459" s="24"/>
      <c r="U459" s="8"/>
    </row>
    <row r="460" spans="1:21" x14ac:dyDescent="0.25">
      <c r="A460" s="12" t="s">
        <v>62</v>
      </c>
      <c r="B460" s="46" t="s">
        <v>162</v>
      </c>
      <c r="C460" s="14"/>
      <c r="D460" s="40" t="s">
        <v>195</v>
      </c>
      <c r="E460" s="42"/>
      <c r="F460" s="42"/>
      <c r="G460" s="42" t="s">
        <v>82</v>
      </c>
      <c r="H460" s="10"/>
      <c r="I460" s="16"/>
      <c r="J460" s="9">
        <f>J457</f>
        <v>7.15</v>
      </c>
      <c r="K460" s="9">
        <f>2.5-2</f>
        <v>0.5</v>
      </c>
      <c r="L460" s="9"/>
      <c r="M460" s="9"/>
      <c r="N460" s="9"/>
      <c r="O460" s="9"/>
      <c r="P460" s="9"/>
      <c r="Q460" s="9"/>
      <c r="R460" s="9"/>
      <c r="S460" s="23">
        <f t="shared" si="9"/>
        <v>3.5750000000000002</v>
      </c>
      <c r="T460" s="24"/>
      <c r="U460" s="8"/>
    </row>
    <row r="461" spans="1:21" x14ac:dyDescent="0.25">
      <c r="A461" s="12" t="s">
        <v>62</v>
      </c>
      <c r="B461" s="46" t="s">
        <v>163</v>
      </c>
      <c r="C461" s="14"/>
      <c r="D461" s="40"/>
      <c r="E461" s="42"/>
      <c r="F461" s="42" t="s">
        <v>84</v>
      </c>
      <c r="G461" s="42"/>
      <c r="H461" s="10"/>
      <c r="I461" s="16"/>
      <c r="J461" s="9">
        <f>20.78-J462</f>
        <v>13.450000000000001</v>
      </c>
      <c r="K461" s="9">
        <v>2.75</v>
      </c>
      <c r="L461" s="9">
        <f>2.04*2+0.54*2.5</f>
        <v>5.43</v>
      </c>
      <c r="M461" s="9"/>
      <c r="N461" s="9"/>
      <c r="O461" s="9">
        <f>(1.46+0.25)*0.25</f>
        <v>0.42749999999999999</v>
      </c>
      <c r="P461" s="9"/>
      <c r="Q461" s="9"/>
      <c r="R461" s="9"/>
      <c r="S461" s="23">
        <f t="shared" si="9"/>
        <v>31.130000000000006</v>
      </c>
      <c r="T461" s="24"/>
      <c r="U461" s="8"/>
    </row>
    <row r="462" spans="1:21" x14ac:dyDescent="0.25">
      <c r="A462" s="12" t="s">
        <v>62</v>
      </c>
      <c r="B462" s="46" t="s">
        <v>163</v>
      </c>
      <c r="C462" s="14"/>
      <c r="D462" s="40"/>
      <c r="E462" s="42"/>
      <c r="F462" s="42"/>
      <c r="G462" s="42" t="s">
        <v>82</v>
      </c>
      <c r="H462" s="10"/>
      <c r="I462" s="16"/>
      <c r="J462" s="9">
        <f>4.285+1.835+1.46-0.25</f>
        <v>7.33</v>
      </c>
      <c r="K462" s="9">
        <v>2.75</v>
      </c>
      <c r="L462" s="9"/>
      <c r="M462" s="9">
        <f>1.1*2+1*2</f>
        <v>4.2</v>
      </c>
      <c r="N462" s="9"/>
      <c r="O462" s="9">
        <f>(1.835+1.46-0.25)*0.25</f>
        <v>0.76124999999999998</v>
      </c>
      <c r="P462" s="9"/>
      <c r="Q462" s="9"/>
      <c r="R462" s="9"/>
      <c r="S462" s="23">
        <f t="shared" si="9"/>
        <v>15.196249999999999</v>
      </c>
      <c r="T462" s="24"/>
      <c r="U462" s="8"/>
    </row>
    <row r="463" spans="1:21" x14ac:dyDescent="0.25">
      <c r="A463" s="12" t="s">
        <v>62</v>
      </c>
      <c r="B463" s="46" t="s">
        <v>164</v>
      </c>
      <c r="C463" s="14"/>
      <c r="D463" s="40" t="s">
        <v>195</v>
      </c>
      <c r="E463" s="42" t="s">
        <v>86</v>
      </c>
      <c r="F463" s="42"/>
      <c r="G463" s="42"/>
      <c r="H463" s="10"/>
      <c r="I463" s="16" t="s">
        <v>89</v>
      </c>
      <c r="J463" s="9">
        <f>2.5*2+2.15</f>
        <v>7.15</v>
      </c>
      <c r="K463" s="9">
        <v>2</v>
      </c>
      <c r="L463" s="9"/>
      <c r="M463" s="9">
        <f>1*2</f>
        <v>2</v>
      </c>
      <c r="N463" s="9"/>
      <c r="O463" s="9"/>
      <c r="P463" s="9"/>
      <c r="Q463" s="9"/>
      <c r="R463" s="9"/>
      <c r="S463" s="23">
        <f t="shared" si="9"/>
        <v>12.3</v>
      </c>
      <c r="T463" s="24"/>
      <c r="U463" s="8"/>
    </row>
    <row r="464" spans="1:21" x14ac:dyDescent="0.25">
      <c r="A464" s="12" t="s">
        <v>62</v>
      </c>
      <c r="B464" s="46" t="s">
        <v>164</v>
      </c>
      <c r="C464" s="14"/>
      <c r="D464" s="40" t="s">
        <v>195</v>
      </c>
      <c r="E464" s="42" t="s">
        <v>86</v>
      </c>
      <c r="F464" s="42"/>
      <c r="G464" s="42"/>
      <c r="H464" s="10"/>
      <c r="I464" s="16" t="s">
        <v>147</v>
      </c>
      <c r="J464" s="9">
        <v>2.15</v>
      </c>
      <c r="K464" s="9">
        <v>2</v>
      </c>
      <c r="L464" s="9"/>
      <c r="M464" s="9"/>
      <c r="N464" s="9"/>
      <c r="O464" s="9"/>
      <c r="P464" s="9"/>
      <c r="Q464" s="9"/>
      <c r="R464" s="9"/>
      <c r="S464" s="23">
        <f t="shared" si="9"/>
        <v>4.3</v>
      </c>
      <c r="T464" s="24"/>
      <c r="U464" s="8"/>
    </row>
    <row r="465" spans="1:21" x14ac:dyDescent="0.25">
      <c r="A465" s="12" t="s">
        <v>62</v>
      </c>
      <c r="B465" s="46" t="s">
        <v>164</v>
      </c>
      <c r="C465" s="14"/>
      <c r="D465" s="40" t="s">
        <v>195</v>
      </c>
      <c r="E465" s="42"/>
      <c r="F465" s="42" t="s">
        <v>84</v>
      </c>
      <c r="G465" s="42"/>
      <c r="H465" s="10"/>
      <c r="I465" s="16"/>
      <c r="J465" s="9">
        <f>J464</f>
        <v>2.15</v>
      </c>
      <c r="K465" s="9">
        <f>2.5-2</f>
        <v>0.5</v>
      </c>
      <c r="L465" s="9"/>
      <c r="M465" s="9"/>
      <c r="N465" s="9"/>
      <c r="O465" s="9"/>
      <c r="P465" s="9"/>
      <c r="Q465" s="9"/>
      <c r="R465" s="9"/>
      <c r="S465" s="23">
        <f t="shared" si="9"/>
        <v>1.075</v>
      </c>
      <c r="T465" s="24"/>
      <c r="U465" s="8"/>
    </row>
    <row r="466" spans="1:21" x14ac:dyDescent="0.25">
      <c r="A466" s="12" t="s">
        <v>62</v>
      </c>
      <c r="B466" s="46" t="s">
        <v>164</v>
      </c>
      <c r="C466" s="14"/>
      <c r="D466" s="40" t="s">
        <v>195</v>
      </c>
      <c r="E466" s="42"/>
      <c r="F466" s="42"/>
      <c r="G466" s="42" t="s">
        <v>82</v>
      </c>
      <c r="H466" s="10"/>
      <c r="I466" s="16"/>
      <c r="J466" s="9">
        <f>J463</f>
        <v>7.15</v>
      </c>
      <c r="K466" s="9">
        <f>2.5-2</f>
        <v>0.5</v>
      </c>
      <c r="L466" s="9"/>
      <c r="M466" s="9"/>
      <c r="N466" s="9"/>
      <c r="O466" s="9"/>
      <c r="P466" s="9"/>
      <c r="Q466" s="9"/>
      <c r="R466" s="9"/>
      <c r="S466" s="23">
        <f t="shared" si="9"/>
        <v>3.5750000000000002</v>
      </c>
      <c r="T466" s="24"/>
      <c r="U466" s="8"/>
    </row>
    <row r="467" spans="1:21" x14ac:dyDescent="0.25">
      <c r="A467" s="12" t="s">
        <v>62</v>
      </c>
      <c r="B467" s="46" t="s">
        <v>165</v>
      </c>
      <c r="C467" s="14"/>
      <c r="D467" s="40"/>
      <c r="E467" s="42"/>
      <c r="F467" s="42" t="s">
        <v>84</v>
      </c>
      <c r="G467" s="42"/>
      <c r="H467" s="10"/>
      <c r="I467" s="16"/>
      <c r="J467" s="9">
        <v>4.12</v>
      </c>
      <c r="K467" s="9">
        <v>2.75</v>
      </c>
      <c r="L467" s="9">
        <f>2.04*2</f>
        <v>4.08</v>
      </c>
      <c r="M467" s="9"/>
      <c r="N467" s="9"/>
      <c r="O467" s="9"/>
      <c r="P467" s="9"/>
      <c r="Q467" s="9"/>
      <c r="R467" s="9"/>
      <c r="S467" s="23">
        <f t="shared" si="9"/>
        <v>7.25</v>
      </c>
      <c r="T467" s="24"/>
      <c r="U467" s="8"/>
    </row>
    <row r="468" spans="1:21" x14ac:dyDescent="0.25">
      <c r="A468" s="12" t="s">
        <v>62</v>
      </c>
      <c r="B468" s="46" t="s">
        <v>165</v>
      </c>
      <c r="C468" s="14"/>
      <c r="D468" s="40"/>
      <c r="E468" s="42"/>
      <c r="F468" s="42"/>
      <c r="G468" s="42" t="s">
        <v>82</v>
      </c>
      <c r="H468" s="10"/>
      <c r="I468" s="16"/>
      <c r="J468" s="9">
        <f>21.73-J467-J469</f>
        <v>15.2</v>
      </c>
      <c r="K468" s="9">
        <v>2.75</v>
      </c>
      <c r="L468" s="9"/>
      <c r="M468" s="9">
        <f>1.1*2+1*2</f>
        <v>4.2</v>
      </c>
      <c r="N468" s="9"/>
      <c r="O468" s="9">
        <f>(1.96+1.75*2)*0.25</f>
        <v>1.365</v>
      </c>
      <c r="P468" s="9"/>
      <c r="Q468" s="9"/>
      <c r="R468" s="9"/>
      <c r="S468" s="23">
        <f t="shared" si="9"/>
        <v>36.234999999999992</v>
      </c>
      <c r="T468" s="24"/>
      <c r="U468" s="8"/>
    </row>
    <row r="469" spans="1:21" x14ac:dyDescent="0.25">
      <c r="A469" s="12" t="s">
        <v>62</v>
      </c>
      <c r="B469" s="46" t="s">
        <v>165</v>
      </c>
      <c r="C469" s="14"/>
      <c r="D469" s="40"/>
      <c r="E469" s="42"/>
      <c r="F469" s="42" t="s">
        <v>83</v>
      </c>
      <c r="G469" s="42"/>
      <c r="H469" s="10"/>
      <c r="I469" s="16"/>
      <c r="J469" s="9">
        <f>2.16+0.25</f>
        <v>2.41</v>
      </c>
      <c r="K469" s="9">
        <v>2.75</v>
      </c>
      <c r="L469" s="9"/>
      <c r="M469" s="9"/>
      <c r="N469" s="9"/>
      <c r="O469" s="9">
        <f>(0.25)*0.25</f>
        <v>6.25E-2</v>
      </c>
      <c r="P469" s="9"/>
      <c r="Q469" s="9"/>
      <c r="R469" s="9"/>
      <c r="S469" s="23">
        <f t="shared" si="9"/>
        <v>6.5650000000000004</v>
      </c>
      <c r="T469" s="24"/>
      <c r="U469" s="8"/>
    </row>
    <row r="470" spans="1:21" x14ac:dyDescent="0.25">
      <c r="A470" s="12" t="s">
        <v>62</v>
      </c>
      <c r="B470" s="46" t="s">
        <v>166</v>
      </c>
      <c r="C470" s="14"/>
      <c r="D470" s="40" t="s">
        <v>195</v>
      </c>
      <c r="E470" s="42" t="s">
        <v>86</v>
      </c>
      <c r="F470" s="42"/>
      <c r="G470" s="42"/>
      <c r="H470" s="10"/>
      <c r="I470" s="16" t="s">
        <v>89</v>
      </c>
      <c r="J470" s="9">
        <f>1.9+2.5*2</f>
        <v>6.9</v>
      </c>
      <c r="K470" s="9">
        <v>2</v>
      </c>
      <c r="L470" s="9"/>
      <c r="M470" s="9">
        <f>1*2</f>
        <v>2</v>
      </c>
      <c r="N470" s="9"/>
      <c r="O470" s="9"/>
      <c r="P470" s="9"/>
      <c r="Q470" s="9"/>
      <c r="R470" s="9"/>
      <c r="S470" s="23">
        <f t="shared" si="9"/>
        <v>11.8</v>
      </c>
      <c r="T470" s="24"/>
      <c r="U470" s="8"/>
    </row>
    <row r="471" spans="1:21" x14ac:dyDescent="0.25">
      <c r="A471" s="12" t="s">
        <v>62</v>
      </c>
      <c r="B471" s="46" t="s">
        <v>166</v>
      </c>
      <c r="C471" s="14"/>
      <c r="D471" s="40" t="s">
        <v>195</v>
      </c>
      <c r="E471" s="42" t="s">
        <v>86</v>
      </c>
      <c r="F471" s="42"/>
      <c r="G471" s="42"/>
      <c r="H471" s="10"/>
      <c r="I471" s="16" t="s">
        <v>146</v>
      </c>
      <c r="J471" s="9">
        <v>1.9</v>
      </c>
      <c r="K471" s="9">
        <v>2</v>
      </c>
      <c r="L471" s="9"/>
      <c r="M471" s="9"/>
      <c r="N471" s="9"/>
      <c r="O471" s="9"/>
      <c r="P471" s="9"/>
      <c r="Q471" s="9"/>
      <c r="R471" s="9"/>
      <c r="S471" s="23">
        <f t="shared" si="9"/>
        <v>3.8</v>
      </c>
      <c r="T471" s="24"/>
      <c r="U471" s="8"/>
    </row>
    <row r="472" spans="1:21" x14ac:dyDescent="0.25">
      <c r="A472" s="12" t="s">
        <v>62</v>
      </c>
      <c r="B472" s="46" t="s">
        <v>166</v>
      </c>
      <c r="C472" s="14"/>
      <c r="D472" s="40" t="s">
        <v>195</v>
      </c>
      <c r="E472" s="42"/>
      <c r="F472" s="42" t="s">
        <v>83</v>
      </c>
      <c r="G472" s="42"/>
      <c r="H472" s="10"/>
      <c r="I472" s="16"/>
      <c r="J472" s="9">
        <f>J471</f>
        <v>1.9</v>
      </c>
      <c r="K472" s="9">
        <f>2.5-2</f>
        <v>0.5</v>
      </c>
      <c r="L472" s="9"/>
      <c r="M472" s="9"/>
      <c r="N472" s="9"/>
      <c r="O472" s="9"/>
      <c r="P472" s="9"/>
      <c r="Q472" s="9"/>
      <c r="R472" s="9"/>
      <c r="S472" s="23">
        <f t="shared" si="9"/>
        <v>0.95</v>
      </c>
      <c r="T472" s="24"/>
      <c r="U472" s="8"/>
    </row>
    <row r="473" spans="1:21" x14ac:dyDescent="0.25">
      <c r="A473" s="12" t="s">
        <v>62</v>
      </c>
      <c r="B473" s="46" t="s">
        <v>166</v>
      </c>
      <c r="C473" s="14"/>
      <c r="D473" s="40" t="s">
        <v>195</v>
      </c>
      <c r="E473" s="42"/>
      <c r="F473" s="42"/>
      <c r="G473" s="42" t="s">
        <v>82</v>
      </c>
      <c r="H473" s="10"/>
      <c r="I473" s="16"/>
      <c r="J473" s="9">
        <f>J470</f>
        <v>6.9</v>
      </c>
      <c r="K473" s="9">
        <f>2.5-2</f>
        <v>0.5</v>
      </c>
      <c r="L473" s="9"/>
      <c r="M473" s="9"/>
      <c r="N473" s="9"/>
      <c r="O473" s="9"/>
      <c r="P473" s="9"/>
      <c r="Q473" s="9"/>
      <c r="R473" s="9"/>
      <c r="S473" s="23">
        <f t="shared" si="9"/>
        <v>3.45</v>
      </c>
      <c r="T473" s="24"/>
      <c r="U473" s="8"/>
    </row>
    <row r="474" spans="1:21" x14ac:dyDescent="0.25">
      <c r="A474" s="12" t="s">
        <v>62</v>
      </c>
      <c r="B474" s="46" t="s">
        <v>167</v>
      </c>
      <c r="C474" s="14"/>
      <c r="D474" s="40"/>
      <c r="E474" s="42"/>
      <c r="F474" s="42" t="s">
        <v>84</v>
      </c>
      <c r="G474" s="42"/>
      <c r="H474" s="10"/>
      <c r="I474" s="16"/>
      <c r="J474" s="9">
        <v>4.1150000000000002</v>
      </c>
      <c r="K474" s="9">
        <v>2.75</v>
      </c>
      <c r="L474" s="9">
        <f>2.04*2</f>
        <v>4.08</v>
      </c>
      <c r="M474" s="9"/>
      <c r="N474" s="9"/>
      <c r="O474" s="9"/>
      <c r="P474" s="9"/>
      <c r="Q474" s="9"/>
      <c r="R474" s="9"/>
      <c r="S474" s="23">
        <f t="shared" si="9"/>
        <v>7.2362500000000001</v>
      </c>
      <c r="T474" s="24"/>
      <c r="U474" s="8"/>
    </row>
    <row r="475" spans="1:21" x14ac:dyDescent="0.25">
      <c r="A475" s="12" t="s">
        <v>62</v>
      </c>
      <c r="B475" s="46" t="s">
        <v>167</v>
      </c>
      <c r="C475" s="14"/>
      <c r="D475" s="40"/>
      <c r="E475" s="42"/>
      <c r="F475" s="42"/>
      <c r="G475" s="42" t="s">
        <v>82</v>
      </c>
      <c r="H475" s="10"/>
      <c r="I475" s="16"/>
      <c r="J475" s="9">
        <f>21.69-J474-J476</f>
        <v>15.175000000000002</v>
      </c>
      <c r="K475" s="9">
        <v>2.75</v>
      </c>
      <c r="L475" s="9"/>
      <c r="M475" s="9">
        <f>1.1*2+1*2</f>
        <v>4.2</v>
      </c>
      <c r="N475" s="9"/>
      <c r="O475" s="9">
        <f>(1.96+1.75*2)*0.25</f>
        <v>1.365</v>
      </c>
      <c r="P475" s="9"/>
      <c r="Q475" s="9"/>
      <c r="R475" s="9"/>
      <c r="S475" s="23">
        <f t="shared" si="9"/>
        <v>36.166250000000005</v>
      </c>
      <c r="T475" s="24"/>
      <c r="U475" s="8"/>
    </row>
    <row r="476" spans="1:21" x14ac:dyDescent="0.25">
      <c r="A476" s="12" t="s">
        <v>62</v>
      </c>
      <c r="B476" s="46" t="s">
        <v>167</v>
      </c>
      <c r="C476" s="14"/>
      <c r="D476" s="40"/>
      <c r="E476" s="42"/>
      <c r="F476" s="42" t="s">
        <v>83</v>
      </c>
      <c r="G476" s="42"/>
      <c r="H476" s="10"/>
      <c r="I476" s="16"/>
      <c r="J476" s="9">
        <f>2.15+0.25</f>
        <v>2.4</v>
      </c>
      <c r="K476" s="9">
        <v>2.75</v>
      </c>
      <c r="L476" s="9"/>
      <c r="M476" s="9"/>
      <c r="N476" s="9"/>
      <c r="O476" s="9">
        <f>(0.25)*0.25</f>
        <v>6.25E-2</v>
      </c>
      <c r="P476" s="9"/>
      <c r="Q476" s="9"/>
      <c r="R476" s="9"/>
      <c r="S476" s="23">
        <f t="shared" si="9"/>
        <v>6.5374999999999996</v>
      </c>
      <c r="T476" s="24"/>
      <c r="U476" s="8"/>
    </row>
    <row r="477" spans="1:21" x14ac:dyDescent="0.25">
      <c r="A477" s="12" t="s">
        <v>62</v>
      </c>
      <c r="B477" s="46" t="s">
        <v>168</v>
      </c>
      <c r="C477" s="14"/>
      <c r="D477" s="40" t="s">
        <v>195</v>
      </c>
      <c r="E477" s="42" t="s">
        <v>86</v>
      </c>
      <c r="F477" s="42"/>
      <c r="G477" s="42"/>
      <c r="H477" s="10"/>
      <c r="I477" s="16" t="s">
        <v>89</v>
      </c>
      <c r="J477" s="9">
        <f>1.9+2.5*2</f>
        <v>6.9</v>
      </c>
      <c r="K477" s="9">
        <v>2</v>
      </c>
      <c r="L477" s="9"/>
      <c r="M477" s="9">
        <f>1*2</f>
        <v>2</v>
      </c>
      <c r="N477" s="9"/>
      <c r="O477" s="9"/>
      <c r="P477" s="9"/>
      <c r="Q477" s="9"/>
      <c r="R477" s="9"/>
      <c r="S477" s="23">
        <f t="shared" si="9"/>
        <v>11.8</v>
      </c>
      <c r="T477" s="24"/>
      <c r="U477" s="8"/>
    </row>
    <row r="478" spans="1:21" x14ac:dyDescent="0.25">
      <c r="A478" s="12" t="s">
        <v>62</v>
      </c>
      <c r="B478" s="46" t="s">
        <v>168</v>
      </c>
      <c r="C478" s="14"/>
      <c r="D478" s="40" t="s">
        <v>195</v>
      </c>
      <c r="E478" s="42" t="s">
        <v>86</v>
      </c>
      <c r="F478" s="42"/>
      <c r="G478" s="42"/>
      <c r="H478" s="10"/>
      <c r="I478" s="16" t="s">
        <v>146</v>
      </c>
      <c r="J478" s="9">
        <v>1.9</v>
      </c>
      <c r="K478" s="9">
        <v>2</v>
      </c>
      <c r="L478" s="9"/>
      <c r="M478" s="9"/>
      <c r="N478" s="9"/>
      <c r="O478" s="9"/>
      <c r="P478" s="9"/>
      <c r="Q478" s="9"/>
      <c r="R478" s="9"/>
      <c r="S478" s="23">
        <f t="shared" si="9"/>
        <v>3.8</v>
      </c>
      <c r="T478" s="24"/>
      <c r="U478" s="8"/>
    </row>
    <row r="479" spans="1:21" x14ac:dyDescent="0.25">
      <c r="A479" s="12" t="s">
        <v>62</v>
      </c>
      <c r="B479" s="46" t="s">
        <v>168</v>
      </c>
      <c r="C479" s="14"/>
      <c r="D479" s="40" t="s">
        <v>195</v>
      </c>
      <c r="E479" s="42"/>
      <c r="F479" s="42" t="s">
        <v>83</v>
      </c>
      <c r="G479" s="42"/>
      <c r="H479" s="10"/>
      <c r="I479" s="16"/>
      <c r="J479" s="9">
        <f>J478</f>
        <v>1.9</v>
      </c>
      <c r="K479" s="9">
        <f>2.5-2</f>
        <v>0.5</v>
      </c>
      <c r="L479" s="9"/>
      <c r="M479" s="9"/>
      <c r="N479" s="9"/>
      <c r="O479" s="9"/>
      <c r="P479" s="9"/>
      <c r="Q479" s="9"/>
      <c r="R479" s="9"/>
      <c r="S479" s="23">
        <f t="shared" si="9"/>
        <v>0.95</v>
      </c>
      <c r="T479" s="24"/>
      <c r="U479" s="8"/>
    </row>
    <row r="480" spans="1:21" x14ac:dyDescent="0.25">
      <c r="A480" s="12" t="s">
        <v>62</v>
      </c>
      <c r="B480" s="46" t="s">
        <v>168</v>
      </c>
      <c r="C480" s="14"/>
      <c r="D480" s="40" t="s">
        <v>195</v>
      </c>
      <c r="E480" s="42"/>
      <c r="F480" s="42"/>
      <c r="G480" s="42" t="s">
        <v>82</v>
      </c>
      <c r="H480" s="10"/>
      <c r="I480" s="16"/>
      <c r="J480" s="9">
        <f>J477</f>
        <v>6.9</v>
      </c>
      <c r="K480" s="9">
        <f>2.5-2</f>
        <v>0.5</v>
      </c>
      <c r="L480" s="9"/>
      <c r="M480" s="9"/>
      <c r="N480" s="9"/>
      <c r="O480" s="9"/>
      <c r="P480" s="9"/>
      <c r="Q480" s="9"/>
      <c r="R480" s="9"/>
      <c r="S480" s="23">
        <f t="shared" si="9"/>
        <v>3.45</v>
      </c>
      <c r="T480" s="24"/>
      <c r="U480" s="8"/>
    </row>
    <row r="481" spans="1:21" x14ac:dyDescent="0.25">
      <c r="A481" s="12" t="s">
        <v>62</v>
      </c>
      <c r="B481" s="46" t="s">
        <v>169</v>
      </c>
      <c r="C481" s="14"/>
      <c r="D481" s="40"/>
      <c r="E481" s="42"/>
      <c r="F481" s="42"/>
      <c r="G481" s="42" t="s">
        <v>82</v>
      </c>
      <c r="H481" s="10"/>
      <c r="I481" s="16"/>
      <c r="J481" s="9">
        <f>18.89-J482-J483</f>
        <v>15.790000000000001</v>
      </c>
      <c r="K481" s="9">
        <v>2.5</v>
      </c>
      <c r="L481" s="9"/>
      <c r="M481" s="9">
        <f>1.55*2.425+1.3*2.5+1.1*2</f>
        <v>9.2087500000000002</v>
      </c>
      <c r="N481" s="9"/>
      <c r="O481" s="9"/>
      <c r="P481" s="9"/>
      <c r="Q481" s="9"/>
      <c r="R481" s="9">
        <f>(1.7*2+1)*0.2</f>
        <v>0.88000000000000012</v>
      </c>
      <c r="S481" s="23">
        <f t="shared" si="9"/>
        <v>31.146249999999998</v>
      </c>
      <c r="T481" s="24"/>
      <c r="U481" s="8"/>
    </row>
    <row r="482" spans="1:21" x14ac:dyDescent="0.25">
      <c r="A482" s="12" t="s">
        <v>62</v>
      </c>
      <c r="B482" s="46" t="s">
        <v>169</v>
      </c>
      <c r="C482" s="14"/>
      <c r="D482" s="40"/>
      <c r="E482" s="42"/>
      <c r="F482" s="42" t="s">
        <v>84</v>
      </c>
      <c r="G482" s="42"/>
      <c r="H482" s="10"/>
      <c r="I482" s="16"/>
      <c r="J482" s="9">
        <f>2.7+0.2</f>
        <v>2.9000000000000004</v>
      </c>
      <c r="K482" s="9">
        <v>2.5</v>
      </c>
      <c r="L482" s="9"/>
      <c r="M482" s="9">
        <f>2.5*2.5</f>
        <v>6.25</v>
      </c>
      <c r="N482" s="9"/>
      <c r="O482" s="9"/>
      <c r="P482" s="9"/>
      <c r="Q482" s="9"/>
      <c r="R482" s="9">
        <f>2.7*0.2</f>
        <v>0.54</v>
      </c>
      <c r="S482" s="23">
        <f t="shared" si="9"/>
        <v>1.5400000000000009</v>
      </c>
      <c r="T482" s="24"/>
      <c r="U482" s="8"/>
    </row>
    <row r="483" spans="1:21" x14ac:dyDescent="0.25">
      <c r="A483" s="12" t="s">
        <v>62</v>
      </c>
      <c r="B483" s="46" t="s">
        <v>169</v>
      </c>
      <c r="C483" s="14"/>
      <c r="D483" s="40"/>
      <c r="E483" s="42"/>
      <c r="F483" s="42" t="s">
        <v>85</v>
      </c>
      <c r="G483" s="42"/>
      <c r="H483" s="10"/>
      <c r="I483" s="16"/>
      <c r="J483" s="9">
        <v>0.2</v>
      </c>
      <c r="K483" s="9">
        <v>2.5</v>
      </c>
      <c r="L483" s="9"/>
      <c r="M483" s="9"/>
      <c r="N483" s="9"/>
      <c r="O483" s="9"/>
      <c r="P483" s="9"/>
      <c r="Q483" s="9"/>
      <c r="R483" s="9"/>
      <c r="S483" s="23">
        <f t="shared" si="9"/>
        <v>0.5</v>
      </c>
      <c r="T483" s="24"/>
      <c r="U483" s="8"/>
    </row>
    <row r="484" spans="1:21" x14ac:dyDescent="0.25">
      <c r="A484" s="12" t="s">
        <v>62</v>
      </c>
      <c r="B484" s="46" t="s">
        <v>170</v>
      </c>
      <c r="C484" s="14"/>
      <c r="D484" s="40"/>
      <c r="E484" s="42"/>
      <c r="F484" s="42" t="s">
        <v>84</v>
      </c>
      <c r="G484" s="42"/>
      <c r="H484" s="10"/>
      <c r="I484" s="16"/>
      <c r="J484" s="9">
        <f>25.68-J485</f>
        <v>20.274999999999999</v>
      </c>
      <c r="K484" s="9">
        <v>2.75</v>
      </c>
      <c r="L484" s="9">
        <f>2.04*2+0.54*2.5</f>
        <v>5.43</v>
      </c>
      <c r="M484" s="9"/>
      <c r="N484" s="9"/>
      <c r="O484" s="9">
        <f>(1.75+0.25)*0.25</f>
        <v>0.5</v>
      </c>
      <c r="P484" s="9"/>
      <c r="Q484" s="9"/>
      <c r="R484" s="9"/>
      <c r="S484" s="23">
        <f t="shared" si="9"/>
        <v>49.826249999999995</v>
      </c>
      <c r="T484" s="24"/>
      <c r="U484" s="8"/>
    </row>
    <row r="485" spans="1:21" x14ac:dyDescent="0.25">
      <c r="A485" s="12" t="s">
        <v>62</v>
      </c>
      <c r="B485" s="46" t="s">
        <v>170</v>
      </c>
      <c r="C485" s="14"/>
      <c r="D485" s="40"/>
      <c r="E485" s="42"/>
      <c r="F485" s="42"/>
      <c r="G485" s="42" t="s">
        <v>82</v>
      </c>
      <c r="H485" s="10"/>
      <c r="I485" s="16"/>
      <c r="J485" s="9">
        <f>1.755+1.76-0.25+2.14</f>
        <v>5.4049999999999994</v>
      </c>
      <c r="K485" s="9">
        <v>2.75</v>
      </c>
      <c r="L485" s="9"/>
      <c r="M485" s="9">
        <f>1.1*2+1*2</f>
        <v>4.2</v>
      </c>
      <c r="N485" s="9"/>
      <c r="O485" s="9">
        <f>(1.755+1.75-0.25)*0.25</f>
        <v>0.81374999999999997</v>
      </c>
      <c r="P485" s="9"/>
      <c r="Q485" s="9"/>
      <c r="R485" s="9"/>
      <c r="S485" s="23">
        <f t="shared" si="9"/>
        <v>9.8499999999999961</v>
      </c>
      <c r="T485" s="24"/>
      <c r="U485" s="8"/>
    </row>
    <row r="486" spans="1:21" x14ac:dyDescent="0.25">
      <c r="A486" s="12" t="s">
        <v>62</v>
      </c>
      <c r="B486" s="46" t="s">
        <v>171</v>
      </c>
      <c r="C486" s="14"/>
      <c r="D486" s="40" t="s">
        <v>195</v>
      </c>
      <c r="E486" s="42" t="s">
        <v>86</v>
      </c>
      <c r="F486" s="42"/>
      <c r="G486" s="42"/>
      <c r="H486" s="10"/>
      <c r="I486" s="16" t="s">
        <v>89</v>
      </c>
      <c r="J486" s="9">
        <f>2.5*2+1.9</f>
        <v>6.9</v>
      </c>
      <c r="K486" s="9">
        <v>2</v>
      </c>
      <c r="L486" s="9"/>
      <c r="M486" s="9">
        <f>1*2</f>
        <v>2</v>
      </c>
      <c r="N486" s="9"/>
      <c r="O486" s="9"/>
      <c r="P486" s="9"/>
      <c r="Q486" s="9"/>
      <c r="R486" s="9"/>
      <c r="S486" s="23">
        <f t="shared" si="9"/>
        <v>11.8</v>
      </c>
      <c r="T486" s="24"/>
      <c r="U486" s="8"/>
    </row>
    <row r="487" spans="1:21" x14ac:dyDescent="0.25">
      <c r="A487" s="12" t="s">
        <v>62</v>
      </c>
      <c r="B487" s="46" t="s">
        <v>171</v>
      </c>
      <c r="C487" s="14"/>
      <c r="D487" s="40" t="s">
        <v>195</v>
      </c>
      <c r="E487" s="42" t="s">
        <v>86</v>
      </c>
      <c r="F487" s="42"/>
      <c r="G487" s="42"/>
      <c r="H487" s="10"/>
      <c r="I487" s="16" t="s">
        <v>147</v>
      </c>
      <c r="J487" s="9">
        <v>1.9</v>
      </c>
      <c r="K487" s="9">
        <v>2</v>
      </c>
      <c r="L487" s="9"/>
      <c r="M487" s="9"/>
      <c r="N487" s="9"/>
      <c r="O487" s="9"/>
      <c r="P487" s="9"/>
      <c r="Q487" s="9"/>
      <c r="R487" s="9"/>
      <c r="S487" s="23">
        <f t="shared" si="9"/>
        <v>3.8</v>
      </c>
      <c r="T487" s="24"/>
      <c r="U487" s="8"/>
    </row>
    <row r="488" spans="1:21" x14ac:dyDescent="0.25">
      <c r="A488" s="12" t="s">
        <v>62</v>
      </c>
      <c r="B488" s="46" t="s">
        <v>171</v>
      </c>
      <c r="C488" s="14"/>
      <c r="D488" s="40" t="s">
        <v>195</v>
      </c>
      <c r="E488" s="42"/>
      <c r="F488" s="42" t="s">
        <v>84</v>
      </c>
      <c r="G488" s="42"/>
      <c r="H488" s="10"/>
      <c r="I488" s="16"/>
      <c r="J488" s="9">
        <f>J487</f>
        <v>1.9</v>
      </c>
      <c r="K488" s="9">
        <f>2.5-2</f>
        <v>0.5</v>
      </c>
      <c r="L488" s="9"/>
      <c r="M488" s="9"/>
      <c r="N488" s="9"/>
      <c r="O488" s="9"/>
      <c r="P488" s="9"/>
      <c r="Q488" s="9"/>
      <c r="R488" s="9"/>
      <c r="S488" s="23">
        <f t="shared" si="9"/>
        <v>0.95</v>
      </c>
      <c r="T488" s="24"/>
      <c r="U488" s="8"/>
    </row>
    <row r="489" spans="1:21" x14ac:dyDescent="0.25">
      <c r="A489" s="12" t="s">
        <v>62</v>
      </c>
      <c r="B489" s="46" t="s">
        <v>171</v>
      </c>
      <c r="C489" s="14"/>
      <c r="D489" s="40" t="s">
        <v>195</v>
      </c>
      <c r="E489" s="42"/>
      <c r="F489" s="42"/>
      <c r="G489" s="42" t="s">
        <v>82</v>
      </c>
      <c r="H489" s="10"/>
      <c r="I489" s="16"/>
      <c r="J489" s="9">
        <f>J486</f>
        <v>6.9</v>
      </c>
      <c r="K489" s="9">
        <f>2.5-2</f>
        <v>0.5</v>
      </c>
      <c r="L489" s="9"/>
      <c r="M489" s="9"/>
      <c r="N489" s="9"/>
      <c r="O489" s="9"/>
      <c r="P489" s="9"/>
      <c r="Q489" s="9"/>
      <c r="R489" s="9"/>
      <c r="S489" s="23">
        <f t="shared" si="9"/>
        <v>3.45</v>
      </c>
      <c r="T489" s="24"/>
      <c r="U489" s="8"/>
    </row>
    <row r="490" spans="1:21" x14ac:dyDescent="0.25">
      <c r="A490" s="12" t="s">
        <v>62</v>
      </c>
      <c r="B490" s="46" t="s">
        <v>172</v>
      </c>
      <c r="C490" s="14"/>
      <c r="D490" s="40"/>
      <c r="E490" s="42"/>
      <c r="F490" s="42" t="s">
        <v>84</v>
      </c>
      <c r="G490" s="42"/>
      <c r="H490" s="10"/>
      <c r="I490" s="16"/>
      <c r="J490" s="9">
        <f>4.6+2.185+0.25</f>
        <v>7.0350000000000001</v>
      </c>
      <c r="K490" s="9">
        <v>2.75</v>
      </c>
      <c r="L490" s="9">
        <f>2.04*2</f>
        <v>4.08</v>
      </c>
      <c r="M490" s="9"/>
      <c r="N490" s="9"/>
      <c r="O490" s="9">
        <f>(0.25)*0.25</f>
        <v>6.25E-2</v>
      </c>
      <c r="P490" s="9"/>
      <c r="Q490" s="9"/>
      <c r="R490" s="9"/>
      <c r="S490" s="23">
        <f t="shared" si="9"/>
        <v>15.203750000000001</v>
      </c>
      <c r="T490" s="24"/>
      <c r="U490" s="8"/>
    </row>
    <row r="491" spans="1:21" x14ac:dyDescent="0.25">
      <c r="A491" s="12" t="s">
        <v>62</v>
      </c>
      <c r="B491" s="46" t="s">
        <v>172</v>
      </c>
      <c r="C491" s="14"/>
      <c r="D491" s="40"/>
      <c r="E491" s="42"/>
      <c r="F491" s="42"/>
      <c r="G491" s="42" t="s">
        <v>82</v>
      </c>
      <c r="H491" s="10"/>
      <c r="I491" s="16"/>
      <c r="J491" s="9">
        <f>22.69-J490</f>
        <v>15.655000000000001</v>
      </c>
      <c r="K491" s="9">
        <v>2.75</v>
      </c>
      <c r="L491" s="9"/>
      <c r="M491" s="9">
        <f>1.1*2+1*2</f>
        <v>4.2</v>
      </c>
      <c r="N491" s="9"/>
      <c r="O491" s="9">
        <f>(1.91+1.76*2-0.25)*0.25</f>
        <v>1.2949999999999999</v>
      </c>
      <c r="P491" s="9"/>
      <c r="Q491" s="9"/>
      <c r="R491" s="9"/>
      <c r="S491" s="23">
        <f t="shared" si="9"/>
        <v>37.556249999999999</v>
      </c>
      <c r="T491" s="24"/>
      <c r="U491" s="8"/>
    </row>
    <row r="492" spans="1:21" x14ac:dyDescent="0.25">
      <c r="A492" s="12" t="s">
        <v>62</v>
      </c>
      <c r="B492" s="46" t="s">
        <v>173</v>
      </c>
      <c r="C492" s="14"/>
      <c r="D492" s="40" t="s">
        <v>195</v>
      </c>
      <c r="E492" s="42" t="s">
        <v>86</v>
      </c>
      <c r="F492" s="42"/>
      <c r="G492" s="42"/>
      <c r="H492" s="10"/>
      <c r="I492" s="16" t="s">
        <v>89</v>
      </c>
      <c r="J492" s="9">
        <f>2.5*2+1.9</f>
        <v>6.9</v>
      </c>
      <c r="K492" s="9">
        <v>2</v>
      </c>
      <c r="L492" s="9"/>
      <c r="M492" s="9">
        <f>1*2</f>
        <v>2</v>
      </c>
      <c r="N492" s="9"/>
      <c r="O492" s="9"/>
      <c r="P492" s="9"/>
      <c r="Q492" s="9"/>
      <c r="R492" s="9"/>
      <c r="S492" s="23">
        <f t="shared" si="9"/>
        <v>11.8</v>
      </c>
      <c r="T492" s="24"/>
      <c r="U492" s="8"/>
    </row>
    <row r="493" spans="1:21" x14ac:dyDescent="0.25">
      <c r="A493" s="12" t="s">
        <v>62</v>
      </c>
      <c r="B493" s="46" t="s">
        <v>173</v>
      </c>
      <c r="C493" s="14"/>
      <c r="D493" s="40" t="s">
        <v>195</v>
      </c>
      <c r="E493" s="42" t="s">
        <v>86</v>
      </c>
      <c r="F493" s="42"/>
      <c r="G493" s="42"/>
      <c r="H493" s="10"/>
      <c r="I493" s="16" t="s">
        <v>147</v>
      </c>
      <c r="J493" s="9">
        <v>1.9</v>
      </c>
      <c r="K493" s="9">
        <v>2</v>
      </c>
      <c r="L493" s="9"/>
      <c r="M493" s="9"/>
      <c r="N493" s="9"/>
      <c r="O493" s="9"/>
      <c r="P493" s="9"/>
      <c r="Q493" s="9"/>
      <c r="R493" s="9"/>
      <c r="S493" s="23">
        <f t="shared" si="9"/>
        <v>3.8</v>
      </c>
      <c r="T493" s="24"/>
      <c r="U493" s="8"/>
    </row>
    <row r="494" spans="1:21" x14ac:dyDescent="0.25">
      <c r="A494" s="12" t="s">
        <v>62</v>
      </c>
      <c r="B494" s="46" t="s">
        <v>173</v>
      </c>
      <c r="C494" s="14"/>
      <c r="D494" s="40" t="s">
        <v>195</v>
      </c>
      <c r="E494" s="42"/>
      <c r="F494" s="42" t="s">
        <v>84</v>
      </c>
      <c r="G494" s="42"/>
      <c r="H494" s="10"/>
      <c r="I494" s="16"/>
      <c r="J494" s="9">
        <f>J493</f>
        <v>1.9</v>
      </c>
      <c r="K494" s="9">
        <f>2.5-2</f>
        <v>0.5</v>
      </c>
      <c r="L494" s="9"/>
      <c r="M494" s="9"/>
      <c r="N494" s="9"/>
      <c r="O494" s="9"/>
      <c r="P494" s="9"/>
      <c r="Q494" s="9"/>
      <c r="R494" s="9"/>
      <c r="S494" s="23">
        <f t="shared" si="9"/>
        <v>0.95</v>
      </c>
      <c r="T494" s="24"/>
      <c r="U494" s="8"/>
    </row>
    <row r="495" spans="1:21" x14ac:dyDescent="0.25">
      <c r="A495" s="12" t="s">
        <v>62</v>
      </c>
      <c r="B495" s="46" t="s">
        <v>173</v>
      </c>
      <c r="C495" s="14"/>
      <c r="D495" s="40" t="s">
        <v>195</v>
      </c>
      <c r="E495" s="42"/>
      <c r="F495" s="42"/>
      <c r="G495" s="42" t="s">
        <v>82</v>
      </c>
      <c r="H495" s="10"/>
      <c r="I495" s="16"/>
      <c r="J495" s="9">
        <f>J492</f>
        <v>6.9</v>
      </c>
      <c r="K495" s="9">
        <f>2.5-2</f>
        <v>0.5</v>
      </c>
      <c r="L495" s="9"/>
      <c r="M495" s="9"/>
      <c r="N495" s="9"/>
      <c r="O495" s="9"/>
      <c r="P495" s="9"/>
      <c r="Q495" s="9"/>
      <c r="R495" s="9"/>
      <c r="S495" s="23">
        <f t="shared" si="9"/>
        <v>3.45</v>
      </c>
      <c r="T495" s="24"/>
      <c r="U495" s="8"/>
    </row>
    <row r="496" spans="1:21" x14ac:dyDescent="0.25">
      <c r="A496" s="12" t="s">
        <v>62</v>
      </c>
      <c r="B496" s="46" t="s">
        <v>174</v>
      </c>
      <c r="C496" s="14"/>
      <c r="D496" s="40"/>
      <c r="E496" s="42"/>
      <c r="F496" s="42" t="s">
        <v>84</v>
      </c>
      <c r="G496" s="42"/>
      <c r="H496" s="10"/>
      <c r="I496" s="16"/>
      <c r="J496" s="9">
        <f>4.095+2.13+0.25</f>
        <v>6.4749999999999996</v>
      </c>
      <c r="K496" s="9">
        <v>2.75</v>
      </c>
      <c r="L496" s="9">
        <f>2.04*2</f>
        <v>4.08</v>
      </c>
      <c r="M496" s="9"/>
      <c r="N496" s="9"/>
      <c r="O496" s="9">
        <f>(0.25)*0.25</f>
        <v>6.25E-2</v>
      </c>
      <c r="P496" s="9"/>
      <c r="Q496" s="9"/>
      <c r="R496" s="9"/>
      <c r="S496" s="23">
        <f t="shared" si="9"/>
        <v>13.663749999999999</v>
      </c>
      <c r="T496" s="24"/>
      <c r="U496" s="8"/>
    </row>
    <row r="497" spans="1:21" x14ac:dyDescent="0.25">
      <c r="A497" s="12" t="s">
        <v>62</v>
      </c>
      <c r="B497" s="46" t="s">
        <v>174</v>
      </c>
      <c r="C497" s="14"/>
      <c r="D497" s="40"/>
      <c r="E497" s="42"/>
      <c r="F497" s="42"/>
      <c r="G497" s="42" t="s">
        <v>82</v>
      </c>
      <c r="H497" s="10"/>
      <c r="I497" s="16"/>
      <c r="J497" s="9">
        <f>21.68-J496</f>
        <v>15.205</v>
      </c>
      <c r="K497" s="9">
        <v>2.75</v>
      </c>
      <c r="L497" s="9"/>
      <c r="M497" s="9">
        <f>1.1*2+1*2</f>
        <v>4.2</v>
      </c>
      <c r="N497" s="9"/>
      <c r="O497" s="9">
        <f>(1.96+1.76*2-0.25)*0.25</f>
        <v>1.3075000000000001</v>
      </c>
      <c r="P497" s="9"/>
      <c r="Q497" s="9"/>
      <c r="R497" s="9"/>
      <c r="S497" s="23">
        <f t="shared" si="9"/>
        <v>36.306249999999999</v>
      </c>
      <c r="T497" s="24"/>
      <c r="U497" s="8"/>
    </row>
    <row r="498" spans="1:21" x14ac:dyDescent="0.25">
      <c r="A498" s="12" t="s">
        <v>62</v>
      </c>
      <c r="B498" s="46" t="s">
        <v>175</v>
      </c>
      <c r="C498" s="14"/>
      <c r="D498" s="40" t="s">
        <v>195</v>
      </c>
      <c r="E498" s="42" t="s">
        <v>86</v>
      </c>
      <c r="F498" s="42"/>
      <c r="G498" s="42"/>
      <c r="H498" s="10"/>
      <c r="I498" s="16" t="s">
        <v>89</v>
      </c>
      <c r="J498" s="9">
        <f>2.5*2+1.9</f>
        <v>6.9</v>
      </c>
      <c r="K498" s="9">
        <v>2</v>
      </c>
      <c r="L498" s="9"/>
      <c r="M498" s="9">
        <f>1*2</f>
        <v>2</v>
      </c>
      <c r="N498" s="9"/>
      <c r="O498" s="9"/>
      <c r="P498" s="9"/>
      <c r="Q498" s="9"/>
      <c r="R498" s="9"/>
      <c r="S498" s="23">
        <f t="shared" si="9"/>
        <v>11.8</v>
      </c>
      <c r="T498" s="24"/>
      <c r="U498" s="8"/>
    </row>
    <row r="499" spans="1:21" x14ac:dyDescent="0.25">
      <c r="A499" s="12" t="s">
        <v>62</v>
      </c>
      <c r="B499" s="46" t="s">
        <v>175</v>
      </c>
      <c r="C499" s="14"/>
      <c r="D499" s="40" t="s">
        <v>195</v>
      </c>
      <c r="E499" s="42" t="s">
        <v>86</v>
      </c>
      <c r="F499" s="42"/>
      <c r="G499" s="42"/>
      <c r="H499" s="10"/>
      <c r="I499" s="16" t="s">
        <v>147</v>
      </c>
      <c r="J499" s="9">
        <v>1.9</v>
      </c>
      <c r="K499" s="9">
        <v>2</v>
      </c>
      <c r="L499" s="9"/>
      <c r="M499" s="9"/>
      <c r="N499" s="9"/>
      <c r="O499" s="9"/>
      <c r="P499" s="9"/>
      <c r="Q499" s="9"/>
      <c r="R499" s="9"/>
      <c r="S499" s="23">
        <f t="shared" si="9"/>
        <v>3.8</v>
      </c>
      <c r="T499" s="24"/>
      <c r="U499" s="8"/>
    </row>
    <row r="500" spans="1:21" x14ac:dyDescent="0.25">
      <c r="A500" s="12" t="s">
        <v>62</v>
      </c>
      <c r="B500" s="46" t="s">
        <v>175</v>
      </c>
      <c r="C500" s="14"/>
      <c r="D500" s="40" t="s">
        <v>195</v>
      </c>
      <c r="E500" s="42"/>
      <c r="F500" s="42" t="s">
        <v>84</v>
      </c>
      <c r="G500" s="42"/>
      <c r="H500" s="10"/>
      <c r="I500" s="16"/>
      <c r="J500" s="9">
        <f>J499</f>
        <v>1.9</v>
      </c>
      <c r="K500" s="9">
        <f>2.5-2</f>
        <v>0.5</v>
      </c>
      <c r="L500" s="9"/>
      <c r="M500" s="9"/>
      <c r="N500" s="9"/>
      <c r="O500" s="9"/>
      <c r="P500" s="9"/>
      <c r="Q500" s="9"/>
      <c r="R500" s="9"/>
      <c r="S500" s="23">
        <f t="shared" si="9"/>
        <v>0.95</v>
      </c>
      <c r="T500" s="24"/>
      <c r="U500" s="8"/>
    </row>
    <row r="501" spans="1:21" x14ac:dyDescent="0.25">
      <c r="A501" s="12" t="s">
        <v>62</v>
      </c>
      <c r="B501" s="46" t="s">
        <v>175</v>
      </c>
      <c r="C501" s="14"/>
      <c r="D501" s="40" t="s">
        <v>195</v>
      </c>
      <c r="E501" s="42"/>
      <c r="F501" s="42"/>
      <c r="G501" s="42" t="s">
        <v>82</v>
      </c>
      <c r="H501" s="10"/>
      <c r="I501" s="16"/>
      <c r="J501" s="9">
        <f>J498</f>
        <v>6.9</v>
      </c>
      <c r="K501" s="9">
        <f>2.5-2</f>
        <v>0.5</v>
      </c>
      <c r="L501" s="9"/>
      <c r="M501" s="9"/>
      <c r="N501" s="9"/>
      <c r="O501" s="9"/>
      <c r="P501" s="9"/>
      <c r="Q501" s="9"/>
      <c r="R501" s="9"/>
      <c r="S501" s="23">
        <f t="shared" si="9"/>
        <v>3.45</v>
      </c>
      <c r="T501" s="24"/>
      <c r="U501" s="8"/>
    </row>
    <row r="502" spans="1:21" x14ac:dyDescent="0.25">
      <c r="A502" s="12" t="s">
        <v>62</v>
      </c>
      <c r="B502" s="46" t="s">
        <v>176</v>
      </c>
      <c r="C502" s="14"/>
      <c r="D502" s="40"/>
      <c r="E502" s="42"/>
      <c r="F502" s="42" t="s">
        <v>84</v>
      </c>
      <c r="G502" s="42"/>
      <c r="H502" s="10"/>
      <c r="I502" s="16"/>
      <c r="J502" s="9">
        <f>21.68-J503</f>
        <v>13.265000000000001</v>
      </c>
      <c r="K502" s="9">
        <v>2.75</v>
      </c>
      <c r="L502" s="9">
        <f>2.04*2</f>
        <v>4.08</v>
      </c>
      <c r="M502" s="9"/>
      <c r="N502" s="9"/>
      <c r="O502" s="9">
        <f>(1.76+0.25)*0.25</f>
        <v>0.50249999999999995</v>
      </c>
      <c r="P502" s="9"/>
      <c r="Q502" s="9"/>
      <c r="R502" s="9"/>
      <c r="S502" s="23">
        <f t="shared" si="9"/>
        <v>31.896250000000006</v>
      </c>
      <c r="T502" s="24"/>
      <c r="U502" s="8"/>
    </row>
    <row r="503" spans="1:21" x14ac:dyDescent="0.25">
      <c r="A503" s="12" t="s">
        <v>62</v>
      </c>
      <c r="B503" s="46" t="s">
        <v>176</v>
      </c>
      <c r="C503" s="14"/>
      <c r="D503" s="40"/>
      <c r="E503" s="42"/>
      <c r="F503" s="42"/>
      <c r="G503" s="42" t="s">
        <v>82</v>
      </c>
      <c r="H503" s="10"/>
      <c r="I503" s="16"/>
      <c r="J503" s="9">
        <f>4.985+1.76-0.25+1.92</f>
        <v>8.4149999999999991</v>
      </c>
      <c r="K503" s="9">
        <v>2.75</v>
      </c>
      <c r="L503" s="9"/>
      <c r="M503" s="9">
        <f>1.1*2+1*2</f>
        <v>4.2</v>
      </c>
      <c r="N503" s="9"/>
      <c r="O503" s="9">
        <f>(1.92+1.76-0.25)*0.25</f>
        <v>0.85749999999999993</v>
      </c>
      <c r="P503" s="9"/>
      <c r="Q503" s="9"/>
      <c r="R503" s="9"/>
      <c r="S503" s="23">
        <f t="shared" si="9"/>
        <v>18.083750000000002</v>
      </c>
      <c r="T503" s="24"/>
      <c r="U503" s="8"/>
    </row>
    <row r="504" spans="1:21" x14ac:dyDescent="0.25">
      <c r="A504" s="12" t="s">
        <v>62</v>
      </c>
      <c r="B504" s="46" t="s">
        <v>177</v>
      </c>
      <c r="C504" s="14"/>
      <c r="D504" s="40" t="s">
        <v>195</v>
      </c>
      <c r="E504" s="42" t="s">
        <v>86</v>
      </c>
      <c r="F504" s="42"/>
      <c r="G504" s="42"/>
      <c r="H504" s="10"/>
      <c r="I504" s="16" t="s">
        <v>89</v>
      </c>
      <c r="J504" s="9">
        <f>2.5*2+1.9</f>
        <v>6.9</v>
      </c>
      <c r="K504" s="9">
        <v>2</v>
      </c>
      <c r="L504" s="9"/>
      <c r="M504" s="9">
        <f>1*2</f>
        <v>2</v>
      </c>
      <c r="N504" s="9"/>
      <c r="O504" s="9"/>
      <c r="P504" s="9"/>
      <c r="Q504" s="9"/>
      <c r="R504" s="9"/>
      <c r="S504" s="23">
        <f t="shared" si="9"/>
        <v>11.8</v>
      </c>
      <c r="T504" s="24"/>
      <c r="U504" s="8"/>
    </row>
    <row r="505" spans="1:21" x14ac:dyDescent="0.25">
      <c r="A505" s="12" t="s">
        <v>62</v>
      </c>
      <c r="B505" s="46" t="s">
        <v>177</v>
      </c>
      <c r="C505" s="14"/>
      <c r="D505" s="40" t="s">
        <v>195</v>
      </c>
      <c r="E505" s="42" t="s">
        <v>86</v>
      </c>
      <c r="F505" s="42"/>
      <c r="G505" s="42"/>
      <c r="H505" s="10"/>
      <c r="I505" s="16" t="s">
        <v>147</v>
      </c>
      <c r="J505" s="9">
        <v>1.9</v>
      </c>
      <c r="K505" s="9">
        <v>2</v>
      </c>
      <c r="L505" s="9"/>
      <c r="M505" s="9"/>
      <c r="N505" s="9"/>
      <c r="O505" s="9"/>
      <c r="P505" s="9"/>
      <c r="Q505" s="9"/>
      <c r="R505" s="9"/>
      <c r="S505" s="23">
        <f t="shared" si="9"/>
        <v>3.8</v>
      </c>
      <c r="T505" s="24"/>
      <c r="U505" s="8"/>
    </row>
    <row r="506" spans="1:21" x14ac:dyDescent="0.25">
      <c r="A506" s="12" t="s">
        <v>62</v>
      </c>
      <c r="B506" s="46" t="s">
        <v>177</v>
      </c>
      <c r="C506" s="14"/>
      <c r="D506" s="40" t="s">
        <v>195</v>
      </c>
      <c r="E506" s="42"/>
      <c r="F506" s="42" t="s">
        <v>84</v>
      </c>
      <c r="G506" s="42"/>
      <c r="H506" s="10"/>
      <c r="I506" s="16"/>
      <c r="J506" s="9">
        <f>J505</f>
        <v>1.9</v>
      </c>
      <c r="K506" s="9">
        <f>2.5-2</f>
        <v>0.5</v>
      </c>
      <c r="L506" s="9"/>
      <c r="M506" s="9"/>
      <c r="N506" s="9"/>
      <c r="O506" s="9"/>
      <c r="P506" s="9"/>
      <c r="Q506" s="9"/>
      <c r="R506" s="9"/>
      <c r="S506" s="23">
        <f t="shared" si="9"/>
        <v>0.95</v>
      </c>
      <c r="T506" s="24"/>
      <c r="U506" s="8"/>
    </row>
    <row r="507" spans="1:21" x14ac:dyDescent="0.25">
      <c r="A507" s="12" t="s">
        <v>62</v>
      </c>
      <c r="B507" s="46" t="s">
        <v>177</v>
      </c>
      <c r="C507" s="14"/>
      <c r="D507" s="40" t="s">
        <v>195</v>
      </c>
      <c r="E507" s="42"/>
      <c r="F507" s="42"/>
      <c r="G507" s="42" t="s">
        <v>82</v>
      </c>
      <c r="H507" s="10"/>
      <c r="I507" s="16"/>
      <c r="J507" s="9">
        <f>J504</f>
        <v>6.9</v>
      </c>
      <c r="K507" s="9">
        <f>2.5-2</f>
        <v>0.5</v>
      </c>
      <c r="L507" s="9"/>
      <c r="M507" s="9"/>
      <c r="N507" s="9"/>
      <c r="O507" s="9"/>
      <c r="P507" s="9"/>
      <c r="Q507" s="9"/>
      <c r="R507" s="9"/>
      <c r="S507" s="23">
        <f t="shared" si="9"/>
        <v>3.45</v>
      </c>
      <c r="T507" s="24"/>
      <c r="U507" s="8"/>
    </row>
    <row r="508" spans="1:21" x14ac:dyDescent="0.25">
      <c r="A508" s="12" t="s">
        <v>62</v>
      </c>
      <c r="B508" s="13" t="s">
        <v>178</v>
      </c>
      <c r="C508" s="14"/>
      <c r="D508" s="40"/>
      <c r="E508" s="42"/>
      <c r="F508" s="42" t="s">
        <v>84</v>
      </c>
      <c r="G508" s="42"/>
      <c r="H508" s="10"/>
      <c r="I508" s="16" t="s">
        <v>92</v>
      </c>
      <c r="J508" s="9">
        <f>1.1+1</f>
        <v>2.1</v>
      </c>
      <c r="K508" s="9">
        <f>4.97-3.7</f>
        <v>1.2699999999999996</v>
      </c>
      <c r="L508" s="9"/>
      <c r="M508" s="9"/>
      <c r="N508" s="9"/>
      <c r="O508" s="9"/>
      <c r="P508" s="9"/>
      <c r="Q508" s="9"/>
      <c r="R508" s="9"/>
      <c r="S508" s="23">
        <f t="shared" si="9"/>
        <v>2.6669999999999994</v>
      </c>
      <c r="T508" s="24"/>
      <c r="U508" s="8"/>
    </row>
    <row r="509" spans="1:21" x14ac:dyDescent="0.25">
      <c r="A509" s="12" t="s">
        <v>62</v>
      </c>
      <c r="B509" s="13" t="s">
        <v>178</v>
      </c>
      <c r="C509" s="14"/>
      <c r="D509" s="40"/>
      <c r="E509" s="42"/>
      <c r="F509" s="42"/>
      <c r="G509" s="42" t="s">
        <v>82</v>
      </c>
      <c r="H509" s="10"/>
      <c r="I509" s="16" t="s">
        <v>92</v>
      </c>
      <c r="J509" s="9">
        <v>1</v>
      </c>
      <c r="K509" s="9">
        <f>4.97-3.7</f>
        <v>1.2699999999999996</v>
      </c>
      <c r="L509" s="9"/>
      <c r="M509" s="9"/>
      <c r="N509" s="9"/>
      <c r="O509" s="9"/>
      <c r="P509" s="9"/>
      <c r="Q509" s="9"/>
      <c r="R509" s="9"/>
      <c r="S509" s="23">
        <f t="shared" si="9"/>
        <v>1.2699999999999996</v>
      </c>
      <c r="T509" s="24"/>
      <c r="U509" s="8"/>
    </row>
    <row r="510" spans="1:21" x14ac:dyDescent="0.25">
      <c r="A510" s="12" t="s">
        <v>62</v>
      </c>
      <c r="B510" s="13" t="s">
        <v>178</v>
      </c>
      <c r="C510" s="14"/>
      <c r="D510" s="40"/>
      <c r="E510" s="42"/>
      <c r="F510" s="42" t="s">
        <v>84</v>
      </c>
      <c r="G510" s="42"/>
      <c r="H510" s="10"/>
      <c r="I510" s="16" t="s">
        <v>179</v>
      </c>
      <c r="J510" s="9">
        <v>2.7</v>
      </c>
      <c r="K510" s="9">
        <f>(2.75+1.27)/2</f>
        <v>2.0099999999999998</v>
      </c>
      <c r="L510" s="9"/>
      <c r="M510" s="9"/>
      <c r="N510" s="9"/>
      <c r="O510" s="9"/>
      <c r="P510" s="9"/>
      <c r="Q510" s="9"/>
      <c r="R510" s="9"/>
      <c r="S510" s="23">
        <f t="shared" si="9"/>
        <v>5.4269999999999996</v>
      </c>
      <c r="T510" s="24"/>
      <c r="U510" s="8"/>
    </row>
    <row r="511" spans="1:21" x14ac:dyDescent="0.25">
      <c r="A511" s="12" t="s">
        <v>62</v>
      </c>
      <c r="B511" s="13" t="s">
        <v>178</v>
      </c>
      <c r="C511" s="14"/>
      <c r="D511" s="40"/>
      <c r="E511" s="42"/>
      <c r="F511" s="42"/>
      <c r="G511" s="42" t="s">
        <v>82</v>
      </c>
      <c r="H511" s="10"/>
      <c r="I511" s="16" t="s">
        <v>179</v>
      </c>
      <c r="J511" s="9">
        <v>2.7</v>
      </c>
      <c r="K511" s="9">
        <f>(2.75+1.27)/2</f>
        <v>2.0099999999999998</v>
      </c>
      <c r="L511" s="9"/>
      <c r="M511" s="9"/>
      <c r="N511" s="9"/>
      <c r="O511" s="9"/>
      <c r="P511" s="9"/>
      <c r="Q511" s="9"/>
      <c r="R511" s="9"/>
      <c r="S511" s="23">
        <f t="shared" si="9"/>
        <v>5.4269999999999996</v>
      </c>
      <c r="T511" s="24"/>
      <c r="U511" s="8"/>
    </row>
    <row r="512" spans="1:21" x14ac:dyDescent="0.25">
      <c r="A512" s="12" t="s">
        <v>62</v>
      </c>
      <c r="B512" s="13" t="s">
        <v>178</v>
      </c>
      <c r="C512" s="14"/>
      <c r="D512" s="40"/>
      <c r="E512" s="42"/>
      <c r="F512" s="42"/>
      <c r="G512" s="42" t="s">
        <v>82</v>
      </c>
      <c r="H512" s="10"/>
      <c r="I512" s="16" t="s">
        <v>179</v>
      </c>
      <c r="J512" s="9">
        <v>1</v>
      </c>
      <c r="K512" s="9">
        <v>2.75</v>
      </c>
      <c r="L512" s="9"/>
      <c r="M512" s="9">
        <f>0.7*2</f>
        <v>1.4</v>
      </c>
      <c r="N512" s="9"/>
      <c r="O512" s="9"/>
      <c r="P512" s="9"/>
      <c r="Q512" s="9"/>
      <c r="R512" s="9"/>
      <c r="S512" s="23">
        <f t="shared" si="9"/>
        <v>1.35</v>
      </c>
      <c r="T512" s="24"/>
      <c r="U512" s="8"/>
    </row>
    <row r="513" spans="1:21" x14ac:dyDescent="0.25">
      <c r="A513" s="12" t="s">
        <v>62</v>
      </c>
      <c r="B513" s="13" t="s">
        <v>125</v>
      </c>
      <c r="C513" s="14"/>
      <c r="D513" s="40"/>
      <c r="E513" s="42"/>
      <c r="F513" s="42" t="s">
        <v>85</v>
      </c>
      <c r="G513" s="42"/>
      <c r="H513" s="10"/>
      <c r="I513" s="16" t="s">
        <v>181</v>
      </c>
      <c r="J513" s="9">
        <v>5.0999999999999996</v>
      </c>
      <c r="K513" s="9">
        <v>2.75</v>
      </c>
      <c r="L513" s="9">
        <f>0.6*2.5</f>
        <v>1.5</v>
      </c>
      <c r="M513" s="9">
        <f>2*2.5</f>
        <v>5</v>
      </c>
      <c r="N513" s="9"/>
      <c r="O513" s="9"/>
      <c r="P513" s="9"/>
      <c r="Q513" s="9"/>
      <c r="R513" s="9"/>
      <c r="S513" s="23">
        <f t="shared" si="9"/>
        <v>7.5249999999999986</v>
      </c>
      <c r="T513" s="24"/>
      <c r="U513" s="8"/>
    </row>
    <row r="514" spans="1:21" x14ac:dyDescent="0.25">
      <c r="A514" s="12" t="s">
        <v>62</v>
      </c>
      <c r="B514" s="13" t="s">
        <v>125</v>
      </c>
      <c r="C514" s="14"/>
      <c r="D514" s="40"/>
      <c r="E514" s="42"/>
      <c r="F514" s="42" t="s">
        <v>84</v>
      </c>
      <c r="G514" s="42"/>
      <c r="H514" s="10"/>
      <c r="I514" s="16" t="s">
        <v>181</v>
      </c>
      <c r="J514" s="9">
        <f>1.91+4.55</f>
        <v>6.46</v>
      </c>
      <c r="K514" s="9">
        <v>2.75</v>
      </c>
      <c r="L514" s="9"/>
      <c r="M514" s="9">
        <f>1.2*2.18+1.6*2.18</f>
        <v>6.104000000000001</v>
      </c>
      <c r="N514" s="9"/>
      <c r="O514" s="9"/>
      <c r="P514" s="9"/>
      <c r="Q514" s="9"/>
      <c r="R514" s="9"/>
      <c r="S514" s="23">
        <f t="shared" si="9"/>
        <v>11.661</v>
      </c>
      <c r="T514" s="24"/>
      <c r="U514" s="8"/>
    </row>
    <row r="515" spans="1:21" x14ac:dyDescent="0.25">
      <c r="A515" s="12" t="s">
        <v>62</v>
      </c>
      <c r="B515" s="13" t="s">
        <v>125</v>
      </c>
      <c r="C515" s="14"/>
      <c r="D515" s="40"/>
      <c r="E515" s="42"/>
      <c r="F515" s="42" t="s">
        <v>83</v>
      </c>
      <c r="G515" s="42"/>
      <c r="H515" s="10"/>
      <c r="I515" s="16" t="s">
        <v>181</v>
      </c>
      <c r="J515" s="9">
        <v>0.25</v>
      </c>
      <c r="K515" s="9">
        <v>2.75</v>
      </c>
      <c r="L515" s="9"/>
      <c r="M515" s="9"/>
      <c r="N515" s="9"/>
      <c r="O515" s="9"/>
      <c r="P515" s="9"/>
      <c r="Q515" s="9"/>
      <c r="R515" s="9"/>
      <c r="S515" s="23">
        <f t="shared" si="9"/>
        <v>0.6875</v>
      </c>
      <c r="T515" s="24"/>
      <c r="U515" s="8"/>
    </row>
    <row r="516" spans="1:21" x14ac:dyDescent="0.25">
      <c r="A516" s="12" t="s">
        <v>62</v>
      </c>
      <c r="B516" s="13" t="s">
        <v>125</v>
      </c>
      <c r="C516" s="14"/>
      <c r="D516" s="40"/>
      <c r="E516" s="42"/>
      <c r="F516" s="42"/>
      <c r="G516" s="42" t="s">
        <v>82</v>
      </c>
      <c r="H516" s="10"/>
      <c r="I516" s="16" t="s">
        <v>181</v>
      </c>
      <c r="J516" s="9">
        <f>4.29</f>
        <v>4.29</v>
      </c>
      <c r="K516" s="9">
        <v>2.75</v>
      </c>
      <c r="L516" s="9"/>
      <c r="M516" s="9"/>
      <c r="N516" s="9"/>
      <c r="O516" s="9"/>
      <c r="P516" s="9"/>
      <c r="Q516" s="9"/>
      <c r="R516" s="9">
        <f>3.19*0.25</f>
        <v>0.79749999999999999</v>
      </c>
      <c r="S516" s="23">
        <f t="shared" si="9"/>
        <v>12.594999999999999</v>
      </c>
      <c r="T516" s="24"/>
      <c r="U516" s="8"/>
    </row>
    <row r="517" spans="1:21" x14ac:dyDescent="0.25">
      <c r="A517" s="12" t="s">
        <v>62</v>
      </c>
      <c r="B517" s="13" t="s">
        <v>132</v>
      </c>
      <c r="C517" s="14"/>
      <c r="D517" s="40"/>
      <c r="E517" s="42"/>
      <c r="F517" s="42"/>
      <c r="G517" s="42" t="s">
        <v>82</v>
      </c>
      <c r="H517" s="10"/>
      <c r="I517" s="16" t="s">
        <v>180</v>
      </c>
      <c r="J517" s="9">
        <v>2.4</v>
      </c>
      <c r="K517" s="9">
        <v>2.5</v>
      </c>
      <c r="L517" s="9"/>
      <c r="M517" s="9">
        <f>1.3*2.5</f>
        <v>3.25</v>
      </c>
      <c r="N517" s="9"/>
      <c r="O517" s="9"/>
      <c r="P517" s="9"/>
      <c r="Q517" s="9"/>
      <c r="R517" s="9"/>
      <c r="S517" s="23">
        <f t="shared" si="9"/>
        <v>2.75</v>
      </c>
      <c r="T517" s="24"/>
      <c r="U517" s="8"/>
    </row>
    <row r="518" spans="1:21" x14ac:dyDescent="0.25">
      <c r="A518" s="12" t="s">
        <v>62</v>
      </c>
      <c r="B518" s="13" t="s">
        <v>132</v>
      </c>
      <c r="C518" s="14"/>
      <c r="D518" s="40"/>
      <c r="E518" s="42"/>
      <c r="F518" s="42" t="s">
        <v>84</v>
      </c>
      <c r="G518" s="42"/>
      <c r="H518" s="10"/>
      <c r="I518" s="16" t="s">
        <v>180</v>
      </c>
      <c r="J518" s="9">
        <f>1.65*2-J519</f>
        <v>2.98</v>
      </c>
      <c r="K518" s="9">
        <v>2.5</v>
      </c>
      <c r="L518" s="9"/>
      <c r="M518" s="9"/>
      <c r="N518" s="9"/>
      <c r="O518" s="9"/>
      <c r="P518" s="9"/>
      <c r="Q518" s="9"/>
      <c r="R518" s="9"/>
      <c r="S518" s="23">
        <f t="shared" si="9"/>
        <v>7.45</v>
      </c>
      <c r="T518" s="24"/>
      <c r="U518" s="8"/>
    </row>
    <row r="519" spans="1:21" x14ac:dyDescent="0.25">
      <c r="A519" s="12" t="s">
        <v>62</v>
      </c>
      <c r="B519" s="13" t="s">
        <v>132</v>
      </c>
      <c r="C519" s="14"/>
      <c r="D519" s="40"/>
      <c r="E519" s="42"/>
      <c r="F519" s="42" t="s">
        <v>85</v>
      </c>
      <c r="G519" s="42"/>
      <c r="H519" s="10"/>
      <c r="I519" s="16" t="s">
        <v>180</v>
      </c>
      <c r="J519" s="9">
        <v>0.32</v>
      </c>
      <c r="K519" s="9">
        <v>2.5</v>
      </c>
      <c r="L519" s="9"/>
      <c r="M519" s="9"/>
      <c r="N519" s="9"/>
      <c r="O519" s="9"/>
      <c r="P519" s="9"/>
      <c r="Q519" s="9"/>
      <c r="R519" s="9"/>
      <c r="S519" s="23">
        <f t="shared" si="9"/>
        <v>0.8</v>
      </c>
      <c r="T519" s="24"/>
      <c r="U519" s="8"/>
    </row>
    <row r="520" spans="1:21" x14ac:dyDescent="0.25">
      <c r="A520" s="12" t="s">
        <v>62</v>
      </c>
      <c r="B520" s="13" t="s">
        <v>182</v>
      </c>
      <c r="C520" s="14"/>
      <c r="D520" s="40"/>
      <c r="E520" s="42"/>
      <c r="F520" s="42"/>
      <c r="G520" s="42" t="s">
        <v>82</v>
      </c>
      <c r="H520" s="10"/>
      <c r="I520" s="16" t="s">
        <v>180</v>
      </c>
      <c r="J520" s="9">
        <v>2.41</v>
      </c>
      <c r="K520" s="9">
        <v>2.5</v>
      </c>
      <c r="L520" s="9"/>
      <c r="M520" s="9">
        <f>1.3*2.425</f>
        <v>3.1524999999999999</v>
      </c>
      <c r="N520" s="9"/>
      <c r="O520" s="9"/>
      <c r="P520" s="9"/>
      <c r="Q520" s="9"/>
      <c r="R520" s="9"/>
      <c r="S520" s="23">
        <f t="shared" si="9"/>
        <v>2.8725000000000005</v>
      </c>
      <c r="T520" s="24"/>
      <c r="U520" s="8"/>
    </row>
    <row r="521" spans="1:21" x14ac:dyDescent="0.25">
      <c r="A521" s="12" t="s">
        <v>62</v>
      </c>
      <c r="B521" s="13" t="s">
        <v>182</v>
      </c>
      <c r="C521" s="14"/>
      <c r="D521" s="40"/>
      <c r="E521" s="42"/>
      <c r="F521" s="42" t="s">
        <v>84</v>
      </c>
      <c r="G521" s="42"/>
      <c r="H521" s="10"/>
      <c r="I521" s="16" t="s">
        <v>180</v>
      </c>
      <c r="J521" s="9">
        <f>1.65*2-0.32</f>
        <v>2.98</v>
      </c>
      <c r="K521" s="9">
        <v>2.5</v>
      </c>
      <c r="L521" s="9"/>
      <c r="M521" s="9"/>
      <c r="N521" s="9"/>
      <c r="O521" s="9"/>
      <c r="P521" s="9"/>
      <c r="Q521" s="9"/>
      <c r="R521" s="9"/>
      <c r="S521" s="23">
        <f t="shared" si="9"/>
        <v>7.45</v>
      </c>
      <c r="T521" s="24"/>
      <c r="U521" s="8"/>
    </row>
    <row r="522" spans="1:21" x14ac:dyDescent="0.25">
      <c r="A522" s="12" t="s">
        <v>62</v>
      </c>
      <c r="B522" s="13" t="s">
        <v>182</v>
      </c>
      <c r="C522" s="14"/>
      <c r="D522" s="40"/>
      <c r="E522" s="42"/>
      <c r="F522" s="42" t="s">
        <v>85</v>
      </c>
      <c r="G522" s="42"/>
      <c r="H522" s="10"/>
      <c r="I522" s="16" t="s">
        <v>180</v>
      </c>
      <c r="J522" s="9">
        <v>0.32</v>
      </c>
      <c r="K522" s="9">
        <v>2.5</v>
      </c>
      <c r="L522" s="9"/>
      <c r="M522" s="9"/>
      <c r="N522" s="9"/>
      <c r="O522" s="9"/>
      <c r="P522" s="9"/>
      <c r="Q522" s="9"/>
      <c r="R522" s="9"/>
      <c r="S522" s="23">
        <f t="shared" ref="S522:S585" si="10">IF(AND(ISBLANK(E522),ISBLANK(F522),ISBLANK(G522),ISBLANK(H522)),"",IF(J522*K522-L522-M522-N522-O522+P522+Q522+R522=0,"",J522*K522-L522-M522-N522-O522+P522+Q522+R522))</f>
        <v>0.8</v>
      </c>
      <c r="T522" s="24"/>
      <c r="U522" s="8"/>
    </row>
    <row r="523" spans="1:21" x14ac:dyDescent="0.25">
      <c r="A523" s="12" t="s">
        <v>62</v>
      </c>
      <c r="B523" s="13" t="s">
        <v>182</v>
      </c>
      <c r="C523" s="14"/>
      <c r="D523" s="40"/>
      <c r="E523" s="42"/>
      <c r="F523" s="42" t="s">
        <v>84</v>
      </c>
      <c r="G523" s="42"/>
      <c r="H523" s="10"/>
      <c r="I523" s="16" t="s">
        <v>183</v>
      </c>
      <c r="J523" s="9">
        <v>2.7</v>
      </c>
      <c r="K523" s="9">
        <f>(5.6+4.05)/2</f>
        <v>4.8249999999999993</v>
      </c>
      <c r="L523" s="9"/>
      <c r="M523" s="9"/>
      <c r="N523" s="9"/>
      <c r="O523" s="9"/>
      <c r="P523" s="9"/>
      <c r="Q523" s="9"/>
      <c r="R523" s="9"/>
      <c r="S523" s="23">
        <f t="shared" si="10"/>
        <v>13.027499999999998</v>
      </c>
      <c r="T523" s="24"/>
      <c r="U523" s="8"/>
    </row>
    <row r="524" spans="1:21" x14ac:dyDescent="0.25">
      <c r="A524" s="12" t="s">
        <v>62</v>
      </c>
      <c r="B524" s="13" t="s">
        <v>182</v>
      </c>
      <c r="C524" s="14"/>
      <c r="D524" s="40"/>
      <c r="E524" s="42"/>
      <c r="F524" s="42" t="s">
        <v>84</v>
      </c>
      <c r="G524" s="42"/>
      <c r="H524" s="10"/>
      <c r="I524" s="16" t="s">
        <v>184</v>
      </c>
      <c r="J524" s="9">
        <f>1.1*2+2.4</f>
        <v>4.5999999999999996</v>
      </c>
      <c r="K524" s="9">
        <f>9.3-5.25</f>
        <v>4.0500000000000007</v>
      </c>
      <c r="L524" s="9"/>
      <c r="M524" s="9"/>
      <c r="N524" s="9"/>
      <c r="O524" s="9"/>
      <c r="P524" s="9"/>
      <c r="Q524" s="9"/>
      <c r="R524" s="9"/>
      <c r="S524" s="23">
        <f t="shared" si="10"/>
        <v>18.630000000000003</v>
      </c>
      <c r="T524" s="24"/>
      <c r="U524" s="8"/>
    </row>
    <row r="525" spans="1:21" x14ac:dyDescent="0.25">
      <c r="A525" s="12" t="s">
        <v>62</v>
      </c>
      <c r="B525" s="13" t="s">
        <v>182</v>
      </c>
      <c r="C525" s="14"/>
      <c r="D525" s="40"/>
      <c r="E525" s="42"/>
      <c r="F525" s="42" t="s">
        <v>84</v>
      </c>
      <c r="G525" s="42"/>
      <c r="H525" s="10"/>
      <c r="I525" s="16" t="s">
        <v>185</v>
      </c>
      <c r="J525" s="9">
        <v>2.7</v>
      </c>
      <c r="K525" s="9">
        <f>(2.5+4.05)/2</f>
        <v>3.2749999999999999</v>
      </c>
      <c r="L525" s="9"/>
      <c r="M525" s="9"/>
      <c r="N525" s="9"/>
      <c r="O525" s="9"/>
      <c r="P525" s="9"/>
      <c r="Q525" s="9"/>
      <c r="R525" s="9"/>
      <c r="S525" s="23">
        <f t="shared" si="10"/>
        <v>8.8425000000000011</v>
      </c>
      <c r="T525" s="24"/>
      <c r="U525" s="8"/>
    </row>
    <row r="526" spans="1:21" x14ac:dyDescent="0.25">
      <c r="A526" s="12" t="s">
        <v>62</v>
      </c>
      <c r="B526" s="13"/>
      <c r="C526" s="14"/>
      <c r="D526" s="48" t="s">
        <v>202</v>
      </c>
      <c r="E526" s="42"/>
      <c r="F526" s="42"/>
      <c r="G526" s="42"/>
      <c r="H526" s="10"/>
      <c r="I526" s="16"/>
      <c r="J526" s="9"/>
      <c r="K526" s="9"/>
      <c r="L526" s="9"/>
      <c r="M526" s="9"/>
      <c r="N526" s="9"/>
      <c r="O526" s="9"/>
      <c r="P526" s="9"/>
      <c r="Q526" s="9"/>
      <c r="R526" s="9"/>
      <c r="S526" s="23" t="str">
        <f t="shared" si="10"/>
        <v/>
      </c>
      <c r="T526" s="24"/>
      <c r="U526" s="8"/>
    </row>
    <row r="527" spans="1:21" x14ac:dyDescent="0.25">
      <c r="A527" s="12" t="s">
        <v>62</v>
      </c>
      <c r="B527" s="13" t="s">
        <v>37</v>
      </c>
      <c r="C527" s="14"/>
      <c r="D527" s="40"/>
      <c r="E527" s="42"/>
      <c r="F527" s="42"/>
      <c r="G527" s="42"/>
      <c r="H527" s="10" t="s">
        <v>204</v>
      </c>
      <c r="I527" s="16" t="s">
        <v>210</v>
      </c>
      <c r="J527" s="9">
        <f>1.2+0.8+0.8</f>
        <v>2.8</v>
      </c>
      <c r="K527" s="9">
        <v>1.6</v>
      </c>
      <c r="L527" s="9"/>
      <c r="M527" s="9"/>
      <c r="N527" s="9"/>
      <c r="O527" s="9"/>
      <c r="P527" s="9"/>
      <c r="Q527" s="9"/>
      <c r="R527" s="9"/>
      <c r="S527" s="23">
        <f t="shared" si="10"/>
        <v>4.4799999999999995</v>
      </c>
      <c r="T527" s="24"/>
      <c r="U527" s="8"/>
    </row>
    <row r="528" spans="1:21" x14ac:dyDescent="0.25">
      <c r="A528" s="12" t="s">
        <v>62</v>
      </c>
      <c r="B528" s="13" t="s">
        <v>69</v>
      </c>
      <c r="C528" s="14"/>
      <c r="D528" s="40"/>
      <c r="E528" s="42"/>
      <c r="F528" s="42"/>
      <c r="G528" s="42"/>
      <c r="H528" s="10" t="s">
        <v>204</v>
      </c>
      <c r="I528" s="16" t="s">
        <v>210</v>
      </c>
      <c r="J528" s="9">
        <f>0.8*2</f>
        <v>1.6</v>
      </c>
      <c r="K528" s="9">
        <v>0.8</v>
      </c>
      <c r="L528" s="9"/>
      <c r="M528" s="9"/>
      <c r="N528" s="9"/>
      <c r="O528" s="9"/>
      <c r="P528" s="9"/>
      <c r="Q528" s="9"/>
      <c r="R528" s="9"/>
      <c r="S528" s="23">
        <f t="shared" si="10"/>
        <v>1.2800000000000002</v>
      </c>
      <c r="T528" s="24"/>
      <c r="U528" s="8"/>
    </row>
    <row r="529" spans="1:21" x14ac:dyDescent="0.25">
      <c r="A529" s="12" t="s">
        <v>62</v>
      </c>
      <c r="B529" s="13" t="s">
        <v>40</v>
      </c>
      <c r="C529" s="14"/>
      <c r="D529" s="40"/>
      <c r="E529" s="42"/>
      <c r="F529" s="42"/>
      <c r="G529" s="42"/>
      <c r="H529" s="10" t="s">
        <v>204</v>
      </c>
      <c r="I529" s="16" t="s">
        <v>209</v>
      </c>
      <c r="J529" s="9">
        <f>0.8+0.6</f>
        <v>1.4</v>
      </c>
      <c r="K529" s="9">
        <v>1.6</v>
      </c>
      <c r="L529" s="9"/>
      <c r="M529" s="9"/>
      <c r="N529" s="9"/>
      <c r="O529" s="9"/>
      <c r="P529" s="9"/>
      <c r="Q529" s="9"/>
      <c r="R529" s="9"/>
      <c r="S529" s="23">
        <f t="shared" si="10"/>
        <v>2.2399999999999998</v>
      </c>
      <c r="T529" s="24"/>
      <c r="U529" s="8"/>
    </row>
    <row r="530" spans="1:21" x14ac:dyDescent="0.25">
      <c r="A530" s="12" t="s">
        <v>62</v>
      </c>
      <c r="B530" s="13" t="s">
        <v>40</v>
      </c>
      <c r="C530" s="14"/>
      <c r="D530" s="40"/>
      <c r="E530" s="42"/>
      <c r="F530" s="42"/>
      <c r="G530" s="42"/>
      <c r="H530" s="10" t="s">
        <v>204</v>
      </c>
      <c r="I530" s="16" t="s">
        <v>210</v>
      </c>
      <c r="J530" s="9">
        <v>0.8</v>
      </c>
      <c r="K530" s="9">
        <v>1.6</v>
      </c>
      <c r="L530" s="9"/>
      <c r="M530" s="9"/>
      <c r="N530" s="9"/>
      <c r="O530" s="9"/>
      <c r="P530" s="9"/>
      <c r="Q530" s="9"/>
      <c r="R530" s="9"/>
      <c r="S530" s="23">
        <f t="shared" si="10"/>
        <v>1.2800000000000002</v>
      </c>
      <c r="T530" s="24"/>
      <c r="U530" s="8"/>
    </row>
    <row r="531" spans="1:21" x14ac:dyDescent="0.25">
      <c r="A531" s="12" t="s">
        <v>62</v>
      </c>
      <c r="B531" s="13" t="s">
        <v>41</v>
      </c>
      <c r="C531" s="14"/>
      <c r="D531" s="40"/>
      <c r="E531" s="42"/>
      <c r="F531" s="42"/>
      <c r="G531" s="42"/>
      <c r="H531" s="10" t="s">
        <v>204</v>
      </c>
      <c r="I531" s="16" t="s">
        <v>203</v>
      </c>
      <c r="J531" s="9">
        <f>0.8+0.7</f>
        <v>1.5</v>
      </c>
      <c r="K531" s="9">
        <v>1.6</v>
      </c>
      <c r="L531" s="9"/>
      <c r="M531" s="9"/>
      <c r="N531" s="9"/>
      <c r="O531" s="9"/>
      <c r="P531" s="9"/>
      <c r="Q531" s="9"/>
      <c r="R531" s="9"/>
      <c r="S531" s="23">
        <f t="shared" si="10"/>
        <v>2.4000000000000004</v>
      </c>
      <c r="T531" s="24"/>
      <c r="U531" s="8"/>
    </row>
    <row r="532" spans="1:21" x14ac:dyDescent="0.25">
      <c r="A532" s="12" t="s">
        <v>62</v>
      </c>
      <c r="B532" s="13" t="s">
        <v>41</v>
      </c>
      <c r="C532" s="14"/>
      <c r="D532" s="40"/>
      <c r="E532" s="42"/>
      <c r="F532" s="42"/>
      <c r="G532" s="42"/>
      <c r="H532" s="10" t="s">
        <v>204</v>
      </c>
      <c r="I532" s="16" t="s">
        <v>211</v>
      </c>
      <c r="J532" s="9">
        <v>1.1499999999999999</v>
      </c>
      <c r="K532" s="9">
        <v>1.6</v>
      </c>
      <c r="L532" s="9"/>
      <c r="M532" s="9"/>
      <c r="N532" s="9"/>
      <c r="O532" s="9"/>
      <c r="P532" s="9"/>
      <c r="Q532" s="9"/>
      <c r="R532" s="9"/>
      <c r="S532" s="23">
        <f t="shared" si="10"/>
        <v>1.8399999999999999</v>
      </c>
      <c r="T532" s="24"/>
      <c r="U532" s="8"/>
    </row>
    <row r="533" spans="1:21" x14ac:dyDescent="0.25">
      <c r="A533" s="12" t="s">
        <v>62</v>
      </c>
      <c r="B533" s="13" t="s">
        <v>41</v>
      </c>
      <c r="C533" s="14"/>
      <c r="D533" s="40"/>
      <c r="E533" s="42"/>
      <c r="F533" s="42"/>
      <c r="G533" s="42"/>
      <c r="H533" s="10" t="s">
        <v>204</v>
      </c>
      <c r="I533" s="16" t="s">
        <v>207</v>
      </c>
      <c r="J533" s="9">
        <f>1.5+1.5</f>
        <v>3</v>
      </c>
      <c r="K533" s="9">
        <v>2</v>
      </c>
      <c r="L533" s="9"/>
      <c r="M533" s="9"/>
      <c r="N533" s="9"/>
      <c r="O533" s="9"/>
      <c r="P533" s="9"/>
      <c r="Q533" s="9"/>
      <c r="R533" s="9"/>
      <c r="S533" s="23">
        <f t="shared" si="10"/>
        <v>6</v>
      </c>
      <c r="T533" s="24"/>
      <c r="U533" s="8"/>
    </row>
    <row r="534" spans="1:21" x14ac:dyDescent="0.25">
      <c r="A534" s="12" t="s">
        <v>62</v>
      </c>
      <c r="B534" s="13"/>
      <c r="C534" s="14" t="s">
        <v>212</v>
      </c>
      <c r="D534" s="40"/>
      <c r="E534" s="42"/>
      <c r="F534" s="42"/>
      <c r="G534" s="42"/>
      <c r="H534" s="10" t="s">
        <v>204</v>
      </c>
      <c r="I534" s="16" t="s">
        <v>203</v>
      </c>
      <c r="J534" s="9">
        <f>0.8*30</f>
        <v>24</v>
      </c>
      <c r="K534" s="9">
        <v>1.6</v>
      </c>
      <c r="L534" s="9"/>
      <c r="M534" s="9"/>
      <c r="N534" s="9"/>
      <c r="O534" s="9"/>
      <c r="P534" s="9"/>
      <c r="Q534" s="9"/>
      <c r="R534" s="9"/>
      <c r="S534" s="23">
        <f t="shared" si="10"/>
        <v>38.400000000000006</v>
      </c>
      <c r="T534" s="24"/>
      <c r="U534" s="8"/>
    </row>
    <row r="535" spans="1:21" x14ac:dyDescent="0.25">
      <c r="A535" s="12" t="s">
        <v>62</v>
      </c>
      <c r="B535" s="13"/>
      <c r="C535" s="14" t="s">
        <v>212</v>
      </c>
      <c r="D535" s="40"/>
      <c r="E535" s="42"/>
      <c r="F535" s="42"/>
      <c r="G535" s="42"/>
      <c r="H535" s="10" t="s">
        <v>204</v>
      </c>
      <c r="I535" s="16" t="s">
        <v>207</v>
      </c>
      <c r="J535" s="9">
        <f>(1+1)*30</f>
        <v>60</v>
      </c>
      <c r="K535" s="9">
        <v>2</v>
      </c>
      <c r="L535" s="9"/>
      <c r="M535" s="9"/>
      <c r="N535" s="9"/>
      <c r="O535" s="9"/>
      <c r="P535" s="9"/>
      <c r="Q535" s="9"/>
      <c r="R535" s="9"/>
      <c r="S535" s="23">
        <f t="shared" si="10"/>
        <v>120</v>
      </c>
      <c r="T535" s="24"/>
      <c r="U535" s="8"/>
    </row>
    <row r="536" spans="1:21" x14ac:dyDescent="0.25">
      <c r="A536" s="12"/>
      <c r="B536" s="13"/>
      <c r="C536" s="14"/>
      <c r="D536" s="40"/>
      <c r="E536" s="42"/>
      <c r="F536" s="42"/>
      <c r="G536" s="42"/>
      <c r="H536" s="10"/>
      <c r="I536" s="16"/>
      <c r="J536" s="9"/>
      <c r="K536" s="9"/>
      <c r="L536" s="9"/>
      <c r="M536" s="9"/>
      <c r="N536" s="9"/>
      <c r="O536" s="9"/>
      <c r="P536" s="9"/>
      <c r="Q536" s="9"/>
      <c r="R536" s="9"/>
      <c r="S536" s="23" t="str">
        <f t="shared" si="10"/>
        <v/>
      </c>
      <c r="T536" s="24"/>
      <c r="U536" s="8"/>
    </row>
    <row r="537" spans="1:21" x14ac:dyDescent="0.25">
      <c r="A537" s="45" t="s">
        <v>187</v>
      </c>
      <c r="B537" s="13"/>
      <c r="C537" s="14"/>
      <c r="D537" s="40"/>
      <c r="E537" s="42"/>
      <c r="F537" s="42"/>
      <c r="G537" s="42"/>
      <c r="H537" s="10"/>
      <c r="I537" s="16"/>
      <c r="J537" s="9"/>
      <c r="K537" s="9"/>
      <c r="L537" s="9"/>
      <c r="M537" s="9"/>
      <c r="N537" s="9"/>
      <c r="O537" s="9"/>
      <c r="P537" s="9"/>
      <c r="Q537" s="9"/>
      <c r="R537" s="9"/>
      <c r="S537" s="23" t="str">
        <f t="shared" si="10"/>
        <v/>
      </c>
      <c r="T537" s="24"/>
      <c r="U537" s="8"/>
    </row>
    <row r="538" spans="1:21" x14ac:dyDescent="0.25">
      <c r="A538" s="12" t="s">
        <v>188</v>
      </c>
      <c r="B538" s="13" t="s">
        <v>36</v>
      </c>
      <c r="C538" s="14"/>
      <c r="D538" s="40"/>
      <c r="E538" s="42"/>
      <c r="F538" s="42" t="s">
        <v>84</v>
      </c>
      <c r="G538" s="42"/>
      <c r="H538" s="10"/>
      <c r="I538" s="16" t="s">
        <v>143</v>
      </c>
      <c r="J538" s="9">
        <f>7.26+3.7+5.55</f>
        <v>16.510000000000002</v>
      </c>
      <c r="K538" s="9">
        <v>2.75</v>
      </c>
      <c r="L538" s="9"/>
      <c r="M538" s="9">
        <f>0.9*2.5*2</f>
        <v>4.5</v>
      </c>
      <c r="N538" s="9"/>
      <c r="O538" s="9"/>
      <c r="P538" s="9"/>
      <c r="Q538" s="9"/>
      <c r="R538" s="9"/>
      <c r="S538" s="23">
        <f t="shared" si="10"/>
        <v>40.902500000000003</v>
      </c>
      <c r="T538" s="24"/>
      <c r="U538" s="8"/>
    </row>
    <row r="539" spans="1:21" x14ac:dyDescent="0.25">
      <c r="A539" s="12" t="s">
        <v>188</v>
      </c>
      <c r="B539" s="13" t="s">
        <v>36</v>
      </c>
      <c r="C539" s="14"/>
      <c r="D539" s="40"/>
      <c r="E539" s="42"/>
      <c r="F539" s="42" t="s">
        <v>84</v>
      </c>
      <c r="G539" s="42"/>
      <c r="H539" s="10"/>
      <c r="I539" s="16"/>
      <c r="J539" s="9">
        <f>2.8+0.44+4.4+4.01+0.2</f>
        <v>11.85</v>
      </c>
      <c r="K539" s="9">
        <v>2.75</v>
      </c>
      <c r="L539" s="9">
        <f>2.6*2+2.5*2.5</f>
        <v>11.45</v>
      </c>
      <c r="M539" s="9"/>
      <c r="N539" s="9"/>
      <c r="O539" s="9"/>
      <c r="P539" s="9"/>
      <c r="Q539" s="9"/>
      <c r="R539" s="9"/>
      <c r="S539" s="23">
        <f t="shared" si="10"/>
        <v>21.137499999999999</v>
      </c>
      <c r="T539" s="24"/>
      <c r="U539" s="8"/>
    </row>
    <row r="540" spans="1:21" x14ac:dyDescent="0.25">
      <c r="A540" s="12" t="s">
        <v>188</v>
      </c>
      <c r="B540" s="13" t="s">
        <v>36</v>
      </c>
      <c r="C540" s="14"/>
      <c r="D540" s="40"/>
      <c r="E540" s="42"/>
      <c r="F540" s="42" t="s">
        <v>83</v>
      </c>
      <c r="G540" s="42"/>
      <c r="H540" s="10"/>
      <c r="I540" s="16" t="s">
        <v>144</v>
      </c>
      <c r="J540" s="9">
        <f>51.62-J541</f>
        <v>21.119999999999997</v>
      </c>
      <c r="K540" s="9">
        <v>2.75</v>
      </c>
      <c r="L540" s="9"/>
      <c r="M540" s="9">
        <f>1.1*2+0.8*2+1.3*2+0.8*2+6.8*2.5+1.47*2.5</f>
        <v>28.675000000000001</v>
      </c>
      <c r="N540" s="9"/>
      <c r="O540" s="9"/>
      <c r="P540" s="9"/>
      <c r="Q540" s="9"/>
      <c r="R540" s="9"/>
      <c r="S540" s="23">
        <f t="shared" si="10"/>
        <v>29.40499999999999</v>
      </c>
      <c r="T540" s="24"/>
      <c r="U540" s="8"/>
    </row>
    <row r="541" spans="1:21" x14ac:dyDescent="0.25">
      <c r="A541" s="12" t="s">
        <v>188</v>
      </c>
      <c r="B541" s="13" t="s">
        <v>36</v>
      </c>
      <c r="C541" s="14"/>
      <c r="D541" s="40"/>
      <c r="E541" s="42"/>
      <c r="F541" s="42" t="s">
        <v>84</v>
      </c>
      <c r="G541" s="42"/>
      <c r="H541" s="10"/>
      <c r="I541" s="16" t="s">
        <v>144</v>
      </c>
      <c r="J541" s="9">
        <f>7.1+11.7*2</f>
        <v>30.5</v>
      </c>
      <c r="K541" s="9">
        <v>2.75</v>
      </c>
      <c r="L541" s="9">
        <f>2*2+3.05*2+3.1*2+2*2+3.05*2</f>
        <v>26.4</v>
      </c>
      <c r="M541" s="9"/>
      <c r="N541" s="9"/>
      <c r="O541" s="9"/>
      <c r="P541" s="9"/>
      <c r="Q541" s="9"/>
      <c r="R541" s="9"/>
      <c r="S541" s="23">
        <f t="shared" si="10"/>
        <v>57.475000000000001</v>
      </c>
      <c r="T541" s="24"/>
      <c r="U541" s="8"/>
    </row>
    <row r="542" spans="1:21" x14ac:dyDescent="0.25">
      <c r="A542" s="12" t="s">
        <v>188</v>
      </c>
      <c r="B542" s="13" t="s">
        <v>36</v>
      </c>
      <c r="C542" s="14"/>
      <c r="D542" s="40"/>
      <c r="E542" s="42"/>
      <c r="F542" s="42"/>
      <c r="G542" s="42" t="s">
        <v>82</v>
      </c>
      <c r="H542" s="10"/>
      <c r="I542" s="16" t="s">
        <v>145</v>
      </c>
      <c r="J542" s="9">
        <f>20.8+31.45+9.64+4.19+1*14</f>
        <v>80.08</v>
      </c>
      <c r="K542" s="9">
        <v>2.75</v>
      </c>
      <c r="L542" s="9"/>
      <c r="M542" s="9">
        <f>1.1*2*14+1.55*2+1.6*2.5</f>
        <v>37.900000000000006</v>
      </c>
      <c r="N542" s="9"/>
      <c r="O542" s="9"/>
      <c r="P542" s="9"/>
      <c r="Q542" s="9"/>
      <c r="R542" s="9"/>
      <c r="S542" s="23">
        <f t="shared" si="10"/>
        <v>182.32</v>
      </c>
      <c r="T542" s="24"/>
      <c r="U542" s="8"/>
    </row>
    <row r="543" spans="1:21" x14ac:dyDescent="0.25">
      <c r="A543" s="12" t="s">
        <v>188</v>
      </c>
      <c r="B543" s="13" t="s">
        <v>37</v>
      </c>
      <c r="C543" s="14"/>
      <c r="D543" s="40"/>
      <c r="E543" s="42" t="s">
        <v>86</v>
      </c>
      <c r="F543" s="42"/>
      <c r="G543" s="42"/>
      <c r="H543" s="10"/>
      <c r="I543" s="16" t="s">
        <v>89</v>
      </c>
      <c r="J543" s="9">
        <v>4.28</v>
      </c>
      <c r="K543" s="9">
        <v>2</v>
      </c>
      <c r="L543" s="9"/>
      <c r="M543" s="9"/>
      <c r="N543" s="9"/>
      <c r="O543" s="9"/>
      <c r="P543" s="9"/>
      <c r="Q543" s="9"/>
      <c r="R543" s="9"/>
      <c r="S543" s="23">
        <f t="shared" si="10"/>
        <v>8.56</v>
      </c>
      <c r="T543" s="24"/>
      <c r="U543" s="8"/>
    </row>
    <row r="544" spans="1:21" x14ac:dyDescent="0.25">
      <c r="A544" s="12" t="s">
        <v>188</v>
      </c>
      <c r="B544" s="13" t="s">
        <v>37</v>
      </c>
      <c r="C544" s="14"/>
      <c r="D544" s="40"/>
      <c r="E544" s="42" t="s">
        <v>86</v>
      </c>
      <c r="F544" s="42"/>
      <c r="G544" s="42"/>
      <c r="H544" s="10"/>
      <c r="I544" s="16" t="s">
        <v>147</v>
      </c>
      <c r="J544" s="9">
        <f>2.4*2+4.28</f>
        <v>9.08</v>
      </c>
      <c r="K544" s="9">
        <v>2</v>
      </c>
      <c r="L544" s="9"/>
      <c r="M544" s="9">
        <f>0.9*2*2</f>
        <v>3.6</v>
      </c>
      <c r="N544" s="9"/>
      <c r="O544" s="9"/>
      <c r="P544" s="9"/>
      <c r="Q544" s="9"/>
      <c r="R544" s="9"/>
      <c r="S544" s="23">
        <f t="shared" si="10"/>
        <v>14.56</v>
      </c>
      <c r="T544" s="24"/>
      <c r="U544" s="8"/>
    </row>
    <row r="545" spans="1:21" x14ac:dyDescent="0.25">
      <c r="A545" s="12" t="s">
        <v>188</v>
      </c>
      <c r="B545" s="13" t="s">
        <v>37</v>
      </c>
      <c r="C545" s="14"/>
      <c r="D545" s="40"/>
      <c r="E545" s="42"/>
      <c r="F545" s="42"/>
      <c r="G545" s="42" t="s">
        <v>82</v>
      </c>
      <c r="H545" s="10"/>
      <c r="I545" s="16"/>
      <c r="J545" s="9">
        <f>J543</f>
        <v>4.28</v>
      </c>
      <c r="K545" s="9">
        <f>2.5-2</f>
        <v>0.5</v>
      </c>
      <c r="L545" s="9"/>
      <c r="M545" s="9"/>
      <c r="N545" s="9"/>
      <c r="O545" s="9"/>
      <c r="P545" s="9"/>
      <c r="Q545" s="9"/>
      <c r="R545" s="9"/>
      <c r="S545" s="23">
        <f t="shared" si="10"/>
        <v>2.14</v>
      </c>
      <c r="T545" s="24"/>
      <c r="U545" s="8"/>
    </row>
    <row r="546" spans="1:21" x14ac:dyDescent="0.25">
      <c r="A546" s="12" t="s">
        <v>188</v>
      </c>
      <c r="B546" s="13" t="s">
        <v>37</v>
      </c>
      <c r="C546" s="14"/>
      <c r="D546" s="40"/>
      <c r="E546" s="42"/>
      <c r="F546" s="42" t="s">
        <v>84</v>
      </c>
      <c r="G546" s="42"/>
      <c r="H546" s="10"/>
      <c r="I546" s="16"/>
      <c r="J546" s="9">
        <f>J544</f>
        <v>9.08</v>
      </c>
      <c r="K546" s="9">
        <f>2.5-2</f>
        <v>0.5</v>
      </c>
      <c r="L546" s="9"/>
      <c r="M546" s="9">
        <f>0.9*0.5*2</f>
        <v>0.9</v>
      </c>
      <c r="N546" s="9"/>
      <c r="O546" s="9"/>
      <c r="P546" s="9"/>
      <c r="Q546" s="9"/>
      <c r="R546" s="9"/>
      <c r="S546" s="23">
        <f t="shared" si="10"/>
        <v>3.64</v>
      </c>
      <c r="T546" s="24"/>
      <c r="U546" s="8"/>
    </row>
    <row r="547" spans="1:21" x14ac:dyDescent="0.25">
      <c r="A547" s="12" t="s">
        <v>188</v>
      </c>
      <c r="B547" s="13" t="s">
        <v>69</v>
      </c>
      <c r="C547" s="14"/>
      <c r="D547" s="40"/>
      <c r="E547" s="42" t="s">
        <v>86</v>
      </c>
      <c r="F547" s="42"/>
      <c r="G547" s="42"/>
      <c r="H547" s="10"/>
      <c r="I547" s="16" t="s">
        <v>89</v>
      </c>
      <c r="J547" s="9">
        <v>6.8</v>
      </c>
      <c r="K547" s="9">
        <v>0.8</v>
      </c>
      <c r="L547" s="9"/>
      <c r="M547" s="9"/>
      <c r="N547" s="9"/>
      <c r="O547" s="9"/>
      <c r="P547" s="9"/>
      <c r="Q547" s="9"/>
      <c r="R547" s="9"/>
      <c r="S547" s="23">
        <f t="shared" si="10"/>
        <v>5.44</v>
      </c>
      <c r="T547" s="24"/>
      <c r="U547" s="8"/>
    </row>
    <row r="548" spans="1:21" x14ac:dyDescent="0.25">
      <c r="A548" s="12" t="s">
        <v>188</v>
      </c>
      <c r="B548" s="13" t="s">
        <v>69</v>
      </c>
      <c r="C548" s="14"/>
      <c r="D548" s="40"/>
      <c r="E548" s="42" t="s">
        <v>86</v>
      </c>
      <c r="F548" s="42"/>
      <c r="G548" s="42"/>
      <c r="H548" s="10"/>
      <c r="I548" s="16" t="s">
        <v>146</v>
      </c>
      <c r="J548" s="9">
        <f>0.6*2</f>
        <v>1.2</v>
      </c>
      <c r="K548" s="9">
        <v>0.8</v>
      </c>
      <c r="L548" s="9"/>
      <c r="M548" s="9"/>
      <c r="N548" s="9"/>
      <c r="O548" s="9"/>
      <c r="P548" s="9"/>
      <c r="Q548" s="9"/>
      <c r="R548" s="9"/>
      <c r="S548" s="23">
        <f t="shared" si="10"/>
        <v>0.96</v>
      </c>
      <c r="T548" s="24"/>
      <c r="U548" s="8"/>
    </row>
    <row r="549" spans="1:21" x14ac:dyDescent="0.25">
      <c r="A549" s="12" t="s">
        <v>188</v>
      </c>
      <c r="B549" s="13" t="s">
        <v>69</v>
      </c>
      <c r="C549" s="14"/>
      <c r="D549" s="40"/>
      <c r="E549" s="42" t="s">
        <v>86</v>
      </c>
      <c r="F549" s="42"/>
      <c r="G549" s="42"/>
      <c r="H549" s="10"/>
      <c r="I549" s="16" t="s">
        <v>147</v>
      </c>
      <c r="J549" s="9">
        <f>2.88-2</f>
        <v>0.87999999999999989</v>
      </c>
      <c r="K549" s="9">
        <v>0.8</v>
      </c>
      <c r="L549" s="9"/>
      <c r="M549" s="9"/>
      <c r="N549" s="9"/>
      <c r="O549" s="9"/>
      <c r="P549" s="9"/>
      <c r="Q549" s="9"/>
      <c r="R549" s="9"/>
      <c r="S549" s="23">
        <f t="shared" si="10"/>
        <v>0.70399999999999996</v>
      </c>
      <c r="T549" s="24"/>
      <c r="U549" s="8"/>
    </row>
    <row r="550" spans="1:21" x14ac:dyDescent="0.25">
      <c r="A550" s="12" t="s">
        <v>188</v>
      </c>
      <c r="B550" s="13" t="s">
        <v>69</v>
      </c>
      <c r="C550" s="14"/>
      <c r="D550" s="40"/>
      <c r="E550" s="42"/>
      <c r="F550" s="42" t="s">
        <v>83</v>
      </c>
      <c r="G550" s="42"/>
      <c r="H550" s="10"/>
      <c r="I550" s="16"/>
      <c r="J550" s="9">
        <f>2.88</f>
        <v>2.88</v>
      </c>
      <c r="K550" s="9">
        <v>2.5</v>
      </c>
      <c r="L550" s="9"/>
      <c r="M550" s="9">
        <f>1.47*2.5</f>
        <v>3.6749999999999998</v>
      </c>
      <c r="N550" s="9"/>
      <c r="O550" s="9">
        <f>S548</f>
        <v>0.96</v>
      </c>
      <c r="P550" s="9"/>
      <c r="Q550" s="9"/>
      <c r="R550" s="9"/>
      <c r="S550" s="23">
        <f t="shared" si="10"/>
        <v>2.5649999999999995</v>
      </c>
      <c r="T550" s="24"/>
      <c r="U550" s="8"/>
    </row>
    <row r="551" spans="1:21" x14ac:dyDescent="0.25">
      <c r="A551" s="12" t="s">
        <v>188</v>
      </c>
      <c r="B551" s="13" t="s">
        <v>69</v>
      </c>
      <c r="C551" s="14"/>
      <c r="D551" s="40"/>
      <c r="E551" s="42"/>
      <c r="F551" s="42" t="s">
        <v>84</v>
      </c>
      <c r="G551" s="42"/>
      <c r="H551" s="10"/>
      <c r="I551" s="16"/>
      <c r="J551" s="9">
        <f>2.88-2</f>
        <v>0.87999999999999989</v>
      </c>
      <c r="K551" s="9">
        <v>2.5</v>
      </c>
      <c r="L551" s="9"/>
      <c r="M551" s="9"/>
      <c r="N551" s="9"/>
      <c r="O551" s="9">
        <f>S549</f>
        <v>0.70399999999999996</v>
      </c>
      <c r="P551" s="9"/>
      <c r="Q551" s="9"/>
      <c r="R551" s="9"/>
      <c r="S551" s="23">
        <f t="shared" si="10"/>
        <v>1.4959999999999998</v>
      </c>
      <c r="T551" s="24"/>
      <c r="U551" s="8"/>
    </row>
    <row r="552" spans="1:21" x14ac:dyDescent="0.25">
      <c r="A552" s="12" t="s">
        <v>188</v>
      </c>
      <c r="B552" s="13" t="s">
        <v>69</v>
      </c>
      <c r="C552" s="14"/>
      <c r="D552" s="40"/>
      <c r="E552" s="42"/>
      <c r="F552" s="42"/>
      <c r="G552" s="42" t="s">
        <v>82</v>
      </c>
      <c r="H552" s="10"/>
      <c r="I552" s="16"/>
      <c r="J552" s="9">
        <v>6.8</v>
      </c>
      <c r="K552" s="9">
        <v>2.5</v>
      </c>
      <c r="L552" s="9"/>
      <c r="M552" s="9"/>
      <c r="N552" s="9"/>
      <c r="O552" s="9">
        <f>S547</f>
        <v>5.44</v>
      </c>
      <c r="P552" s="9"/>
      <c r="Q552" s="9"/>
      <c r="R552" s="9"/>
      <c r="S552" s="23">
        <f t="shared" si="10"/>
        <v>11.559999999999999</v>
      </c>
      <c r="T552" s="24"/>
      <c r="U552" s="8"/>
    </row>
    <row r="553" spans="1:21" x14ac:dyDescent="0.25">
      <c r="A553" s="12" t="s">
        <v>188</v>
      </c>
      <c r="B553" s="13" t="s">
        <v>38</v>
      </c>
      <c r="C553" s="14"/>
      <c r="D553" s="40"/>
      <c r="E553" s="42"/>
      <c r="F553" s="42" t="s">
        <v>83</v>
      </c>
      <c r="G553" s="42"/>
      <c r="H553" s="10"/>
      <c r="I553" s="16"/>
      <c r="J553" s="9">
        <v>1.75</v>
      </c>
      <c r="K553" s="9">
        <v>2.5</v>
      </c>
      <c r="L553" s="9"/>
      <c r="M553" s="9">
        <f>0.8*2</f>
        <v>1.6</v>
      </c>
      <c r="N553" s="9"/>
      <c r="O553" s="9"/>
      <c r="P553" s="9"/>
      <c r="Q553" s="9"/>
      <c r="R553" s="9"/>
      <c r="S553" s="23">
        <f t="shared" si="10"/>
        <v>2.7749999999999999</v>
      </c>
      <c r="T553" s="24"/>
      <c r="U553" s="8"/>
    </row>
    <row r="554" spans="1:21" x14ac:dyDescent="0.25">
      <c r="A554" s="12" t="s">
        <v>188</v>
      </c>
      <c r="B554" s="13" t="s">
        <v>38</v>
      </c>
      <c r="C554" s="14"/>
      <c r="D554" s="40"/>
      <c r="E554" s="42"/>
      <c r="F554" s="42"/>
      <c r="G554" s="42" t="s">
        <v>82</v>
      </c>
      <c r="H554" s="10"/>
      <c r="I554" s="16"/>
      <c r="J554" s="9">
        <f>9.1-J553</f>
        <v>7.35</v>
      </c>
      <c r="K554" s="9">
        <v>2.5</v>
      </c>
      <c r="L554" s="9"/>
      <c r="M554" s="9"/>
      <c r="N554" s="9"/>
      <c r="O554" s="9"/>
      <c r="P554" s="9"/>
      <c r="Q554" s="9"/>
      <c r="R554" s="9"/>
      <c r="S554" s="23">
        <f t="shared" si="10"/>
        <v>18.375</v>
      </c>
      <c r="T554" s="24"/>
      <c r="U554" s="8"/>
    </row>
    <row r="555" spans="1:21" x14ac:dyDescent="0.25">
      <c r="A555" s="12" t="s">
        <v>188</v>
      </c>
      <c r="B555" s="13" t="s">
        <v>39</v>
      </c>
      <c r="C555" s="14"/>
      <c r="D555" s="40" t="s">
        <v>195</v>
      </c>
      <c r="E555" s="42" t="s">
        <v>86</v>
      </c>
      <c r="F555" s="42"/>
      <c r="G555" s="42"/>
      <c r="H555" s="10"/>
      <c r="I555" s="16" t="s">
        <v>89</v>
      </c>
      <c r="J555" s="9">
        <f>1.45+1</f>
        <v>2.4500000000000002</v>
      </c>
      <c r="K555" s="9">
        <v>2</v>
      </c>
      <c r="L555" s="9"/>
      <c r="M555" s="9"/>
      <c r="N555" s="9"/>
      <c r="O555" s="9"/>
      <c r="P555" s="9"/>
      <c r="Q555" s="9"/>
      <c r="R555" s="9"/>
      <c r="S555" s="23">
        <f t="shared" si="10"/>
        <v>4.9000000000000004</v>
      </c>
      <c r="T555" s="24"/>
      <c r="U555" s="8"/>
    </row>
    <row r="556" spans="1:21" x14ac:dyDescent="0.25">
      <c r="A556" s="12" t="s">
        <v>188</v>
      </c>
      <c r="B556" s="13" t="s">
        <v>39</v>
      </c>
      <c r="C556" s="14"/>
      <c r="D556" s="40" t="s">
        <v>195</v>
      </c>
      <c r="E556" s="42" t="s">
        <v>86</v>
      </c>
      <c r="F556" s="42"/>
      <c r="G556" s="42"/>
      <c r="H556" s="10"/>
      <c r="I556" s="16" t="s">
        <v>146</v>
      </c>
      <c r="J556" s="9">
        <f>1.45+1</f>
        <v>2.4500000000000002</v>
      </c>
      <c r="K556" s="9">
        <v>2</v>
      </c>
      <c r="L556" s="9"/>
      <c r="M556" s="9">
        <f>1.3*2</f>
        <v>2.6</v>
      </c>
      <c r="N556" s="9"/>
      <c r="O556" s="9"/>
      <c r="P556" s="9"/>
      <c r="Q556" s="9"/>
      <c r="R556" s="9"/>
      <c r="S556" s="23">
        <f t="shared" si="10"/>
        <v>2.3000000000000003</v>
      </c>
      <c r="T556" s="24"/>
      <c r="U556" s="8"/>
    </row>
    <row r="557" spans="1:21" x14ac:dyDescent="0.25">
      <c r="A557" s="12" t="s">
        <v>188</v>
      </c>
      <c r="B557" s="13" t="s">
        <v>39</v>
      </c>
      <c r="C557" s="14"/>
      <c r="D557" s="40" t="s">
        <v>195</v>
      </c>
      <c r="E557" s="42"/>
      <c r="F557" s="42" t="s">
        <v>83</v>
      </c>
      <c r="G557" s="42"/>
      <c r="H557" s="10"/>
      <c r="I557" s="16"/>
      <c r="J557" s="9">
        <f>J556</f>
        <v>2.4500000000000002</v>
      </c>
      <c r="K557" s="9">
        <f>2.5-2</f>
        <v>0.5</v>
      </c>
      <c r="L557" s="9"/>
      <c r="M557" s="9"/>
      <c r="N557" s="9"/>
      <c r="O557" s="9"/>
      <c r="P557" s="9"/>
      <c r="Q557" s="9"/>
      <c r="R557" s="9"/>
      <c r="S557" s="23">
        <f t="shared" si="10"/>
        <v>1.2250000000000001</v>
      </c>
      <c r="T557" s="24"/>
      <c r="U557" s="8"/>
    </row>
    <row r="558" spans="1:21" x14ac:dyDescent="0.25">
      <c r="A558" s="12" t="s">
        <v>188</v>
      </c>
      <c r="B558" s="13" t="s">
        <v>39</v>
      </c>
      <c r="C558" s="14"/>
      <c r="D558" s="40" t="s">
        <v>195</v>
      </c>
      <c r="E558" s="42"/>
      <c r="F558" s="42"/>
      <c r="G558" s="42" t="s">
        <v>82</v>
      </c>
      <c r="H558" s="10"/>
      <c r="I558" s="16"/>
      <c r="J558" s="9">
        <f>J555</f>
        <v>2.4500000000000002</v>
      </c>
      <c r="K558" s="9">
        <f>2.5-2</f>
        <v>0.5</v>
      </c>
      <c r="L558" s="9"/>
      <c r="M558" s="9"/>
      <c r="N558" s="9"/>
      <c r="O558" s="9"/>
      <c r="P558" s="9"/>
      <c r="Q558" s="9"/>
      <c r="R558" s="9"/>
      <c r="S558" s="23">
        <f t="shared" si="10"/>
        <v>1.2250000000000001</v>
      </c>
      <c r="T558" s="24"/>
      <c r="U558" s="8"/>
    </row>
    <row r="559" spans="1:21" x14ac:dyDescent="0.25">
      <c r="A559" s="12" t="s">
        <v>188</v>
      </c>
      <c r="B559" s="13" t="s">
        <v>40</v>
      </c>
      <c r="C559" s="14"/>
      <c r="D559" s="40" t="s">
        <v>195</v>
      </c>
      <c r="E559" s="42" t="s">
        <v>86</v>
      </c>
      <c r="F559" s="42"/>
      <c r="G559" s="42"/>
      <c r="H559" s="10"/>
      <c r="I559" s="16" t="s">
        <v>89</v>
      </c>
      <c r="J559" s="9">
        <f>1.75+2.32*2</f>
        <v>6.39</v>
      </c>
      <c r="K559" s="9">
        <v>2</v>
      </c>
      <c r="L559" s="9"/>
      <c r="M559" s="9"/>
      <c r="N559" s="9"/>
      <c r="O559" s="9"/>
      <c r="P559" s="9"/>
      <c r="Q559" s="9"/>
      <c r="R559" s="9"/>
      <c r="S559" s="23">
        <f t="shared" si="10"/>
        <v>12.78</v>
      </c>
      <c r="T559" s="24"/>
      <c r="U559" s="8"/>
    </row>
    <row r="560" spans="1:21" x14ac:dyDescent="0.25">
      <c r="A560" s="12" t="s">
        <v>188</v>
      </c>
      <c r="B560" s="13" t="s">
        <v>40</v>
      </c>
      <c r="C560" s="14"/>
      <c r="D560" s="40" t="s">
        <v>195</v>
      </c>
      <c r="E560" s="42" t="s">
        <v>86</v>
      </c>
      <c r="F560" s="42"/>
      <c r="G560" s="42"/>
      <c r="H560" s="10"/>
      <c r="I560" s="16" t="s">
        <v>146</v>
      </c>
      <c r="J560" s="9">
        <f>1.275+0.475</f>
        <v>1.75</v>
      </c>
      <c r="K560" s="9">
        <v>2</v>
      </c>
      <c r="L560" s="9"/>
      <c r="M560" s="9">
        <f>0.8*2</f>
        <v>1.6</v>
      </c>
      <c r="N560" s="9"/>
      <c r="O560" s="9"/>
      <c r="P560" s="9"/>
      <c r="Q560" s="9"/>
      <c r="R560" s="9"/>
      <c r="S560" s="23">
        <f t="shared" si="10"/>
        <v>1.9</v>
      </c>
      <c r="T560" s="24"/>
      <c r="U560" s="8"/>
    </row>
    <row r="561" spans="1:21" x14ac:dyDescent="0.25">
      <c r="A561" s="12" t="s">
        <v>188</v>
      </c>
      <c r="B561" s="13" t="s">
        <v>40</v>
      </c>
      <c r="C561" s="14"/>
      <c r="D561" s="40" t="s">
        <v>195</v>
      </c>
      <c r="E561" s="42"/>
      <c r="F561" s="42" t="s">
        <v>83</v>
      </c>
      <c r="G561" s="42"/>
      <c r="H561" s="10"/>
      <c r="I561" s="16"/>
      <c r="J561" s="9">
        <f>J560</f>
        <v>1.75</v>
      </c>
      <c r="K561" s="9">
        <f>2.5-2</f>
        <v>0.5</v>
      </c>
      <c r="L561" s="9"/>
      <c r="M561" s="9"/>
      <c r="N561" s="9"/>
      <c r="O561" s="9"/>
      <c r="P561" s="9"/>
      <c r="Q561" s="9"/>
      <c r="R561" s="9"/>
      <c r="S561" s="23">
        <f t="shared" si="10"/>
        <v>0.875</v>
      </c>
      <c r="T561" s="24"/>
      <c r="U561" s="8"/>
    </row>
    <row r="562" spans="1:21" x14ac:dyDescent="0.25">
      <c r="A562" s="12" t="s">
        <v>188</v>
      </c>
      <c r="B562" s="13" t="s">
        <v>40</v>
      </c>
      <c r="C562" s="14"/>
      <c r="D562" s="40" t="s">
        <v>195</v>
      </c>
      <c r="E562" s="42"/>
      <c r="F562" s="42"/>
      <c r="G562" s="42" t="s">
        <v>82</v>
      </c>
      <c r="H562" s="10"/>
      <c r="I562" s="16"/>
      <c r="J562" s="9">
        <f>J559</f>
        <v>6.39</v>
      </c>
      <c r="K562" s="9">
        <f>2.5-2</f>
        <v>0.5</v>
      </c>
      <c r="L562" s="9"/>
      <c r="M562" s="9"/>
      <c r="N562" s="9"/>
      <c r="O562" s="9"/>
      <c r="P562" s="9"/>
      <c r="Q562" s="9"/>
      <c r="R562" s="9"/>
      <c r="S562" s="23">
        <f t="shared" si="10"/>
        <v>3.1949999999999998</v>
      </c>
      <c r="T562" s="24"/>
      <c r="U562" s="8"/>
    </row>
    <row r="563" spans="1:21" x14ac:dyDescent="0.25">
      <c r="A563" s="12" t="s">
        <v>188</v>
      </c>
      <c r="B563" s="13" t="s">
        <v>41</v>
      </c>
      <c r="C563" s="14"/>
      <c r="D563" s="40" t="s">
        <v>195</v>
      </c>
      <c r="E563" s="42" t="s">
        <v>86</v>
      </c>
      <c r="F563" s="42"/>
      <c r="G563" s="42"/>
      <c r="H563" s="10"/>
      <c r="I563" s="16" t="s">
        <v>89</v>
      </c>
      <c r="J563" s="9">
        <f>3.8+3.87</f>
        <v>7.67</v>
      </c>
      <c r="K563" s="9">
        <v>2</v>
      </c>
      <c r="L563" s="9"/>
      <c r="M563" s="9"/>
      <c r="N563" s="9"/>
      <c r="O563" s="9"/>
      <c r="P563" s="9"/>
      <c r="Q563" s="9"/>
      <c r="R563" s="9"/>
      <c r="S563" s="23">
        <f t="shared" si="10"/>
        <v>15.34</v>
      </c>
      <c r="T563" s="24"/>
      <c r="U563" s="8"/>
    </row>
    <row r="564" spans="1:21" x14ac:dyDescent="0.25">
      <c r="A564" s="12" t="s">
        <v>188</v>
      </c>
      <c r="B564" s="13" t="s">
        <v>41</v>
      </c>
      <c r="C564" s="14"/>
      <c r="D564" s="40" t="s">
        <v>195</v>
      </c>
      <c r="E564" s="42" t="s">
        <v>86</v>
      </c>
      <c r="F564" s="42"/>
      <c r="G564" s="42"/>
      <c r="H564" s="10"/>
      <c r="I564" s="16" t="s">
        <v>146</v>
      </c>
      <c r="J564" s="9">
        <v>3.8</v>
      </c>
      <c r="K564" s="9">
        <v>2</v>
      </c>
      <c r="L564" s="9"/>
      <c r="M564" s="9">
        <f>1.1*2</f>
        <v>2.2000000000000002</v>
      </c>
      <c r="N564" s="9"/>
      <c r="O564" s="9"/>
      <c r="P564" s="9"/>
      <c r="Q564" s="9"/>
      <c r="R564" s="9"/>
      <c r="S564" s="23">
        <f t="shared" si="10"/>
        <v>5.3999999999999995</v>
      </c>
      <c r="T564" s="24"/>
      <c r="U564" s="8"/>
    </row>
    <row r="565" spans="1:21" x14ac:dyDescent="0.25">
      <c r="A565" s="12" t="s">
        <v>188</v>
      </c>
      <c r="B565" s="13" t="s">
        <v>41</v>
      </c>
      <c r="C565" s="14"/>
      <c r="D565" s="40" t="s">
        <v>195</v>
      </c>
      <c r="E565" s="42" t="s">
        <v>86</v>
      </c>
      <c r="F565" s="42"/>
      <c r="G565" s="42"/>
      <c r="H565" s="10"/>
      <c r="I565" s="16" t="s">
        <v>147</v>
      </c>
      <c r="J565" s="9">
        <v>3.87</v>
      </c>
      <c r="K565" s="9">
        <v>2</v>
      </c>
      <c r="L565" s="9">
        <f>0.77*(2-0.5)</f>
        <v>1.155</v>
      </c>
      <c r="M565" s="9"/>
      <c r="N565" s="9"/>
      <c r="O565" s="9"/>
      <c r="P565" s="9"/>
      <c r="Q565" s="9"/>
      <c r="R565" s="9"/>
      <c r="S565" s="23">
        <f t="shared" si="10"/>
        <v>6.585</v>
      </c>
      <c r="T565" s="24"/>
      <c r="U565" s="8"/>
    </row>
    <row r="566" spans="1:21" x14ac:dyDescent="0.25">
      <c r="A566" s="12" t="s">
        <v>188</v>
      </c>
      <c r="B566" s="13" t="s">
        <v>41</v>
      </c>
      <c r="C566" s="14"/>
      <c r="D566" s="40" t="s">
        <v>195</v>
      </c>
      <c r="E566" s="42"/>
      <c r="F566" s="42" t="s">
        <v>83</v>
      </c>
      <c r="G566" s="42"/>
      <c r="H566" s="10"/>
      <c r="I566" s="16"/>
      <c r="J566" s="9">
        <f>J564</f>
        <v>3.8</v>
      </c>
      <c r="K566" s="9">
        <f>2.5-2</f>
        <v>0.5</v>
      </c>
      <c r="L566" s="9"/>
      <c r="M566" s="9"/>
      <c r="N566" s="9"/>
      <c r="O566" s="9"/>
      <c r="P566" s="9"/>
      <c r="Q566" s="9"/>
      <c r="R566" s="9"/>
      <c r="S566" s="23">
        <f t="shared" si="10"/>
        <v>1.9</v>
      </c>
      <c r="T566" s="24"/>
      <c r="U566" s="8"/>
    </row>
    <row r="567" spans="1:21" x14ac:dyDescent="0.25">
      <c r="A567" s="12" t="s">
        <v>188</v>
      </c>
      <c r="B567" s="13" t="s">
        <v>41</v>
      </c>
      <c r="C567" s="14"/>
      <c r="D567" s="40" t="s">
        <v>195</v>
      </c>
      <c r="E567" s="42"/>
      <c r="F567" s="42"/>
      <c r="G567" s="42" t="s">
        <v>82</v>
      </c>
      <c r="H567" s="10"/>
      <c r="I567" s="16"/>
      <c r="J567" s="9">
        <f>J563</f>
        <v>7.67</v>
      </c>
      <c r="K567" s="9">
        <f>2.5-2</f>
        <v>0.5</v>
      </c>
      <c r="L567" s="9"/>
      <c r="M567" s="9"/>
      <c r="N567" s="9"/>
      <c r="O567" s="9"/>
      <c r="P567" s="9"/>
      <c r="Q567" s="9"/>
      <c r="R567" s="9"/>
      <c r="S567" s="23">
        <f t="shared" si="10"/>
        <v>3.835</v>
      </c>
      <c r="T567" s="24"/>
      <c r="U567" s="8"/>
    </row>
    <row r="568" spans="1:21" x14ac:dyDescent="0.25">
      <c r="A568" s="12" t="s">
        <v>188</v>
      </c>
      <c r="B568" s="46" t="s">
        <v>42</v>
      </c>
      <c r="C568" s="14"/>
      <c r="D568" s="40"/>
      <c r="E568" s="42"/>
      <c r="F568" s="42" t="s">
        <v>84</v>
      </c>
      <c r="G568" s="42"/>
      <c r="H568" s="10"/>
      <c r="I568" s="16"/>
      <c r="J568" s="9">
        <f>1.77+0.6+4.375+4.095+2.135+0.25</f>
        <v>13.225</v>
      </c>
      <c r="K568" s="9">
        <v>2.75</v>
      </c>
      <c r="L568" s="9">
        <f>0.54*2.5+2.04*2</f>
        <v>5.43</v>
      </c>
      <c r="M568" s="9"/>
      <c r="N568" s="9"/>
      <c r="O568" s="9">
        <f>(1.77+0.25)*0.25</f>
        <v>0.505</v>
      </c>
      <c r="P568" s="9"/>
      <c r="Q568" s="9"/>
      <c r="R568" s="9"/>
      <c r="S568" s="23">
        <f t="shared" si="10"/>
        <v>30.43375</v>
      </c>
      <c r="T568" s="24"/>
      <c r="U568" s="8"/>
    </row>
    <row r="569" spans="1:21" x14ac:dyDescent="0.25">
      <c r="A569" s="12" t="s">
        <v>188</v>
      </c>
      <c r="B569" s="46" t="s">
        <v>42</v>
      </c>
      <c r="C569" s="14"/>
      <c r="D569" s="40"/>
      <c r="E569" s="42"/>
      <c r="F569" s="42"/>
      <c r="G569" s="42" t="s">
        <v>82</v>
      </c>
      <c r="H569" s="10"/>
      <c r="I569" s="16"/>
      <c r="J569" s="9">
        <f>4.985+1.77-0.25+0.68+1.26</f>
        <v>8.4450000000000003</v>
      </c>
      <c r="K569" s="9">
        <v>2.75</v>
      </c>
      <c r="L569" s="9"/>
      <c r="M569" s="9">
        <f>1.1*2+1*2</f>
        <v>4.2</v>
      </c>
      <c r="N569" s="9"/>
      <c r="O569" s="9">
        <f>(1.77-0.25+0.68+1.26)*0.25</f>
        <v>0.86499999999999999</v>
      </c>
      <c r="P569" s="9"/>
      <c r="Q569" s="9"/>
      <c r="R569" s="9"/>
      <c r="S569" s="23">
        <f t="shared" si="10"/>
        <v>18.158750000000005</v>
      </c>
      <c r="T569" s="24"/>
      <c r="U569" s="8"/>
    </row>
    <row r="570" spans="1:21" x14ac:dyDescent="0.25">
      <c r="A570" s="12" t="s">
        <v>188</v>
      </c>
      <c r="B570" s="46" t="s">
        <v>43</v>
      </c>
      <c r="C570" s="14"/>
      <c r="D570" s="40" t="s">
        <v>195</v>
      </c>
      <c r="E570" s="42" t="s">
        <v>86</v>
      </c>
      <c r="F570" s="42"/>
      <c r="G570" s="42"/>
      <c r="H570" s="10"/>
      <c r="I570" s="16" t="s">
        <v>89</v>
      </c>
      <c r="J570" s="9">
        <f>1.9+2.5*2</f>
        <v>6.9</v>
      </c>
      <c r="K570" s="9">
        <v>2</v>
      </c>
      <c r="L570" s="9"/>
      <c r="M570" s="9">
        <f>1*2</f>
        <v>2</v>
      </c>
      <c r="N570" s="9"/>
      <c r="O570" s="9"/>
      <c r="P570" s="9"/>
      <c r="Q570" s="9"/>
      <c r="R570" s="9"/>
      <c r="S570" s="23">
        <f t="shared" si="10"/>
        <v>11.8</v>
      </c>
      <c r="T570" s="24"/>
      <c r="U570" s="8"/>
    </row>
    <row r="571" spans="1:21" x14ac:dyDescent="0.25">
      <c r="A571" s="12" t="s">
        <v>188</v>
      </c>
      <c r="B571" s="46" t="s">
        <v>43</v>
      </c>
      <c r="C571" s="14"/>
      <c r="D571" s="40" t="s">
        <v>195</v>
      </c>
      <c r="E571" s="42" t="s">
        <v>86</v>
      </c>
      <c r="F571" s="42"/>
      <c r="G571" s="42"/>
      <c r="H571" s="10"/>
      <c r="I571" s="16" t="s">
        <v>147</v>
      </c>
      <c r="J571" s="9">
        <v>1.9</v>
      </c>
      <c r="K571" s="9">
        <v>2</v>
      </c>
      <c r="L571" s="9"/>
      <c r="M571" s="9"/>
      <c r="N571" s="9"/>
      <c r="O571" s="9"/>
      <c r="P571" s="9"/>
      <c r="Q571" s="9"/>
      <c r="R571" s="9"/>
      <c r="S571" s="23">
        <f t="shared" si="10"/>
        <v>3.8</v>
      </c>
      <c r="T571" s="24"/>
      <c r="U571" s="8"/>
    </row>
    <row r="572" spans="1:21" x14ac:dyDescent="0.25">
      <c r="A572" s="12" t="s">
        <v>188</v>
      </c>
      <c r="B572" s="46" t="s">
        <v>43</v>
      </c>
      <c r="C572" s="14"/>
      <c r="D572" s="40" t="s">
        <v>195</v>
      </c>
      <c r="E572" s="42"/>
      <c r="F572" s="42" t="s">
        <v>84</v>
      </c>
      <c r="G572" s="42"/>
      <c r="H572" s="10"/>
      <c r="I572" s="16"/>
      <c r="J572" s="9">
        <f>J571</f>
        <v>1.9</v>
      </c>
      <c r="K572" s="9">
        <f>2.5-2</f>
        <v>0.5</v>
      </c>
      <c r="L572" s="9"/>
      <c r="M572" s="9"/>
      <c r="N572" s="9"/>
      <c r="O572" s="9"/>
      <c r="P572" s="9"/>
      <c r="Q572" s="9"/>
      <c r="R572" s="9"/>
      <c r="S572" s="23">
        <f t="shared" si="10"/>
        <v>0.95</v>
      </c>
      <c r="T572" s="24"/>
      <c r="U572" s="8"/>
    </row>
    <row r="573" spans="1:21" x14ac:dyDescent="0.25">
      <c r="A573" s="12" t="s">
        <v>188</v>
      </c>
      <c r="B573" s="46" t="s">
        <v>43</v>
      </c>
      <c r="C573" s="14"/>
      <c r="D573" s="40" t="s">
        <v>195</v>
      </c>
      <c r="E573" s="42"/>
      <c r="F573" s="42"/>
      <c r="G573" s="42" t="s">
        <v>82</v>
      </c>
      <c r="H573" s="10"/>
      <c r="I573" s="16"/>
      <c r="J573" s="9">
        <f>J570</f>
        <v>6.9</v>
      </c>
      <c r="K573" s="9">
        <f>2.5-2</f>
        <v>0.5</v>
      </c>
      <c r="L573" s="9"/>
      <c r="M573" s="9"/>
      <c r="N573" s="9"/>
      <c r="O573" s="9"/>
      <c r="P573" s="9"/>
      <c r="Q573" s="9"/>
      <c r="R573" s="9"/>
      <c r="S573" s="23">
        <f t="shared" si="10"/>
        <v>3.45</v>
      </c>
      <c r="T573" s="24"/>
      <c r="U573" s="8"/>
    </row>
    <row r="574" spans="1:21" x14ac:dyDescent="0.25">
      <c r="A574" s="12" t="s">
        <v>188</v>
      </c>
      <c r="B574" s="46" t="s">
        <v>44</v>
      </c>
      <c r="C574" s="14"/>
      <c r="D574" s="40"/>
      <c r="E574" s="42"/>
      <c r="F574" s="42" t="s">
        <v>84</v>
      </c>
      <c r="G574" s="42"/>
      <c r="H574" s="10"/>
      <c r="I574" s="16"/>
      <c r="J574" s="9">
        <f>4.095+2.155+0.25</f>
        <v>6.5</v>
      </c>
      <c r="K574" s="9">
        <v>2.75</v>
      </c>
      <c r="L574" s="9">
        <f>2.04*2</f>
        <v>4.08</v>
      </c>
      <c r="M574" s="9"/>
      <c r="N574" s="9"/>
      <c r="O574" s="9">
        <f>(0.25)*0.25</f>
        <v>6.25E-2</v>
      </c>
      <c r="P574" s="9"/>
      <c r="Q574" s="9"/>
      <c r="R574" s="9"/>
      <c r="S574" s="23">
        <f t="shared" si="10"/>
        <v>13.7325</v>
      </c>
      <c r="T574" s="24"/>
      <c r="U574" s="8"/>
    </row>
    <row r="575" spans="1:21" x14ac:dyDescent="0.25">
      <c r="A575" s="12" t="s">
        <v>188</v>
      </c>
      <c r="B575" s="46" t="s">
        <v>44</v>
      </c>
      <c r="C575" s="14"/>
      <c r="D575" s="40"/>
      <c r="E575" s="42"/>
      <c r="F575" s="42"/>
      <c r="G575" s="42" t="s">
        <v>82</v>
      </c>
      <c r="H575" s="10"/>
      <c r="I575" s="16"/>
      <c r="J575" s="9">
        <f>21.68-J574</f>
        <v>15.18</v>
      </c>
      <c r="K575" s="9">
        <v>2.75</v>
      </c>
      <c r="L575" s="9"/>
      <c r="M575" s="9">
        <f>1.1*2+1*2</f>
        <v>4.2</v>
      </c>
      <c r="N575" s="9"/>
      <c r="O575" s="9">
        <f>(1.76*2-0.25+1.94)*0.25</f>
        <v>1.3025</v>
      </c>
      <c r="P575" s="9"/>
      <c r="Q575" s="9"/>
      <c r="R575" s="9"/>
      <c r="S575" s="23">
        <f t="shared" si="10"/>
        <v>36.242499999999993</v>
      </c>
      <c r="T575" s="24"/>
      <c r="U575" s="8"/>
    </row>
    <row r="576" spans="1:21" x14ac:dyDescent="0.25">
      <c r="A576" s="12" t="s">
        <v>188</v>
      </c>
      <c r="B576" s="46" t="s">
        <v>45</v>
      </c>
      <c r="C576" s="14"/>
      <c r="D576" s="40" t="s">
        <v>195</v>
      </c>
      <c r="E576" s="42" t="s">
        <v>86</v>
      </c>
      <c r="F576" s="42"/>
      <c r="G576" s="42"/>
      <c r="H576" s="10"/>
      <c r="I576" s="16" t="s">
        <v>89</v>
      </c>
      <c r="J576" s="9">
        <f>1.9+2.5*2</f>
        <v>6.9</v>
      </c>
      <c r="K576" s="9">
        <v>2</v>
      </c>
      <c r="L576" s="9"/>
      <c r="M576" s="9">
        <f>1*2</f>
        <v>2</v>
      </c>
      <c r="N576" s="9"/>
      <c r="O576" s="9"/>
      <c r="P576" s="9"/>
      <c r="Q576" s="9"/>
      <c r="R576" s="9"/>
      <c r="S576" s="23">
        <f t="shared" si="10"/>
        <v>11.8</v>
      </c>
      <c r="T576" s="24"/>
      <c r="U576" s="8"/>
    </row>
    <row r="577" spans="1:21" x14ac:dyDescent="0.25">
      <c r="A577" s="12" t="s">
        <v>188</v>
      </c>
      <c r="B577" s="46" t="s">
        <v>45</v>
      </c>
      <c r="C577" s="14"/>
      <c r="D577" s="40" t="s">
        <v>195</v>
      </c>
      <c r="E577" s="42" t="s">
        <v>86</v>
      </c>
      <c r="F577" s="42"/>
      <c r="G577" s="42"/>
      <c r="H577" s="10"/>
      <c r="I577" s="16" t="s">
        <v>147</v>
      </c>
      <c r="J577" s="9">
        <v>1.9</v>
      </c>
      <c r="K577" s="9">
        <v>2</v>
      </c>
      <c r="L577" s="9"/>
      <c r="M577" s="9"/>
      <c r="N577" s="9"/>
      <c r="O577" s="9"/>
      <c r="P577" s="9"/>
      <c r="Q577" s="9"/>
      <c r="R577" s="9"/>
      <c r="S577" s="23">
        <f t="shared" si="10"/>
        <v>3.8</v>
      </c>
      <c r="T577" s="24"/>
      <c r="U577" s="8"/>
    </row>
    <row r="578" spans="1:21" x14ac:dyDescent="0.25">
      <c r="A578" s="12" t="s">
        <v>188</v>
      </c>
      <c r="B578" s="46" t="s">
        <v>45</v>
      </c>
      <c r="C578" s="14"/>
      <c r="D578" s="40" t="s">
        <v>195</v>
      </c>
      <c r="E578" s="42"/>
      <c r="F578" s="42" t="s">
        <v>84</v>
      </c>
      <c r="G578" s="42"/>
      <c r="H578" s="10"/>
      <c r="I578" s="16"/>
      <c r="J578" s="9">
        <f>J577</f>
        <v>1.9</v>
      </c>
      <c r="K578" s="9">
        <f>2.5-2</f>
        <v>0.5</v>
      </c>
      <c r="L578" s="9"/>
      <c r="M578" s="9"/>
      <c r="N578" s="9"/>
      <c r="O578" s="9"/>
      <c r="P578" s="9"/>
      <c r="Q578" s="9"/>
      <c r="R578" s="9"/>
      <c r="S578" s="23">
        <f t="shared" si="10"/>
        <v>0.95</v>
      </c>
      <c r="T578" s="24"/>
      <c r="U578" s="8"/>
    </row>
    <row r="579" spans="1:21" x14ac:dyDescent="0.25">
      <c r="A579" s="12" t="s">
        <v>188</v>
      </c>
      <c r="B579" s="46" t="s">
        <v>45</v>
      </c>
      <c r="C579" s="14"/>
      <c r="D579" s="40" t="s">
        <v>195</v>
      </c>
      <c r="E579" s="42"/>
      <c r="F579" s="42"/>
      <c r="G579" s="42" t="s">
        <v>82</v>
      </c>
      <c r="H579" s="10"/>
      <c r="I579" s="16"/>
      <c r="J579" s="9">
        <f>J576</f>
        <v>6.9</v>
      </c>
      <c r="K579" s="9">
        <f>2.5-2</f>
        <v>0.5</v>
      </c>
      <c r="L579" s="9"/>
      <c r="M579" s="9"/>
      <c r="N579" s="9"/>
      <c r="O579" s="9"/>
      <c r="P579" s="9"/>
      <c r="Q579" s="9"/>
      <c r="R579" s="9"/>
      <c r="S579" s="23">
        <f t="shared" si="10"/>
        <v>3.45</v>
      </c>
      <c r="T579" s="24"/>
      <c r="U579" s="8"/>
    </row>
    <row r="580" spans="1:21" x14ac:dyDescent="0.25">
      <c r="A580" s="12" t="s">
        <v>188</v>
      </c>
      <c r="B580" s="46" t="s">
        <v>46</v>
      </c>
      <c r="C580" s="14"/>
      <c r="D580" s="40"/>
      <c r="E580" s="42"/>
      <c r="F580" s="42" t="s">
        <v>84</v>
      </c>
      <c r="G580" s="42"/>
      <c r="H580" s="10"/>
      <c r="I580" s="16"/>
      <c r="J580" s="9">
        <f>4.095+2.155+0.25</f>
        <v>6.5</v>
      </c>
      <c r="K580" s="9">
        <v>2.75</v>
      </c>
      <c r="L580" s="9">
        <f>2.04*2</f>
        <v>4.08</v>
      </c>
      <c r="M580" s="9"/>
      <c r="N580" s="9"/>
      <c r="O580" s="9">
        <f>(0.25)*0.25</f>
        <v>6.25E-2</v>
      </c>
      <c r="P580" s="9"/>
      <c r="Q580" s="9"/>
      <c r="R580" s="9"/>
      <c r="S580" s="23">
        <f t="shared" si="10"/>
        <v>13.7325</v>
      </c>
      <c r="T580" s="24"/>
      <c r="U580" s="8"/>
    </row>
    <row r="581" spans="1:21" x14ac:dyDescent="0.25">
      <c r="A581" s="12" t="s">
        <v>188</v>
      </c>
      <c r="B581" s="46" t="s">
        <v>46</v>
      </c>
      <c r="C581" s="14"/>
      <c r="D581" s="40"/>
      <c r="E581" s="42"/>
      <c r="F581" s="42"/>
      <c r="G581" s="42" t="s">
        <v>82</v>
      </c>
      <c r="H581" s="10"/>
      <c r="I581" s="16"/>
      <c r="J581" s="9">
        <f>21.68-J580</f>
        <v>15.18</v>
      </c>
      <c r="K581" s="9">
        <v>2.75</v>
      </c>
      <c r="L581" s="9"/>
      <c r="M581" s="9">
        <f>1.1*2+1*2</f>
        <v>4.2</v>
      </c>
      <c r="N581" s="9"/>
      <c r="O581" s="9">
        <f>(1.76*2-0.25+1.94)*0.25</f>
        <v>1.3025</v>
      </c>
      <c r="P581" s="9"/>
      <c r="Q581" s="9"/>
      <c r="R581" s="9"/>
      <c r="S581" s="23">
        <f t="shared" si="10"/>
        <v>36.242499999999993</v>
      </c>
      <c r="T581" s="24"/>
      <c r="U581" s="8"/>
    </row>
    <row r="582" spans="1:21" x14ac:dyDescent="0.25">
      <c r="A582" s="12" t="s">
        <v>188</v>
      </c>
      <c r="B582" s="46" t="s">
        <v>51</v>
      </c>
      <c r="C582" s="14"/>
      <c r="D582" s="40" t="s">
        <v>195</v>
      </c>
      <c r="E582" s="42" t="s">
        <v>86</v>
      </c>
      <c r="F582" s="42"/>
      <c r="G582" s="42"/>
      <c r="H582" s="10"/>
      <c r="I582" s="16" t="s">
        <v>89</v>
      </c>
      <c r="J582" s="9">
        <f>1.9+2.5*2</f>
        <v>6.9</v>
      </c>
      <c r="K582" s="9">
        <v>2</v>
      </c>
      <c r="L582" s="9"/>
      <c r="M582" s="9">
        <f>1*2</f>
        <v>2</v>
      </c>
      <c r="N582" s="9"/>
      <c r="O582" s="9"/>
      <c r="P582" s="9"/>
      <c r="Q582" s="9"/>
      <c r="R582" s="9"/>
      <c r="S582" s="23">
        <f t="shared" si="10"/>
        <v>11.8</v>
      </c>
      <c r="T582" s="24"/>
      <c r="U582" s="8"/>
    </row>
    <row r="583" spans="1:21" x14ac:dyDescent="0.25">
      <c r="A583" s="12" t="s">
        <v>188</v>
      </c>
      <c r="B583" s="46" t="s">
        <v>51</v>
      </c>
      <c r="C583" s="14"/>
      <c r="D583" s="40" t="s">
        <v>195</v>
      </c>
      <c r="E583" s="42" t="s">
        <v>86</v>
      </c>
      <c r="F583" s="42"/>
      <c r="G583" s="42"/>
      <c r="H583" s="10"/>
      <c r="I583" s="16" t="s">
        <v>147</v>
      </c>
      <c r="J583" s="9">
        <v>1.9</v>
      </c>
      <c r="K583" s="9">
        <v>2</v>
      </c>
      <c r="L583" s="9"/>
      <c r="M583" s="9"/>
      <c r="N583" s="9"/>
      <c r="O583" s="9"/>
      <c r="P583" s="9"/>
      <c r="Q583" s="9"/>
      <c r="R583" s="9"/>
      <c r="S583" s="23">
        <f t="shared" si="10"/>
        <v>3.8</v>
      </c>
      <c r="T583" s="24"/>
      <c r="U583" s="8"/>
    </row>
    <row r="584" spans="1:21" x14ac:dyDescent="0.25">
      <c r="A584" s="12" t="s">
        <v>188</v>
      </c>
      <c r="B584" s="46" t="s">
        <v>51</v>
      </c>
      <c r="C584" s="14"/>
      <c r="D584" s="40" t="s">
        <v>195</v>
      </c>
      <c r="E584" s="42"/>
      <c r="F584" s="42" t="s">
        <v>84</v>
      </c>
      <c r="G584" s="42"/>
      <c r="H584" s="10"/>
      <c r="I584" s="16"/>
      <c r="J584" s="9">
        <f>J583</f>
        <v>1.9</v>
      </c>
      <c r="K584" s="9">
        <f>2.5-2</f>
        <v>0.5</v>
      </c>
      <c r="L584" s="9"/>
      <c r="M584" s="9"/>
      <c r="N584" s="9"/>
      <c r="O584" s="9"/>
      <c r="P584" s="9"/>
      <c r="Q584" s="9"/>
      <c r="R584" s="9"/>
      <c r="S584" s="23">
        <f t="shared" si="10"/>
        <v>0.95</v>
      </c>
      <c r="T584" s="24"/>
      <c r="U584" s="8"/>
    </row>
    <row r="585" spans="1:21" x14ac:dyDescent="0.25">
      <c r="A585" s="12" t="s">
        <v>188</v>
      </c>
      <c r="B585" s="46" t="s">
        <v>51</v>
      </c>
      <c r="C585" s="14"/>
      <c r="D585" s="40" t="s">
        <v>195</v>
      </c>
      <c r="E585" s="42"/>
      <c r="F585" s="42"/>
      <c r="G585" s="42" t="s">
        <v>82</v>
      </c>
      <c r="H585" s="10"/>
      <c r="I585" s="16"/>
      <c r="J585" s="9">
        <f>J582</f>
        <v>6.9</v>
      </c>
      <c r="K585" s="9">
        <f>2.5-2</f>
        <v>0.5</v>
      </c>
      <c r="L585" s="9"/>
      <c r="M585" s="9"/>
      <c r="N585" s="9"/>
      <c r="O585" s="9"/>
      <c r="P585" s="9"/>
      <c r="Q585" s="9"/>
      <c r="R585" s="9"/>
      <c r="S585" s="23">
        <f t="shared" si="10"/>
        <v>3.45</v>
      </c>
      <c r="T585" s="24"/>
      <c r="U585" s="8"/>
    </row>
    <row r="586" spans="1:21" x14ac:dyDescent="0.25">
      <c r="A586" s="12" t="s">
        <v>188</v>
      </c>
      <c r="B586" s="46" t="s">
        <v>52</v>
      </c>
      <c r="C586" s="14"/>
      <c r="D586" s="40"/>
      <c r="E586" s="42"/>
      <c r="F586" s="42" t="s">
        <v>84</v>
      </c>
      <c r="G586" s="42"/>
      <c r="H586" s="10"/>
      <c r="I586" s="16"/>
      <c r="J586" s="9">
        <f>4.095+2.155+0.25</f>
        <v>6.5</v>
      </c>
      <c r="K586" s="9">
        <v>2.75</v>
      </c>
      <c r="L586" s="9">
        <f>2.04*2</f>
        <v>4.08</v>
      </c>
      <c r="M586" s="9"/>
      <c r="N586" s="9"/>
      <c r="O586" s="9">
        <f>(0.25)*0.25</f>
        <v>6.25E-2</v>
      </c>
      <c r="P586" s="9"/>
      <c r="Q586" s="9"/>
      <c r="R586" s="9"/>
      <c r="S586" s="23">
        <f t="shared" ref="S586:S649" si="11">IF(AND(ISBLANK(E586),ISBLANK(F586),ISBLANK(G586),ISBLANK(H586)),"",IF(J586*K586-L586-M586-N586-O586+P586+Q586+R586=0,"",J586*K586-L586-M586-N586-O586+P586+Q586+R586))</f>
        <v>13.7325</v>
      </c>
      <c r="T586" s="24"/>
      <c r="U586" s="8"/>
    </row>
    <row r="587" spans="1:21" x14ac:dyDescent="0.25">
      <c r="A587" s="12" t="s">
        <v>188</v>
      </c>
      <c r="B587" s="46" t="s">
        <v>52</v>
      </c>
      <c r="C587" s="14"/>
      <c r="D587" s="40"/>
      <c r="E587" s="42"/>
      <c r="F587" s="42"/>
      <c r="G587" s="42" t="s">
        <v>82</v>
      </c>
      <c r="H587" s="10"/>
      <c r="I587" s="16"/>
      <c r="J587" s="9">
        <f>21.68-J586</f>
        <v>15.18</v>
      </c>
      <c r="K587" s="9">
        <v>2.75</v>
      </c>
      <c r="L587" s="9"/>
      <c r="M587" s="9">
        <f>1.1*2+1*2</f>
        <v>4.2</v>
      </c>
      <c r="N587" s="9"/>
      <c r="O587" s="9">
        <f>(1.76*2-0.25+1.94)*0.25</f>
        <v>1.3025</v>
      </c>
      <c r="P587" s="9"/>
      <c r="Q587" s="9"/>
      <c r="R587" s="9"/>
      <c r="S587" s="23">
        <f t="shared" si="11"/>
        <v>36.242499999999993</v>
      </c>
      <c r="T587" s="24"/>
      <c r="U587" s="8"/>
    </row>
    <row r="588" spans="1:21" x14ac:dyDescent="0.25">
      <c r="A588" s="12" t="s">
        <v>188</v>
      </c>
      <c r="B588" s="46" t="s">
        <v>53</v>
      </c>
      <c r="C588" s="14"/>
      <c r="D588" s="40" t="s">
        <v>195</v>
      </c>
      <c r="E588" s="42" t="s">
        <v>86</v>
      </c>
      <c r="F588" s="42"/>
      <c r="G588" s="42"/>
      <c r="H588" s="10"/>
      <c r="I588" s="16" t="s">
        <v>89</v>
      </c>
      <c r="J588" s="9">
        <f>1.9+2.5*2</f>
        <v>6.9</v>
      </c>
      <c r="K588" s="9">
        <v>2</v>
      </c>
      <c r="L588" s="9"/>
      <c r="M588" s="9">
        <f>1*2</f>
        <v>2</v>
      </c>
      <c r="N588" s="9"/>
      <c r="O588" s="9"/>
      <c r="P588" s="9"/>
      <c r="Q588" s="9"/>
      <c r="R588" s="9"/>
      <c r="S588" s="23">
        <f t="shared" si="11"/>
        <v>11.8</v>
      </c>
      <c r="T588" s="24"/>
      <c r="U588" s="8"/>
    </row>
    <row r="589" spans="1:21" x14ac:dyDescent="0.25">
      <c r="A589" s="12" t="s">
        <v>188</v>
      </c>
      <c r="B589" s="46" t="s">
        <v>53</v>
      </c>
      <c r="C589" s="14"/>
      <c r="D589" s="40" t="s">
        <v>195</v>
      </c>
      <c r="E589" s="42" t="s">
        <v>86</v>
      </c>
      <c r="F589" s="42"/>
      <c r="G589" s="42"/>
      <c r="H589" s="10"/>
      <c r="I589" s="16" t="s">
        <v>147</v>
      </c>
      <c r="J589" s="9">
        <v>1.9</v>
      </c>
      <c r="K589" s="9">
        <v>2</v>
      </c>
      <c r="L589" s="9"/>
      <c r="M589" s="9"/>
      <c r="N589" s="9"/>
      <c r="O589" s="9"/>
      <c r="P589" s="9"/>
      <c r="Q589" s="9"/>
      <c r="R589" s="9"/>
      <c r="S589" s="23">
        <f t="shared" si="11"/>
        <v>3.8</v>
      </c>
      <c r="T589" s="24"/>
      <c r="U589" s="8"/>
    </row>
    <row r="590" spans="1:21" x14ac:dyDescent="0.25">
      <c r="A590" s="12" t="s">
        <v>188</v>
      </c>
      <c r="B590" s="46" t="s">
        <v>53</v>
      </c>
      <c r="C590" s="14"/>
      <c r="D590" s="40" t="s">
        <v>195</v>
      </c>
      <c r="E590" s="42"/>
      <c r="F590" s="42" t="s">
        <v>84</v>
      </c>
      <c r="G590" s="42"/>
      <c r="H590" s="10"/>
      <c r="I590" s="16"/>
      <c r="J590" s="9">
        <f>J589</f>
        <v>1.9</v>
      </c>
      <c r="K590" s="9">
        <f>2.5-2</f>
        <v>0.5</v>
      </c>
      <c r="L590" s="9"/>
      <c r="M590" s="9"/>
      <c r="N590" s="9"/>
      <c r="O590" s="9"/>
      <c r="P590" s="9"/>
      <c r="Q590" s="9"/>
      <c r="R590" s="9"/>
      <c r="S590" s="23">
        <f t="shared" si="11"/>
        <v>0.95</v>
      </c>
      <c r="T590" s="24"/>
      <c r="U590" s="8"/>
    </row>
    <row r="591" spans="1:21" x14ac:dyDescent="0.25">
      <c r="A591" s="12" t="s">
        <v>188</v>
      </c>
      <c r="B591" s="46" t="s">
        <v>53</v>
      </c>
      <c r="C591" s="14"/>
      <c r="D591" s="40" t="s">
        <v>195</v>
      </c>
      <c r="E591" s="42"/>
      <c r="F591" s="42"/>
      <c r="G591" s="42" t="s">
        <v>82</v>
      </c>
      <c r="H591" s="10"/>
      <c r="I591" s="16"/>
      <c r="J591" s="9">
        <f>J588</f>
        <v>6.9</v>
      </c>
      <c r="K591" s="9">
        <f>2.5-2</f>
        <v>0.5</v>
      </c>
      <c r="L591" s="9"/>
      <c r="M591" s="9"/>
      <c r="N591" s="9"/>
      <c r="O591" s="9"/>
      <c r="P591" s="9"/>
      <c r="Q591" s="9"/>
      <c r="R591" s="9"/>
      <c r="S591" s="23">
        <f t="shared" si="11"/>
        <v>3.45</v>
      </c>
      <c r="T591" s="24"/>
      <c r="U591" s="8"/>
    </row>
    <row r="592" spans="1:21" x14ac:dyDescent="0.25">
      <c r="A592" s="12" t="s">
        <v>188</v>
      </c>
      <c r="B592" s="46" t="s">
        <v>54</v>
      </c>
      <c r="C592" s="14"/>
      <c r="D592" s="40"/>
      <c r="E592" s="42"/>
      <c r="F592" s="42" t="s">
        <v>84</v>
      </c>
      <c r="G592" s="42"/>
      <c r="H592" s="10"/>
      <c r="I592" s="16"/>
      <c r="J592" s="9">
        <f>4.645+2.185+0.25</f>
        <v>7.08</v>
      </c>
      <c r="K592" s="9">
        <v>2.75</v>
      </c>
      <c r="L592" s="9">
        <f>2.04*2</f>
        <v>4.08</v>
      </c>
      <c r="M592" s="9"/>
      <c r="N592" s="9"/>
      <c r="O592" s="9">
        <f>(0.25)*0.25</f>
        <v>6.25E-2</v>
      </c>
      <c r="P592" s="9"/>
      <c r="Q592" s="9"/>
      <c r="R592" s="9"/>
      <c r="S592" s="23">
        <f t="shared" si="11"/>
        <v>15.327499999999999</v>
      </c>
      <c r="T592" s="24"/>
      <c r="U592" s="8"/>
    </row>
    <row r="593" spans="1:21" x14ac:dyDescent="0.25">
      <c r="A593" s="12" t="s">
        <v>188</v>
      </c>
      <c r="B593" s="46" t="s">
        <v>54</v>
      </c>
      <c r="C593" s="14"/>
      <c r="D593" s="40"/>
      <c r="E593" s="42"/>
      <c r="F593" s="42"/>
      <c r="G593" s="42" t="s">
        <v>82</v>
      </c>
      <c r="H593" s="10"/>
      <c r="I593" s="16"/>
      <c r="J593" s="9">
        <f>22.78-J592</f>
        <v>15.700000000000001</v>
      </c>
      <c r="K593" s="9">
        <v>2.75</v>
      </c>
      <c r="L593" s="9"/>
      <c r="M593" s="9">
        <f>1.1*2+1*2</f>
        <v>4.2</v>
      </c>
      <c r="N593" s="9"/>
      <c r="O593" s="9">
        <f>(1.76*2-0.25+1.95)*0.25</f>
        <v>1.3049999999999999</v>
      </c>
      <c r="P593" s="9"/>
      <c r="Q593" s="9"/>
      <c r="R593" s="9"/>
      <c r="S593" s="23">
        <f t="shared" si="11"/>
        <v>37.67</v>
      </c>
      <c r="T593" s="24"/>
      <c r="U593" s="8"/>
    </row>
    <row r="594" spans="1:21" x14ac:dyDescent="0.25">
      <c r="A594" s="12" t="s">
        <v>188</v>
      </c>
      <c r="B594" s="46" t="s">
        <v>55</v>
      </c>
      <c r="C594" s="14"/>
      <c r="D594" s="40" t="s">
        <v>195</v>
      </c>
      <c r="E594" s="42" t="s">
        <v>86</v>
      </c>
      <c r="F594" s="42"/>
      <c r="G594" s="42"/>
      <c r="H594" s="10"/>
      <c r="I594" s="16" t="s">
        <v>89</v>
      </c>
      <c r="J594" s="9">
        <f>1.9+2.5*2</f>
        <v>6.9</v>
      </c>
      <c r="K594" s="9">
        <v>2</v>
      </c>
      <c r="L594" s="9"/>
      <c r="M594" s="9">
        <f>1*2</f>
        <v>2</v>
      </c>
      <c r="N594" s="9"/>
      <c r="O594" s="9"/>
      <c r="P594" s="9"/>
      <c r="Q594" s="9"/>
      <c r="R594" s="9"/>
      <c r="S594" s="23">
        <f t="shared" si="11"/>
        <v>11.8</v>
      </c>
      <c r="T594" s="24"/>
      <c r="U594" s="8"/>
    </row>
    <row r="595" spans="1:21" x14ac:dyDescent="0.25">
      <c r="A595" s="12" t="s">
        <v>188</v>
      </c>
      <c r="B595" s="46" t="s">
        <v>55</v>
      </c>
      <c r="C595" s="14"/>
      <c r="D595" s="40" t="s">
        <v>195</v>
      </c>
      <c r="E595" s="42" t="s">
        <v>86</v>
      </c>
      <c r="F595" s="42"/>
      <c r="G595" s="42"/>
      <c r="H595" s="10"/>
      <c r="I595" s="16" t="s">
        <v>147</v>
      </c>
      <c r="J595" s="9">
        <v>1.9</v>
      </c>
      <c r="K595" s="9">
        <v>2</v>
      </c>
      <c r="L595" s="9"/>
      <c r="M595" s="9"/>
      <c r="N595" s="9"/>
      <c r="O595" s="9"/>
      <c r="P595" s="9"/>
      <c r="Q595" s="9"/>
      <c r="R595" s="9"/>
      <c r="S595" s="23">
        <f t="shared" si="11"/>
        <v>3.8</v>
      </c>
      <c r="T595" s="24"/>
      <c r="U595" s="8"/>
    </row>
    <row r="596" spans="1:21" x14ac:dyDescent="0.25">
      <c r="A596" s="12" t="s">
        <v>188</v>
      </c>
      <c r="B596" s="46" t="s">
        <v>55</v>
      </c>
      <c r="C596" s="14"/>
      <c r="D596" s="40" t="s">
        <v>195</v>
      </c>
      <c r="E596" s="42"/>
      <c r="F596" s="42" t="s">
        <v>84</v>
      </c>
      <c r="G596" s="42"/>
      <c r="H596" s="10"/>
      <c r="I596" s="16"/>
      <c r="J596" s="9">
        <f>J595</f>
        <v>1.9</v>
      </c>
      <c r="K596" s="9">
        <f>2.5-2</f>
        <v>0.5</v>
      </c>
      <c r="L596" s="9"/>
      <c r="M596" s="9"/>
      <c r="N596" s="9"/>
      <c r="O596" s="9"/>
      <c r="P596" s="9"/>
      <c r="Q596" s="9"/>
      <c r="R596" s="9"/>
      <c r="S596" s="23">
        <f t="shared" si="11"/>
        <v>0.95</v>
      </c>
      <c r="T596" s="24"/>
      <c r="U596" s="8"/>
    </row>
    <row r="597" spans="1:21" x14ac:dyDescent="0.25">
      <c r="A597" s="12" t="s">
        <v>188</v>
      </c>
      <c r="B597" s="46" t="s">
        <v>55</v>
      </c>
      <c r="C597" s="14"/>
      <c r="D597" s="40" t="s">
        <v>195</v>
      </c>
      <c r="E597" s="42"/>
      <c r="F597" s="42"/>
      <c r="G597" s="42" t="s">
        <v>82</v>
      </c>
      <c r="H597" s="10"/>
      <c r="I597" s="16"/>
      <c r="J597" s="9">
        <f>J594</f>
        <v>6.9</v>
      </c>
      <c r="K597" s="9">
        <f>2.5-2</f>
        <v>0.5</v>
      </c>
      <c r="L597" s="9"/>
      <c r="M597" s="9"/>
      <c r="N597" s="9"/>
      <c r="O597" s="9"/>
      <c r="P597" s="9"/>
      <c r="Q597" s="9"/>
      <c r="R597" s="9"/>
      <c r="S597" s="23">
        <f t="shared" si="11"/>
        <v>3.45</v>
      </c>
      <c r="T597" s="24"/>
      <c r="U597" s="8"/>
    </row>
    <row r="598" spans="1:21" x14ac:dyDescent="0.25">
      <c r="A598" s="12" t="s">
        <v>188</v>
      </c>
      <c r="B598" s="46" t="s">
        <v>56</v>
      </c>
      <c r="C598" s="14"/>
      <c r="D598" s="40"/>
      <c r="E598" s="42"/>
      <c r="F598" s="42"/>
      <c r="G598" s="42" t="s">
        <v>82</v>
      </c>
      <c r="H598" s="10"/>
      <c r="I598" s="16"/>
      <c r="J598" s="9">
        <f>18.89-J599-J600</f>
        <v>15.790000000000001</v>
      </c>
      <c r="K598" s="9">
        <v>2.75</v>
      </c>
      <c r="L598" s="9"/>
      <c r="M598" s="9">
        <f>1.55*2+1.3*2.425+1.1*2</f>
        <v>8.4525000000000006</v>
      </c>
      <c r="N598" s="9"/>
      <c r="O598" s="9"/>
      <c r="P598" s="9"/>
      <c r="Q598" s="9"/>
      <c r="R598" s="9"/>
      <c r="S598" s="23">
        <f t="shared" si="11"/>
        <v>34.97</v>
      </c>
      <c r="T598" s="24"/>
      <c r="U598" s="8"/>
    </row>
    <row r="599" spans="1:21" x14ac:dyDescent="0.25">
      <c r="A599" s="12" t="s">
        <v>188</v>
      </c>
      <c r="B599" s="46" t="s">
        <v>56</v>
      </c>
      <c r="C599" s="14"/>
      <c r="D599" s="40"/>
      <c r="E599" s="42"/>
      <c r="F599" s="42" t="s">
        <v>84</v>
      </c>
      <c r="G599" s="42"/>
      <c r="H599" s="10"/>
      <c r="I599" s="16"/>
      <c r="J599" s="9">
        <f>2.7+0.2</f>
        <v>2.9000000000000004</v>
      </c>
      <c r="K599" s="9">
        <v>2.75</v>
      </c>
      <c r="L599" s="9"/>
      <c r="M599" s="9">
        <f>2.5*2.5</f>
        <v>6.25</v>
      </c>
      <c r="N599" s="9"/>
      <c r="O599" s="9"/>
      <c r="P599" s="9"/>
      <c r="Q599" s="9"/>
      <c r="R599" s="9"/>
      <c r="S599" s="23">
        <f t="shared" si="11"/>
        <v>1.7250000000000014</v>
      </c>
      <c r="T599" s="24"/>
      <c r="U599" s="8"/>
    </row>
    <row r="600" spans="1:21" x14ac:dyDescent="0.25">
      <c r="A600" s="12" t="s">
        <v>188</v>
      </c>
      <c r="B600" s="46" t="s">
        <v>56</v>
      </c>
      <c r="C600" s="14"/>
      <c r="D600" s="40"/>
      <c r="E600" s="42"/>
      <c r="F600" s="42" t="s">
        <v>85</v>
      </c>
      <c r="G600" s="42"/>
      <c r="H600" s="10"/>
      <c r="I600" s="16"/>
      <c r="J600" s="9">
        <v>0.2</v>
      </c>
      <c r="K600" s="9">
        <v>2.75</v>
      </c>
      <c r="L600" s="9"/>
      <c r="M600" s="9"/>
      <c r="N600" s="9"/>
      <c r="O600" s="9"/>
      <c r="P600" s="9"/>
      <c r="Q600" s="9"/>
      <c r="R600" s="9"/>
      <c r="S600" s="23">
        <f t="shared" si="11"/>
        <v>0.55000000000000004</v>
      </c>
      <c r="T600" s="24"/>
      <c r="U600" s="8"/>
    </row>
    <row r="601" spans="1:21" x14ac:dyDescent="0.25">
      <c r="A601" s="12" t="s">
        <v>188</v>
      </c>
      <c r="B601" s="46" t="s">
        <v>57</v>
      </c>
      <c r="C601" s="14"/>
      <c r="D601" s="40"/>
      <c r="E601" s="42"/>
      <c r="F601" s="42" t="s">
        <v>84</v>
      </c>
      <c r="G601" s="42"/>
      <c r="H601" s="10"/>
      <c r="I601" s="16"/>
      <c r="J601" s="9">
        <f>25.33-J602</f>
        <v>20.13</v>
      </c>
      <c r="K601" s="9">
        <v>2.75</v>
      </c>
      <c r="L601" s="9">
        <f>2.04*2+0.54*2.5</f>
        <v>5.43</v>
      </c>
      <c r="M601" s="9"/>
      <c r="N601" s="9"/>
      <c r="O601" s="9">
        <f>(1.76+0.25)*0.25</f>
        <v>0.50249999999999995</v>
      </c>
      <c r="P601" s="9"/>
      <c r="Q601" s="9"/>
      <c r="R601" s="9"/>
      <c r="S601" s="23">
        <f t="shared" si="11"/>
        <v>49.424999999999997</v>
      </c>
      <c r="T601" s="24"/>
      <c r="U601" s="8"/>
    </row>
    <row r="602" spans="1:21" x14ac:dyDescent="0.25">
      <c r="A602" s="12" t="s">
        <v>188</v>
      </c>
      <c r="B602" s="46" t="s">
        <v>57</v>
      </c>
      <c r="C602" s="14"/>
      <c r="D602" s="40"/>
      <c r="E602" s="42"/>
      <c r="F602" s="42"/>
      <c r="G602" s="42" t="s">
        <v>82</v>
      </c>
      <c r="H602" s="10"/>
      <c r="I602" s="16"/>
      <c r="J602" s="9">
        <f>2.14+1.56+1.5</f>
        <v>5.2</v>
      </c>
      <c r="K602" s="9">
        <v>2.75</v>
      </c>
      <c r="L602" s="9"/>
      <c r="M602" s="9">
        <f>1.1*2+1*2</f>
        <v>4.2</v>
      </c>
      <c r="N602" s="9"/>
      <c r="O602" s="9">
        <f>(1.56+1.5)*0.25</f>
        <v>0.76500000000000001</v>
      </c>
      <c r="P602" s="9"/>
      <c r="Q602" s="9"/>
      <c r="R602" s="9"/>
      <c r="S602" s="23">
        <f t="shared" si="11"/>
        <v>9.3350000000000009</v>
      </c>
      <c r="T602" s="24"/>
      <c r="U602" s="8"/>
    </row>
    <row r="603" spans="1:21" x14ac:dyDescent="0.25">
      <c r="A603" s="12" t="s">
        <v>188</v>
      </c>
      <c r="B603" s="46" t="s">
        <v>58</v>
      </c>
      <c r="C603" s="14"/>
      <c r="D603" s="40" t="s">
        <v>195</v>
      </c>
      <c r="E603" s="42" t="s">
        <v>86</v>
      </c>
      <c r="F603" s="42"/>
      <c r="G603" s="42"/>
      <c r="H603" s="10"/>
      <c r="I603" s="16" t="s">
        <v>89</v>
      </c>
      <c r="J603" s="9">
        <f>1.9+2.5*2</f>
        <v>6.9</v>
      </c>
      <c r="K603" s="9">
        <v>2</v>
      </c>
      <c r="L603" s="9"/>
      <c r="M603" s="9">
        <f>1*2</f>
        <v>2</v>
      </c>
      <c r="N603" s="9"/>
      <c r="O603" s="9"/>
      <c r="P603" s="9"/>
      <c r="Q603" s="9"/>
      <c r="R603" s="9"/>
      <c r="S603" s="23">
        <f t="shared" si="11"/>
        <v>11.8</v>
      </c>
      <c r="T603" s="24"/>
      <c r="U603" s="8"/>
    </row>
    <row r="604" spans="1:21" x14ac:dyDescent="0.25">
      <c r="A604" s="12" t="s">
        <v>188</v>
      </c>
      <c r="B604" s="46" t="s">
        <v>58</v>
      </c>
      <c r="C604" s="14"/>
      <c r="D604" s="40" t="s">
        <v>195</v>
      </c>
      <c r="E604" s="42" t="s">
        <v>86</v>
      </c>
      <c r="F604" s="42"/>
      <c r="G604" s="42"/>
      <c r="H604" s="10"/>
      <c r="I604" s="16" t="s">
        <v>147</v>
      </c>
      <c r="J604" s="9">
        <v>1.9</v>
      </c>
      <c r="K604" s="9">
        <v>2</v>
      </c>
      <c r="L604" s="9"/>
      <c r="M604" s="9"/>
      <c r="N604" s="9"/>
      <c r="O604" s="9"/>
      <c r="P604" s="9"/>
      <c r="Q604" s="9"/>
      <c r="R604" s="9"/>
      <c r="S604" s="23">
        <f t="shared" si="11"/>
        <v>3.8</v>
      </c>
      <c r="T604" s="24"/>
      <c r="U604" s="8"/>
    </row>
    <row r="605" spans="1:21" x14ac:dyDescent="0.25">
      <c r="A605" s="12" t="s">
        <v>188</v>
      </c>
      <c r="B605" s="46" t="s">
        <v>58</v>
      </c>
      <c r="C605" s="14"/>
      <c r="D605" s="40" t="s">
        <v>195</v>
      </c>
      <c r="E605" s="42"/>
      <c r="F605" s="42" t="s">
        <v>84</v>
      </c>
      <c r="G605" s="42"/>
      <c r="H605" s="10"/>
      <c r="I605" s="16"/>
      <c r="J605" s="9">
        <f>J604</f>
        <v>1.9</v>
      </c>
      <c r="K605" s="9">
        <f>2.5-2</f>
        <v>0.5</v>
      </c>
      <c r="L605" s="9"/>
      <c r="M605" s="9"/>
      <c r="N605" s="9"/>
      <c r="O605" s="9"/>
      <c r="P605" s="9"/>
      <c r="Q605" s="9"/>
      <c r="R605" s="9"/>
      <c r="S605" s="23">
        <f t="shared" si="11"/>
        <v>0.95</v>
      </c>
      <c r="T605" s="24"/>
      <c r="U605" s="8"/>
    </row>
    <row r="606" spans="1:21" x14ac:dyDescent="0.25">
      <c r="A606" s="12" t="s">
        <v>188</v>
      </c>
      <c r="B606" s="46" t="s">
        <v>58</v>
      </c>
      <c r="C606" s="14"/>
      <c r="D606" s="40" t="s">
        <v>195</v>
      </c>
      <c r="E606" s="42"/>
      <c r="F606" s="42"/>
      <c r="G606" s="42" t="s">
        <v>82</v>
      </c>
      <c r="H606" s="10"/>
      <c r="I606" s="16"/>
      <c r="J606" s="9">
        <f>J603</f>
        <v>6.9</v>
      </c>
      <c r="K606" s="9">
        <f>2.5-2</f>
        <v>0.5</v>
      </c>
      <c r="L606" s="9"/>
      <c r="M606" s="9"/>
      <c r="N606" s="9"/>
      <c r="O606" s="9"/>
      <c r="P606" s="9"/>
      <c r="Q606" s="9"/>
      <c r="R606" s="9"/>
      <c r="S606" s="23">
        <f t="shared" si="11"/>
        <v>3.45</v>
      </c>
      <c r="T606" s="24"/>
      <c r="U606" s="8"/>
    </row>
    <row r="607" spans="1:21" x14ac:dyDescent="0.25">
      <c r="A607" s="12" t="s">
        <v>188</v>
      </c>
      <c r="B607" s="46" t="s">
        <v>59</v>
      </c>
      <c r="C607" s="14"/>
      <c r="D607" s="40"/>
      <c r="E607" s="42"/>
      <c r="F607" s="42" t="s">
        <v>84</v>
      </c>
      <c r="G607" s="42"/>
      <c r="H607" s="10"/>
      <c r="I607" s="16"/>
      <c r="J607" s="9">
        <f>4.095+2.155+0.25</f>
        <v>6.5</v>
      </c>
      <c r="K607" s="9">
        <v>2.75</v>
      </c>
      <c r="L607" s="9">
        <f>2.04*2</f>
        <v>4.08</v>
      </c>
      <c r="M607" s="9"/>
      <c r="N607" s="9"/>
      <c r="O607" s="9">
        <f>(0.25)*0.25</f>
        <v>6.25E-2</v>
      </c>
      <c r="P607" s="9"/>
      <c r="Q607" s="9"/>
      <c r="R607" s="9"/>
      <c r="S607" s="23">
        <f t="shared" si="11"/>
        <v>13.7325</v>
      </c>
      <c r="T607" s="24"/>
      <c r="U607" s="8"/>
    </row>
    <row r="608" spans="1:21" x14ac:dyDescent="0.25">
      <c r="A608" s="12" t="s">
        <v>188</v>
      </c>
      <c r="B608" s="46" t="s">
        <v>59</v>
      </c>
      <c r="C608" s="14"/>
      <c r="D608" s="40"/>
      <c r="E608" s="42"/>
      <c r="F608" s="42"/>
      <c r="G608" s="42" t="s">
        <v>82</v>
      </c>
      <c r="H608" s="10"/>
      <c r="I608" s="16"/>
      <c r="J608" s="9">
        <f>21.68-J607</f>
        <v>15.18</v>
      </c>
      <c r="K608" s="9">
        <v>2.75</v>
      </c>
      <c r="L608" s="9"/>
      <c r="M608" s="9">
        <f>1.1*2+1*2</f>
        <v>4.2</v>
      </c>
      <c r="N608" s="9"/>
      <c r="O608" s="9">
        <f>(1.76*2-0.25+1.94)*0.25</f>
        <v>1.3025</v>
      </c>
      <c r="P608" s="9"/>
      <c r="Q608" s="9"/>
      <c r="R608" s="9"/>
      <c r="S608" s="23">
        <f t="shared" si="11"/>
        <v>36.242499999999993</v>
      </c>
      <c r="T608" s="24"/>
      <c r="U608" s="8"/>
    </row>
    <row r="609" spans="1:21" x14ac:dyDescent="0.25">
      <c r="A609" s="12" t="s">
        <v>188</v>
      </c>
      <c r="B609" s="46" t="s">
        <v>60</v>
      </c>
      <c r="C609" s="14"/>
      <c r="D609" s="40" t="s">
        <v>195</v>
      </c>
      <c r="E609" s="42" t="s">
        <v>86</v>
      </c>
      <c r="F609" s="42"/>
      <c r="G609" s="42"/>
      <c r="H609" s="10"/>
      <c r="I609" s="16" t="s">
        <v>89</v>
      </c>
      <c r="J609" s="9">
        <f>1.9+2.5*2</f>
        <v>6.9</v>
      </c>
      <c r="K609" s="9">
        <v>2</v>
      </c>
      <c r="L609" s="9"/>
      <c r="M609" s="9">
        <f>1*2</f>
        <v>2</v>
      </c>
      <c r="N609" s="9"/>
      <c r="O609" s="9"/>
      <c r="P609" s="9"/>
      <c r="Q609" s="9"/>
      <c r="R609" s="9"/>
      <c r="S609" s="23">
        <f t="shared" si="11"/>
        <v>11.8</v>
      </c>
      <c r="T609" s="24"/>
      <c r="U609" s="8"/>
    </row>
    <row r="610" spans="1:21" x14ac:dyDescent="0.25">
      <c r="A610" s="12" t="s">
        <v>188</v>
      </c>
      <c r="B610" s="46" t="s">
        <v>60</v>
      </c>
      <c r="C610" s="14"/>
      <c r="D610" s="40" t="s">
        <v>195</v>
      </c>
      <c r="E610" s="42" t="s">
        <v>86</v>
      </c>
      <c r="F610" s="42"/>
      <c r="G610" s="42"/>
      <c r="H610" s="10"/>
      <c r="I610" s="16" t="s">
        <v>147</v>
      </c>
      <c r="J610" s="9">
        <v>1.9</v>
      </c>
      <c r="K610" s="9">
        <v>2</v>
      </c>
      <c r="L610" s="9"/>
      <c r="M610" s="9"/>
      <c r="N610" s="9"/>
      <c r="O610" s="9"/>
      <c r="P610" s="9"/>
      <c r="Q610" s="9"/>
      <c r="R610" s="9"/>
      <c r="S610" s="23">
        <f t="shared" si="11"/>
        <v>3.8</v>
      </c>
      <c r="T610" s="24"/>
      <c r="U610" s="8"/>
    </row>
    <row r="611" spans="1:21" x14ac:dyDescent="0.25">
      <c r="A611" s="12" t="s">
        <v>188</v>
      </c>
      <c r="B611" s="46" t="s">
        <v>60</v>
      </c>
      <c r="C611" s="14"/>
      <c r="D611" s="40" t="s">
        <v>195</v>
      </c>
      <c r="E611" s="42"/>
      <c r="F611" s="42" t="s">
        <v>84</v>
      </c>
      <c r="G611" s="42"/>
      <c r="H611" s="10"/>
      <c r="I611" s="16"/>
      <c r="J611" s="9">
        <f>J610</f>
        <v>1.9</v>
      </c>
      <c r="K611" s="9">
        <f>2.5-2</f>
        <v>0.5</v>
      </c>
      <c r="L611" s="9"/>
      <c r="M611" s="9"/>
      <c r="N611" s="9"/>
      <c r="O611" s="9"/>
      <c r="P611" s="9"/>
      <c r="Q611" s="9"/>
      <c r="R611" s="9"/>
      <c r="S611" s="23">
        <f t="shared" si="11"/>
        <v>0.95</v>
      </c>
      <c r="T611" s="24"/>
      <c r="U611" s="8"/>
    </row>
    <row r="612" spans="1:21" x14ac:dyDescent="0.25">
      <c r="A612" s="12" t="s">
        <v>188</v>
      </c>
      <c r="B612" s="46" t="s">
        <v>60</v>
      </c>
      <c r="C612" s="14"/>
      <c r="D612" s="40" t="s">
        <v>195</v>
      </c>
      <c r="E612" s="42"/>
      <c r="F612" s="42"/>
      <c r="G612" s="42" t="s">
        <v>82</v>
      </c>
      <c r="H612" s="10"/>
      <c r="I612" s="16"/>
      <c r="J612" s="9">
        <f>J609</f>
        <v>6.9</v>
      </c>
      <c r="K612" s="9">
        <f>2.5-2</f>
        <v>0.5</v>
      </c>
      <c r="L612" s="9"/>
      <c r="M612" s="9"/>
      <c r="N612" s="9"/>
      <c r="O612" s="9"/>
      <c r="P612" s="9"/>
      <c r="Q612" s="9"/>
      <c r="R612" s="9"/>
      <c r="S612" s="23">
        <f t="shared" si="11"/>
        <v>3.45</v>
      </c>
      <c r="T612" s="24"/>
      <c r="U612" s="8"/>
    </row>
    <row r="613" spans="1:21" x14ac:dyDescent="0.25">
      <c r="A613" s="12" t="s">
        <v>188</v>
      </c>
      <c r="B613" s="46" t="s">
        <v>63</v>
      </c>
      <c r="C613" s="14"/>
      <c r="D613" s="40"/>
      <c r="E613" s="42"/>
      <c r="F613" s="42" t="s">
        <v>84</v>
      </c>
      <c r="G613" s="42"/>
      <c r="H613" s="10"/>
      <c r="I613" s="16"/>
      <c r="J613" s="9">
        <f>4.095+2.155+0.25</f>
        <v>6.5</v>
      </c>
      <c r="K613" s="9">
        <v>2.75</v>
      </c>
      <c r="L613" s="9">
        <f>2.04*2</f>
        <v>4.08</v>
      </c>
      <c r="M613" s="9"/>
      <c r="N613" s="9"/>
      <c r="O613" s="9">
        <f>(0.25)*0.25</f>
        <v>6.25E-2</v>
      </c>
      <c r="P613" s="9"/>
      <c r="Q613" s="9"/>
      <c r="R613" s="9"/>
      <c r="S613" s="23">
        <f t="shared" si="11"/>
        <v>13.7325</v>
      </c>
      <c r="T613" s="24"/>
      <c r="U613" s="8"/>
    </row>
    <row r="614" spans="1:21" x14ac:dyDescent="0.25">
      <c r="A614" s="12" t="s">
        <v>188</v>
      </c>
      <c r="B614" s="46" t="s">
        <v>63</v>
      </c>
      <c r="C614" s="14"/>
      <c r="D614" s="40"/>
      <c r="E614" s="42"/>
      <c r="F614" s="42"/>
      <c r="G614" s="42" t="s">
        <v>82</v>
      </c>
      <c r="H614" s="10"/>
      <c r="I614" s="16"/>
      <c r="J614" s="9">
        <f>21.68-J613</f>
        <v>15.18</v>
      </c>
      <c r="K614" s="9">
        <v>2.75</v>
      </c>
      <c r="L614" s="9"/>
      <c r="M614" s="9">
        <f>1.1*2+1*2</f>
        <v>4.2</v>
      </c>
      <c r="N614" s="9"/>
      <c r="O614" s="9">
        <f>(1.76*2-0.25+1.94)*0.25</f>
        <v>1.3025</v>
      </c>
      <c r="P614" s="9"/>
      <c r="Q614" s="9"/>
      <c r="R614" s="9"/>
      <c r="S614" s="23">
        <f t="shared" si="11"/>
        <v>36.242499999999993</v>
      </c>
      <c r="T614" s="24"/>
      <c r="U614" s="8"/>
    </row>
    <row r="615" spans="1:21" x14ac:dyDescent="0.25">
      <c r="A615" s="12" t="s">
        <v>188</v>
      </c>
      <c r="B615" s="46" t="s">
        <v>64</v>
      </c>
      <c r="C615" s="14"/>
      <c r="D615" s="40" t="s">
        <v>195</v>
      </c>
      <c r="E615" s="42" t="s">
        <v>86</v>
      </c>
      <c r="F615" s="42"/>
      <c r="G615" s="42"/>
      <c r="H615" s="10"/>
      <c r="I615" s="16" t="s">
        <v>89</v>
      </c>
      <c r="J615" s="9">
        <f>1.9+2.5*2</f>
        <v>6.9</v>
      </c>
      <c r="K615" s="9">
        <v>2</v>
      </c>
      <c r="L615" s="9"/>
      <c r="M615" s="9">
        <f>1*2</f>
        <v>2</v>
      </c>
      <c r="N615" s="9"/>
      <c r="O615" s="9"/>
      <c r="P615" s="9"/>
      <c r="Q615" s="9"/>
      <c r="R615" s="9"/>
      <c r="S615" s="23">
        <f t="shared" si="11"/>
        <v>11.8</v>
      </c>
      <c r="T615" s="24"/>
      <c r="U615" s="8"/>
    </row>
    <row r="616" spans="1:21" x14ac:dyDescent="0.25">
      <c r="A616" s="12" t="s">
        <v>188</v>
      </c>
      <c r="B616" s="46" t="s">
        <v>64</v>
      </c>
      <c r="C616" s="14"/>
      <c r="D616" s="40" t="s">
        <v>195</v>
      </c>
      <c r="E616" s="42" t="s">
        <v>86</v>
      </c>
      <c r="F616" s="42"/>
      <c r="G616" s="42"/>
      <c r="H616" s="10"/>
      <c r="I616" s="16" t="s">
        <v>147</v>
      </c>
      <c r="J616" s="9">
        <v>1.9</v>
      </c>
      <c r="K616" s="9">
        <v>2</v>
      </c>
      <c r="L616" s="9"/>
      <c r="M616" s="9"/>
      <c r="N616" s="9"/>
      <c r="O616" s="9"/>
      <c r="P616" s="9"/>
      <c r="Q616" s="9"/>
      <c r="R616" s="9"/>
      <c r="S616" s="23">
        <f t="shared" si="11"/>
        <v>3.8</v>
      </c>
      <c r="T616" s="24"/>
      <c r="U616" s="8"/>
    </row>
    <row r="617" spans="1:21" x14ac:dyDescent="0.25">
      <c r="A617" s="12" t="s">
        <v>188</v>
      </c>
      <c r="B617" s="46" t="s">
        <v>64</v>
      </c>
      <c r="C617" s="14"/>
      <c r="D617" s="40" t="s">
        <v>195</v>
      </c>
      <c r="E617" s="42"/>
      <c r="F617" s="42" t="s">
        <v>84</v>
      </c>
      <c r="G617" s="42"/>
      <c r="H617" s="10"/>
      <c r="I617" s="16"/>
      <c r="J617" s="9">
        <f>J616</f>
        <v>1.9</v>
      </c>
      <c r="K617" s="9">
        <f>2.5-2</f>
        <v>0.5</v>
      </c>
      <c r="L617" s="9"/>
      <c r="M617" s="9"/>
      <c r="N617" s="9"/>
      <c r="O617" s="9"/>
      <c r="P617" s="9"/>
      <c r="Q617" s="9"/>
      <c r="R617" s="9"/>
      <c r="S617" s="23">
        <f t="shared" si="11"/>
        <v>0.95</v>
      </c>
      <c r="T617" s="24"/>
      <c r="U617" s="8"/>
    </row>
    <row r="618" spans="1:21" x14ac:dyDescent="0.25">
      <c r="A618" s="12" t="s">
        <v>188</v>
      </c>
      <c r="B618" s="46" t="s">
        <v>64</v>
      </c>
      <c r="C618" s="14"/>
      <c r="D618" s="40" t="s">
        <v>195</v>
      </c>
      <c r="E618" s="42"/>
      <c r="F618" s="42"/>
      <c r="G618" s="42" t="s">
        <v>82</v>
      </c>
      <c r="H618" s="10"/>
      <c r="I618" s="16"/>
      <c r="J618" s="9">
        <f>J615</f>
        <v>6.9</v>
      </c>
      <c r="K618" s="9">
        <f>2.5-2</f>
        <v>0.5</v>
      </c>
      <c r="L618" s="9"/>
      <c r="M618" s="9"/>
      <c r="N618" s="9"/>
      <c r="O618" s="9"/>
      <c r="P618" s="9"/>
      <c r="Q618" s="9"/>
      <c r="R618" s="9"/>
      <c r="S618" s="23">
        <f t="shared" si="11"/>
        <v>3.45</v>
      </c>
      <c r="T618" s="24"/>
      <c r="U618" s="8"/>
    </row>
    <row r="619" spans="1:21" x14ac:dyDescent="0.25">
      <c r="A619" s="12" t="s">
        <v>188</v>
      </c>
      <c r="B619" s="46" t="s">
        <v>65</v>
      </c>
      <c r="C619" s="14"/>
      <c r="D619" s="40"/>
      <c r="E619" s="42"/>
      <c r="F619" s="42" t="s">
        <v>84</v>
      </c>
      <c r="G619" s="42"/>
      <c r="H619" s="10"/>
      <c r="I619" s="16"/>
      <c r="J619" s="9">
        <f>4.095+2.155+0.25</f>
        <v>6.5</v>
      </c>
      <c r="K619" s="9">
        <v>2.75</v>
      </c>
      <c r="L619" s="9">
        <f>2.04*2</f>
        <v>4.08</v>
      </c>
      <c r="M619" s="9"/>
      <c r="N619" s="9"/>
      <c r="O619" s="9">
        <f>(0.25)*0.25</f>
        <v>6.25E-2</v>
      </c>
      <c r="P619" s="9"/>
      <c r="Q619" s="9"/>
      <c r="R619" s="9"/>
      <c r="S619" s="23">
        <f t="shared" si="11"/>
        <v>13.7325</v>
      </c>
      <c r="T619" s="24"/>
      <c r="U619" s="8"/>
    </row>
    <row r="620" spans="1:21" x14ac:dyDescent="0.25">
      <c r="A620" s="12" t="s">
        <v>188</v>
      </c>
      <c r="B620" s="46" t="s">
        <v>65</v>
      </c>
      <c r="C620" s="14"/>
      <c r="D620" s="40"/>
      <c r="E620" s="42"/>
      <c r="F620" s="42"/>
      <c r="G620" s="42" t="s">
        <v>82</v>
      </c>
      <c r="H620" s="10"/>
      <c r="I620" s="16"/>
      <c r="J620" s="9">
        <f>21.68-J619</f>
        <v>15.18</v>
      </c>
      <c r="K620" s="9">
        <v>2.75</v>
      </c>
      <c r="L620" s="9"/>
      <c r="M620" s="9">
        <f>1.1*2+1*2</f>
        <v>4.2</v>
      </c>
      <c r="N620" s="9"/>
      <c r="O620" s="9">
        <f>(1.76*2-0.25+1.94)*0.25</f>
        <v>1.3025</v>
      </c>
      <c r="P620" s="9"/>
      <c r="Q620" s="9"/>
      <c r="R620" s="9"/>
      <c r="S620" s="23">
        <f t="shared" si="11"/>
        <v>36.242499999999993</v>
      </c>
      <c r="T620" s="24"/>
      <c r="U620" s="8"/>
    </row>
    <row r="621" spans="1:21" x14ac:dyDescent="0.25">
      <c r="A621" s="12" t="s">
        <v>188</v>
      </c>
      <c r="B621" s="46" t="s">
        <v>66</v>
      </c>
      <c r="C621" s="14"/>
      <c r="D621" s="40" t="s">
        <v>195</v>
      </c>
      <c r="E621" s="42" t="s">
        <v>86</v>
      </c>
      <c r="F621" s="42"/>
      <c r="G621" s="42"/>
      <c r="H621" s="10"/>
      <c r="I621" s="16" t="s">
        <v>89</v>
      </c>
      <c r="J621" s="9">
        <f>1.9+2.5*2</f>
        <v>6.9</v>
      </c>
      <c r="K621" s="9">
        <v>2</v>
      </c>
      <c r="L621" s="9"/>
      <c r="M621" s="9">
        <f>1*2</f>
        <v>2</v>
      </c>
      <c r="N621" s="9"/>
      <c r="O621" s="9"/>
      <c r="P621" s="9"/>
      <c r="Q621" s="9"/>
      <c r="R621" s="9"/>
      <c r="S621" s="23">
        <f t="shared" si="11"/>
        <v>11.8</v>
      </c>
      <c r="T621" s="24"/>
      <c r="U621" s="8"/>
    </row>
    <row r="622" spans="1:21" x14ac:dyDescent="0.25">
      <c r="A622" s="12" t="s">
        <v>188</v>
      </c>
      <c r="B622" s="46" t="s">
        <v>66</v>
      </c>
      <c r="C622" s="14"/>
      <c r="D622" s="40" t="s">
        <v>195</v>
      </c>
      <c r="E622" s="42" t="s">
        <v>86</v>
      </c>
      <c r="F622" s="42"/>
      <c r="G622" s="42"/>
      <c r="H622" s="10"/>
      <c r="I622" s="16" t="s">
        <v>147</v>
      </c>
      <c r="J622" s="9">
        <v>1.9</v>
      </c>
      <c r="K622" s="9">
        <v>2</v>
      </c>
      <c r="L622" s="9"/>
      <c r="M622" s="9"/>
      <c r="N622" s="9"/>
      <c r="O622" s="9"/>
      <c r="P622" s="9"/>
      <c r="Q622" s="9"/>
      <c r="R622" s="9"/>
      <c r="S622" s="23">
        <f t="shared" si="11"/>
        <v>3.8</v>
      </c>
      <c r="T622" s="24"/>
      <c r="U622" s="8"/>
    </row>
    <row r="623" spans="1:21" x14ac:dyDescent="0.25">
      <c r="A623" s="12" t="s">
        <v>188</v>
      </c>
      <c r="B623" s="46" t="s">
        <v>66</v>
      </c>
      <c r="C623" s="14"/>
      <c r="D623" s="40" t="s">
        <v>195</v>
      </c>
      <c r="E623" s="42"/>
      <c r="F623" s="42" t="s">
        <v>84</v>
      </c>
      <c r="G623" s="42"/>
      <c r="H623" s="10"/>
      <c r="I623" s="16"/>
      <c r="J623" s="9">
        <f>J622</f>
        <v>1.9</v>
      </c>
      <c r="K623" s="9">
        <f>2.5-2</f>
        <v>0.5</v>
      </c>
      <c r="L623" s="9"/>
      <c r="M623" s="9"/>
      <c r="N623" s="9"/>
      <c r="O623" s="9"/>
      <c r="P623" s="9"/>
      <c r="Q623" s="9"/>
      <c r="R623" s="9"/>
      <c r="S623" s="23">
        <f t="shared" si="11"/>
        <v>0.95</v>
      </c>
      <c r="T623" s="24"/>
      <c r="U623" s="8"/>
    </row>
    <row r="624" spans="1:21" x14ac:dyDescent="0.25">
      <c r="A624" s="12" t="s">
        <v>188</v>
      </c>
      <c r="B624" s="46" t="s">
        <v>66</v>
      </c>
      <c r="C624" s="14"/>
      <c r="D624" s="40" t="s">
        <v>195</v>
      </c>
      <c r="E624" s="42"/>
      <c r="F624" s="42"/>
      <c r="G624" s="42" t="s">
        <v>82</v>
      </c>
      <c r="H624" s="10"/>
      <c r="I624" s="16"/>
      <c r="J624" s="9">
        <f>J621</f>
        <v>6.9</v>
      </c>
      <c r="K624" s="9">
        <f>2.5-2</f>
        <v>0.5</v>
      </c>
      <c r="L624" s="9"/>
      <c r="M624" s="9"/>
      <c r="N624" s="9"/>
      <c r="O624" s="9"/>
      <c r="P624" s="9"/>
      <c r="Q624" s="9"/>
      <c r="R624" s="9"/>
      <c r="S624" s="23">
        <f t="shared" si="11"/>
        <v>3.45</v>
      </c>
      <c r="T624" s="24"/>
      <c r="U624" s="8"/>
    </row>
    <row r="625" spans="1:21" x14ac:dyDescent="0.25">
      <c r="A625" s="12" t="s">
        <v>188</v>
      </c>
      <c r="B625" s="46" t="s">
        <v>67</v>
      </c>
      <c r="C625" s="14"/>
      <c r="D625" s="40"/>
      <c r="E625" s="42"/>
      <c r="F625" s="42" t="s">
        <v>84</v>
      </c>
      <c r="G625" s="42"/>
      <c r="H625" s="10"/>
      <c r="I625" s="16"/>
      <c r="J625" s="9">
        <f>4.095+2.155+0.25</f>
        <v>6.5</v>
      </c>
      <c r="K625" s="9">
        <v>2.75</v>
      </c>
      <c r="L625" s="9">
        <f>2.04*2</f>
        <v>4.08</v>
      </c>
      <c r="M625" s="9"/>
      <c r="N625" s="9"/>
      <c r="O625" s="9">
        <f>(0.25)*0.25</f>
        <v>6.25E-2</v>
      </c>
      <c r="P625" s="9"/>
      <c r="Q625" s="9"/>
      <c r="R625" s="9"/>
      <c r="S625" s="23">
        <f t="shared" si="11"/>
        <v>13.7325</v>
      </c>
      <c r="T625" s="24"/>
      <c r="U625" s="8"/>
    </row>
    <row r="626" spans="1:21" x14ac:dyDescent="0.25">
      <c r="A626" s="12" t="s">
        <v>188</v>
      </c>
      <c r="B626" s="46" t="s">
        <v>67</v>
      </c>
      <c r="C626" s="14"/>
      <c r="D626" s="40"/>
      <c r="E626" s="42"/>
      <c r="F626" s="42"/>
      <c r="G626" s="42" t="s">
        <v>82</v>
      </c>
      <c r="H626" s="10"/>
      <c r="I626" s="16"/>
      <c r="J626" s="9">
        <f>21.68-J625</f>
        <v>15.18</v>
      </c>
      <c r="K626" s="9">
        <v>2.75</v>
      </c>
      <c r="L626" s="9"/>
      <c r="M626" s="9">
        <f>1.1*2+1*2</f>
        <v>4.2</v>
      </c>
      <c r="N626" s="9"/>
      <c r="O626" s="9">
        <f>(1.76*2-0.25+1.94)*0.25</f>
        <v>1.3025</v>
      </c>
      <c r="P626" s="9"/>
      <c r="Q626" s="9"/>
      <c r="R626" s="9"/>
      <c r="S626" s="23">
        <f t="shared" si="11"/>
        <v>36.242499999999993</v>
      </c>
      <c r="T626" s="24"/>
      <c r="U626" s="8"/>
    </row>
    <row r="627" spans="1:21" x14ac:dyDescent="0.25">
      <c r="A627" s="12" t="s">
        <v>188</v>
      </c>
      <c r="B627" s="46" t="s">
        <v>68</v>
      </c>
      <c r="C627" s="14"/>
      <c r="D627" s="40" t="s">
        <v>195</v>
      </c>
      <c r="E627" s="42" t="s">
        <v>86</v>
      </c>
      <c r="F627" s="42"/>
      <c r="G627" s="42"/>
      <c r="H627" s="10"/>
      <c r="I627" s="16" t="s">
        <v>89</v>
      </c>
      <c r="J627" s="9">
        <f>1.9+2.5*2</f>
        <v>6.9</v>
      </c>
      <c r="K627" s="9">
        <v>2</v>
      </c>
      <c r="L627" s="9"/>
      <c r="M627" s="9">
        <f>1*2</f>
        <v>2</v>
      </c>
      <c r="N627" s="9"/>
      <c r="O627" s="9"/>
      <c r="P627" s="9"/>
      <c r="Q627" s="9"/>
      <c r="R627" s="9"/>
      <c r="S627" s="23">
        <f t="shared" si="11"/>
        <v>11.8</v>
      </c>
      <c r="T627" s="24"/>
      <c r="U627" s="8"/>
    </row>
    <row r="628" spans="1:21" x14ac:dyDescent="0.25">
      <c r="A628" s="12" t="s">
        <v>188</v>
      </c>
      <c r="B628" s="46" t="s">
        <v>68</v>
      </c>
      <c r="C628" s="14"/>
      <c r="D628" s="40" t="s">
        <v>195</v>
      </c>
      <c r="E628" s="42" t="s">
        <v>86</v>
      </c>
      <c r="F628" s="42"/>
      <c r="G628" s="42"/>
      <c r="H628" s="10"/>
      <c r="I628" s="16" t="s">
        <v>147</v>
      </c>
      <c r="J628" s="9">
        <v>1.9</v>
      </c>
      <c r="K628" s="9">
        <v>2</v>
      </c>
      <c r="L628" s="9"/>
      <c r="M628" s="9"/>
      <c r="N628" s="9"/>
      <c r="O628" s="9"/>
      <c r="P628" s="9"/>
      <c r="Q628" s="9"/>
      <c r="R628" s="9"/>
      <c r="S628" s="23">
        <f t="shared" si="11"/>
        <v>3.8</v>
      </c>
      <c r="T628" s="24"/>
      <c r="U628" s="8"/>
    </row>
    <row r="629" spans="1:21" x14ac:dyDescent="0.25">
      <c r="A629" s="12" t="s">
        <v>188</v>
      </c>
      <c r="B629" s="46" t="s">
        <v>68</v>
      </c>
      <c r="C629" s="14"/>
      <c r="D629" s="40" t="s">
        <v>195</v>
      </c>
      <c r="E629" s="42"/>
      <c r="F629" s="42" t="s">
        <v>84</v>
      </c>
      <c r="G629" s="42"/>
      <c r="H629" s="10"/>
      <c r="I629" s="16"/>
      <c r="J629" s="9">
        <f>J628</f>
        <v>1.9</v>
      </c>
      <c r="K629" s="9">
        <f>2.5-2</f>
        <v>0.5</v>
      </c>
      <c r="L629" s="9"/>
      <c r="M629" s="9"/>
      <c r="N629" s="9"/>
      <c r="O629" s="9"/>
      <c r="P629" s="9"/>
      <c r="Q629" s="9"/>
      <c r="R629" s="9"/>
      <c r="S629" s="23">
        <f t="shared" si="11"/>
        <v>0.95</v>
      </c>
      <c r="T629" s="24"/>
      <c r="U629" s="8"/>
    </row>
    <row r="630" spans="1:21" x14ac:dyDescent="0.25">
      <c r="A630" s="12" t="s">
        <v>188</v>
      </c>
      <c r="B630" s="46" t="s">
        <v>68</v>
      </c>
      <c r="C630" s="14"/>
      <c r="D630" s="40" t="s">
        <v>195</v>
      </c>
      <c r="E630" s="42"/>
      <c r="F630" s="42"/>
      <c r="G630" s="42" t="s">
        <v>82</v>
      </c>
      <c r="H630" s="10"/>
      <c r="I630" s="16"/>
      <c r="J630" s="9">
        <f>J627</f>
        <v>6.9</v>
      </c>
      <c r="K630" s="9">
        <f>2.5-2</f>
        <v>0.5</v>
      </c>
      <c r="L630" s="9"/>
      <c r="M630" s="9"/>
      <c r="N630" s="9"/>
      <c r="O630" s="9"/>
      <c r="P630" s="9"/>
      <c r="Q630" s="9"/>
      <c r="R630" s="9"/>
      <c r="S630" s="23">
        <f t="shared" si="11"/>
        <v>3.45</v>
      </c>
      <c r="T630" s="24"/>
      <c r="U630" s="8"/>
    </row>
    <row r="631" spans="1:21" x14ac:dyDescent="0.25">
      <c r="A631" s="12" t="s">
        <v>188</v>
      </c>
      <c r="B631" s="46" t="s">
        <v>102</v>
      </c>
      <c r="C631" s="14"/>
      <c r="D631" s="40"/>
      <c r="E631" s="42"/>
      <c r="F631" s="42" t="s">
        <v>84</v>
      </c>
      <c r="G631" s="42"/>
      <c r="H631" s="10"/>
      <c r="I631" s="16"/>
      <c r="J631" s="9">
        <f>4.095+2.155+0.25</f>
        <v>6.5</v>
      </c>
      <c r="K631" s="9">
        <v>2.75</v>
      </c>
      <c r="L631" s="9">
        <f>2.04*2</f>
        <v>4.08</v>
      </c>
      <c r="M631" s="9"/>
      <c r="N631" s="9"/>
      <c r="O631" s="9">
        <f>(0.25)*0.25</f>
        <v>6.25E-2</v>
      </c>
      <c r="P631" s="9"/>
      <c r="Q631" s="9"/>
      <c r="R631" s="9"/>
      <c r="S631" s="23">
        <f t="shared" si="11"/>
        <v>13.7325</v>
      </c>
      <c r="T631" s="24"/>
      <c r="U631" s="8"/>
    </row>
    <row r="632" spans="1:21" x14ac:dyDescent="0.25">
      <c r="A632" s="12" t="s">
        <v>188</v>
      </c>
      <c r="B632" s="46" t="s">
        <v>102</v>
      </c>
      <c r="C632" s="14"/>
      <c r="D632" s="40"/>
      <c r="E632" s="42"/>
      <c r="F632" s="42"/>
      <c r="G632" s="42" t="s">
        <v>82</v>
      </c>
      <c r="H632" s="10"/>
      <c r="I632" s="16"/>
      <c r="J632" s="9">
        <f>21.68-J631</f>
        <v>15.18</v>
      </c>
      <c r="K632" s="9">
        <v>2.75</v>
      </c>
      <c r="L632" s="9"/>
      <c r="M632" s="9">
        <f>1.1*2+1*2</f>
        <v>4.2</v>
      </c>
      <c r="N632" s="9"/>
      <c r="O632" s="9">
        <f>(1.76*2-0.25+1.94)*0.25</f>
        <v>1.3025</v>
      </c>
      <c r="P632" s="9"/>
      <c r="Q632" s="9"/>
      <c r="R632" s="9"/>
      <c r="S632" s="23">
        <f t="shared" si="11"/>
        <v>36.242499999999993</v>
      </c>
      <c r="T632" s="24"/>
      <c r="U632" s="8"/>
    </row>
    <row r="633" spans="1:21" x14ac:dyDescent="0.25">
      <c r="A633" s="12" t="s">
        <v>188</v>
      </c>
      <c r="B633" s="46" t="s">
        <v>103</v>
      </c>
      <c r="C633" s="14"/>
      <c r="D633" s="40" t="s">
        <v>195</v>
      </c>
      <c r="E633" s="42" t="s">
        <v>86</v>
      </c>
      <c r="F633" s="42"/>
      <c r="G633" s="42"/>
      <c r="H633" s="10"/>
      <c r="I633" s="16" t="s">
        <v>89</v>
      </c>
      <c r="J633" s="9">
        <f>1.9+2.5*2</f>
        <v>6.9</v>
      </c>
      <c r="K633" s="9">
        <v>2</v>
      </c>
      <c r="L633" s="9"/>
      <c r="M633" s="9">
        <f>1*2</f>
        <v>2</v>
      </c>
      <c r="N633" s="9"/>
      <c r="O633" s="9"/>
      <c r="P633" s="9"/>
      <c r="Q633" s="9"/>
      <c r="R633" s="9"/>
      <c r="S633" s="23">
        <f t="shared" si="11"/>
        <v>11.8</v>
      </c>
      <c r="T633" s="24"/>
      <c r="U633" s="8"/>
    </row>
    <row r="634" spans="1:21" x14ac:dyDescent="0.25">
      <c r="A634" s="12" t="s">
        <v>188</v>
      </c>
      <c r="B634" s="46" t="s">
        <v>103</v>
      </c>
      <c r="C634" s="14"/>
      <c r="D634" s="40" t="s">
        <v>195</v>
      </c>
      <c r="E634" s="42" t="s">
        <v>86</v>
      </c>
      <c r="F634" s="42"/>
      <c r="G634" s="42"/>
      <c r="H634" s="10"/>
      <c r="I634" s="16" t="s">
        <v>147</v>
      </c>
      <c r="J634" s="9">
        <v>1.9</v>
      </c>
      <c r="K634" s="9">
        <v>2</v>
      </c>
      <c r="L634" s="9"/>
      <c r="M634" s="9"/>
      <c r="N634" s="9"/>
      <c r="O634" s="9"/>
      <c r="P634" s="9"/>
      <c r="Q634" s="9"/>
      <c r="R634" s="9"/>
      <c r="S634" s="23">
        <f t="shared" si="11"/>
        <v>3.8</v>
      </c>
      <c r="T634" s="24"/>
      <c r="U634" s="8"/>
    </row>
    <row r="635" spans="1:21" x14ac:dyDescent="0.25">
      <c r="A635" s="12" t="s">
        <v>188</v>
      </c>
      <c r="B635" s="46" t="s">
        <v>103</v>
      </c>
      <c r="C635" s="14"/>
      <c r="D635" s="40" t="s">
        <v>195</v>
      </c>
      <c r="E635" s="42"/>
      <c r="F635" s="42" t="s">
        <v>84</v>
      </c>
      <c r="G635" s="42"/>
      <c r="H635" s="10"/>
      <c r="I635" s="16"/>
      <c r="J635" s="9">
        <f>J634</f>
        <v>1.9</v>
      </c>
      <c r="K635" s="9">
        <f>2.5-2</f>
        <v>0.5</v>
      </c>
      <c r="L635" s="9"/>
      <c r="M635" s="9"/>
      <c r="N635" s="9"/>
      <c r="O635" s="9"/>
      <c r="P635" s="9"/>
      <c r="Q635" s="9"/>
      <c r="R635" s="9"/>
      <c r="S635" s="23">
        <f t="shared" si="11"/>
        <v>0.95</v>
      </c>
      <c r="T635" s="24"/>
      <c r="U635" s="8"/>
    </row>
    <row r="636" spans="1:21" x14ac:dyDescent="0.25">
      <c r="A636" s="12" t="s">
        <v>188</v>
      </c>
      <c r="B636" s="46" t="s">
        <v>103</v>
      </c>
      <c r="C636" s="14"/>
      <c r="D636" s="40" t="s">
        <v>195</v>
      </c>
      <c r="E636" s="42"/>
      <c r="F636" s="42"/>
      <c r="G636" s="42" t="s">
        <v>82</v>
      </c>
      <c r="H636" s="10"/>
      <c r="I636" s="16"/>
      <c r="J636" s="9">
        <f>J633</f>
        <v>6.9</v>
      </c>
      <c r="K636" s="9">
        <f>2.5-2</f>
        <v>0.5</v>
      </c>
      <c r="L636" s="9"/>
      <c r="M636" s="9"/>
      <c r="N636" s="9"/>
      <c r="O636" s="9"/>
      <c r="P636" s="9"/>
      <c r="Q636" s="9"/>
      <c r="R636" s="9"/>
      <c r="S636" s="23">
        <f t="shared" si="11"/>
        <v>3.45</v>
      </c>
      <c r="T636" s="24"/>
      <c r="U636" s="8"/>
    </row>
    <row r="637" spans="1:21" x14ac:dyDescent="0.25">
      <c r="A637" s="12" t="s">
        <v>188</v>
      </c>
      <c r="B637" s="46" t="s">
        <v>104</v>
      </c>
      <c r="C637" s="14"/>
      <c r="D637" s="40"/>
      <c r="E637" s="42"/>
      <c r="F637" s="42" t="s">
        <v>84</v>
      </c>
      <c r="G637" s="42"/>
      <c r="H637" s="10"/>
      <c r="I637" s="16"/>
      <c r="J637" s="9">
        <f>4.095+2.155+0.25</f>
        <v>6.5</v>
      </c>
      <c r="K637" s="9">
        <v>2.75</v>
      </c>
      <c r="L637" s="9">
        <f>2.04*2</f>
        <v>4.08</v>
      </c>
      <c r="M637" s="9"/>
      <c r="N637" s="9"/>
      <c r="O637" s="9">
        <f>(0.25)*0.25</f>
        <v>6.25E-2</v>
      </c>
      <c r="P637" s="9"/>
      <c r="Q637" s="9"/>
      <c r="R637" s="9"/>
      <c r="S637" s="23">
        <f t="shared" si="11"/>
        <v>13.7325</v>
      </c>
      <c r="T637" s="24"/>
      <c r="U637" s="8"/>
    </row>
    <row r="638" spans="1:21" x14ac:dyDescent="0.25">
      <c r="A638" s="12" t="s">
        <v>188</v>
      </c>
      <c r="B638" s="46" t="s">
        <v>104</v>
      </c>
      <c r="C638" s="14"/>
      <c r="D638" s="40"/>
      <c r="E638" s="42"/>
      <c r="F638" s="42"/>
      <c r="G638" s="42" t="s">
        <v>82</v>
      </c>
      <c r="H638" s="10"/>
      <c r="I638" s="16"/>
      <c r="J638" s="9">
        <f>21.68-J637</f>
        <v>15.18</v>
      </c>
      <c r="K638" s="9">
        <v>2.75</v>
      </c>
      <c r="L638" s="9"/>
      <c r="M638" s="9">
        <f>1.1*2+1*2</f>
        <v>4.2</v>
      </c>
      <c r="N638" s="9"/>
      <c r="O638" s="9">
        <f>(1.76*2-0.25+1.94)*0.25</f>
        <v>1.3025</v>
      </c>
      <c r="P638" s="9"/>
      <c r="Q638" s="9"/>
      <c r="R638" s="9"/>
      <c r="S638" s="23">
        <f t="shared" si="11"/>
        <v>36.242499999999993</v>
      </c>
      <c r="T638" s="24"/>
      <c r="U638" s="8"/>
    </row>
    <row r="639" spans="1:21" x14ac:dyDescent="0.25">
      <c r="A639" s="12" t="s">
        <v>188</v>
      </c>
      <c r="B639" s="46" t="s">
        <v>105</v>
      </c>
      <c r="C639" s="14"/>
      <c r="D639" s="40" t="s">
        <v>195</v>
      </c>
      <c r="E639" s="42" t="s">
        <v>86</v>
      </c>
      <c r="F639" s="42"/>
      <c r="G639" s="42"/>
      <c r="H639" s="10"/>
      <c r="I639" s="16" t="s">
        <v>89</v>
      </c>
      <c r="J639" s="9">
        <f>1.9+2.5*2</f>
        <v>6.9</v>
      </c>
      <c r="K639" s="9">
        <v>2</v>
      </c>
      <c r="L639" s="9"/>
      <c r="M639" s="9">
        <f>1*2</f>
        <v>2</v>
      </c>
      <c r="N639" s="9"/>
      <c r="O639" s="9"/>
      <c r="P639" s="9"/>
      <c r="Q639" s="9"/>
      <c r="R639" s="9"/>
      <c r="S639" s="23">
        <f t="shared" si="11"/>
        <v>11.8</v>
      </c>
      <c r="T639" s="24"/>
      <c r="U639" s="8"/>
    </row>
    <row r="640" spans="1:21" x14ac:dyDescent="0.25">
      <c r="A640" s="12" t="s">
        <v>188</v>
      </c>
      <c r="B640" s="46" t="s">
        <v>105</v>
      </c>
      <c r="C640" s="14"/>
      <c r="D640" s="40" t="s">
        <v>195</v>
      </c>
      <c r="E640" s="42" t="s">
        <v>86</v>
      </c>
      <c r="F640" s="42"/>
      <c r="G640" s="42"/>
      <c r="H640" s="10"/>
      <c r="I640" s="16" t="s">
        <v>147</v>
      </c>
      <c r="J640" s="9">
        <v>1.9</v>
      </c>
      <c r="K640" s="9">
        <v>2</v>
      </c>
      <c r="L640" s="9"/>
      <c r="M640" s="9"/>
      <c r="N640" s="9"/>
      <c r="O640" s="9"/>
      <c r="P640" s="9"/>
      <c r="Q640" s="9"/>
      <c r="R640" s="9"/>
      <c r="S640" s="23">
        <f t="shared" si="11"/>
        <v>3.8</v>
      </c>
      <c r="T640" s="24"/>
      <c r="U640" s="8"/>
    </row>
    <row r="641" spans="1:21" x14ac:dyDescent="0.25">
      <c r="A641" s="12" t="s">
        <v>188</v>
      </c>
      <c r="B641" s="46" t="s">
        <v>105</v>
      </c>
      <c r="C641" s="14"/>
      <c r="D641" s="40" t="s">
        <v>195</v>
      </c>
      <c r="E641" s="42"/>
      <c r="F641" s="42" t="s">
        <v>84</v>
      </c>
      <c r="G641" s="42"/>
      <c r="H641" s="10"/>
      <c r="I641" s="16"/>
      <c r="J641" s="9">
        <f>J640</f>
        <v>1.9</v>
      </c>
      <c r="K641" s="9">
        <f>2.5-2</f>
        <v>0.5</v>
      </c>
      <c r="L641" s="9"/>
      <c r="M641" s="9"/>
      <c r="N641" s="9"/>
      <c r="O641" s="9"/>
      <c r="P641" s="9"/>
      <c r="Q641" s="9"/>
      <c r="R641" s="9"/>
      <c r="S641" s="23">
        <f t="shared" si="11"/>
        <v>0.95</v>
      </c>
      <c r="T641" s="24"/>
      <c r="U641" s="8"/>
    </row>
    <row r="642" spans="1:21" x14ac:dyDescent="0.25">
      <c r="A642" s="12" t="s">
        <v>188</v>
      </c>
      <c r="B642" s="46" t="s">
        <v>105</v>
      </c>
      <c r="C642" s="14"/>
      <c r="D642" s="40" t="s">
        <v>195</v>
      </c>
      <c r="E642" s="42"/>
      <c r="F642" s="42"/>
      <c r="G642" s="42" t="s">
        <v>82</v>
      </c>
      <c r="H642" s="10"/>
      <c r="I642" s="16"/>
      <c r="J642" s="9">
        <f>J639</f>
        <v>6.9</v>
      </c>
      <c r="K642" s="9">
        <f>2.5-2</f>
        <v>0.5</v>
      </c>
      <c r="L642" s="9"/>
      <c r="M642" s="9"/>
      <c r="N642" s="9"/>
      <c r="O642" s="9"/>
      <c r="P642" s="9"/>
      <c r="Q642" s="9"/>
      <c r="R642" s="9"/>
      <c r="S642" s="23">
        <f t="shared" si="11"/>
        <v>3.45</v>
      </c>
      <c r="T642" s="24"/>
      <c r="U642" s="8"/>
    </row>
    <row r="643" spans="1:21" x14ac:dyDescent="0.25">
      <c r="A643" s="12" t="s">
        <v>188</v>
      </c>
      <c r="B643" s="46" t="s">
        <v>106</v>
      </c>
      <c r="C643" s="14"/>
      <c r="D643" s="40"/>
      <c r="E643" s="42"/>
      <c r="F643" s="42" t="s">
        <v>84</v>
      </c>
      <c r="G643" s="42"/>
      <c r="H643" s="10"/>
      <c r="I643" s="16"/>
      <c r="J643" s="9">
        <f>21.68-J644</f>
        <v>13.244999999999999</v>
      </c>
      <c r="K643" s="9">
        <v>2.75</v>
      </c>
      <c r="L643" s="9">
        <f>2.04*2+0.54*2</f>
        <v>5.16</v>
      </c>
      <c r="M643" s="9"/>
      <c r="N643" s="9"/>
      <c r="O643" s="9">
        <f>(1.76+0.25)*0.25</f>
        <v>0.50249999999999995</v>
      </c>
      <c r="P643" s="9"/>
      <c r="Q643" s="9"/>
      <c r="R643" s="9"/>
      <c r="S643" s="23">
        <f t="shared" si="11"/>
        <v>30.761249999999997</v>
      </c>
      <c r="T643" s="24"/>
      <c r="U643" s="8"/>
    </row>
    <row r="644" spans="1:21" x14ac:dyDescent="0.25">
      <c r="A644" s="12" t="s">
        <v>188</v>
      </c>
      <c r="B644" s="46" t="s">
        <v>106</v>
      </c>
      <c r="C644" s="14"/>
      <c r="D644" s="40"/>
      <c r="E644" s="42"/>
      <c r="F644" s="42"/>
      <c r="G644" s="42" t="s">
        <v>82</v>
      </c>
      <c r="H644" s="10"/>
      <c r="I644" s="16"/>
      <c r="J644" s="9">
        <f>4.985+1.94+1.51</f>
        <v>8.4350000000000005</v>
      </c>
      <c r="K644" s="9">
        <v>2.75</v>
      </c>
      <c r="L644" s="9"/>
      <c r="M644" s="9">
        <f>1.1*2+1*2</f>
        <v>4.2</v>
      </c>
      <c r="N644" s="9"/>
      <c r="O644" s="9">
        <f>(1.51+1.94)*0.25</f>
        <v>0.86250000000000004</v>
      </c>
      <c r="P644" s="9"/>
      <c r="Q644" s="9"/>
      <c r="R644" s="9"/>
      <c r="S644" s="23">
        <f t="shared" si="11"/>
        <v>18.133750000000003</v>
      </c>
      <c r="T644" s="24"/>
      <c r="U644" s="8"/>
    </row>
    <row r="645" spans="1:21" x14ac:dyDescent="0.25">
      <c r="A645" s="12" t="s">
        <v>188</v>
      </c>
      <c r="B645" s="46" t="s">
        <v>107</v>
      </c>
      <c r="C645" s="14"/>
      <c r="D645" s="40" t="s">
        <v>195</v>
      </c>
      <c r="E645" s="42" t="s">
        <v>86</v>
      </c>
      <c r="F645" s="42"/>
      <c r="G645" s="42"/>
      <c r="H645" s="10"/>
      <c r="I645" s="16" t="s">
        <v>89</v>
      </c>
      <c r="J645" s="9">
        <f>1.9+2.5*2</f>
        <v>6.9</v>
      </c>
      <c r="K645" s="9">
        <v>2</v>
      </c>
      <c r="L645" s="9"/>
      <c r="M645" s="9">
        <f>1*2</f>
        <v>2</v>
      </c>
      <c r="N645" s="9"/>
      <c r="O645" s="9"/>
      <c r="P645" s="9"/>
      <c r="Q645" s="9"/>
      <c r="R645" s="9"/>
      <c r="S645" s="23">
        <f t="shared" si="11"/>
        <v>11.8</v>
      </c>
      <c r="T645" s="24"/>
      <c r="U645" s="8"/>
    </row>
    <row r="646" spans="1:21" x14ac:dyDescent="0.25">
      <c r="A646" s="12" t="s">
        <v>188</v>
      </c>
      <c r="B646" s="46" t="s">
        <v>107</v>
      </c>
      <c r="C646" s="14"/>
      <c r="D646" s="40" t="s">
        <v>195</v>
      </c>
      <c r="E646" s="42" t="s">
        <v>86</v>
      </c>
      <c r="F646" s="42"/>
      <c r="G646" s="42"/>
      <c r="H646" s="10"/>
      <c r="I646" s="16" t="s">
        <v>147</v>
      </c>
      <c r="J646" s="9">
        <v>1.9</v>
      </c>
      <c r="K646" s="9">
        <v>2</v>
      </c>
      <c r="L646" s="9"/>
      <c r="M646" s="9"/>
      <c r="N646" s="9"/>
      <c r="O646" s="9"/>
      <c r="P646" s="9"/>
      <c r="Q646" s="9"/>
      <c r="R646" s="9"/>
      <c r="S646" s="23">
        <f t="shared" si="11"/>
        <v>3.8</v>
      </c>
      <c r="T646" s="24"/>
      <c r="U646" s="8"/>
    </row>
    <row r="647" spans="1:21" x14ac:dyDescent="0.25">
      <c r="A647" s="12" t="s">
        <v>188</v>
      </c>
      <c r="B647" s="46" t="s">
        <v>107</v>
      </c>
      <c r="C647" s="14"/>
      <c r="D647" s="40" t="s">
        <v>195</v>
      </c>
      <c r="E647" s="42"/>
      <c r="F647" s="42" t="s">
        <v>84</v>
      </c>
      <c r="G647" s="42"/>
      <c r="H647" s="10"/>
      <c r="I647" s="16"/>
      <c r="J647" s="9">
        <f>J646</f>
        <v>1.9</v>
      </c>
      <c r="K647" s="9">
        <f>2.5-2</f>
        <v>0.5</v>
      </c>
      <c r="L647" s="9"/>
      <c r="M647" s="9"/>
      <c r="N647" s="9"/>
      <c r="O647" s="9"/>
      <c r="P647" s="9"/>
      <c r="Q647" s="9"/>
      <c r="R647" s="9"/>
      <c r="S647" s="23">
        <f t="shared" si="11"/>
        <v>0.95</v>
      </c>
      <c r="T647" s="24"/>
      <c r="U647" s="8"/>
    </row>
    <row r="648" spans="1:21" x14ac:dyDescent="0.25">
      <c r="A648" s="12" t="s">
        <v>188</v>
      </c>
      <c r="B648" s="46" t="s">
        <v>107</v>
      </c>
      <c r="C648" s="14"/>
      <c r="D648" s="40" t="s">
        <v>195</v>
      </c>
      <c r="E648" s="42"/>
      <c r="F648" s="42"/>
      <c r="G648" s="42" t="s">
        <v>82</v>
      </c>
      <c r="H648" s="10"/>
      <c r="I648" s="16"/>
      <c r="J648" s="9">
        <f>J645</f>
        <v>6.9</v>
      </c>
      <c r="K648" s="9">
        <f>2.5-2</f>
        <v>0.5</v>
      </c>
      <c r="L648" s="9"/>
      <c r="M648" s="9"/>
      <c r="N648" s="9"/>
      <c r="O648" s="9"/>
      <c r="P648" s="9"/>
      <c r="Q648" s="9"/>
      <c r="R648" s="9"/>
      <c r="S648" s="23">
        <f t="shared" si="11"/>
        <v>3.45</v>
      </c>
      <c r="T648" s="24"/>
      <c r="U648" s="8"/>
    </row>
    <row r="649" spans="1:21" x14ac:dyDescent="0.25">
      <c r="A649" s="12" t="s">
        <v>188</v>
      </c>
      <c r="B649" s="46" t="s">
        <v>108</v>
      </c>
      <c r="C649" s="14"/>
      <c r="D649" s="40"/>
      <c r="E649" s="42"/>
      <c r="F649" s="42" t="s">
        <v>84</v>
      </c>
      <c r="G649" s="42"/>
      <c r="H649" s="10"/>
      <c r="I649" s="16"/>
      <c r="J649" s="9">
        <v>4.7350000000000003</v>
      </c>
      <c r="K649" s="9">
        <v>2.75</v>
      </c>
      <c r="L649" s="9">
        <f>2.54*2</f>
        <v>5.08</v>
      </c>
      <c r="M649" s="9"/>
      <c r="N649" s="9"/>
      <c r="O649" s="9"/>
      <c r="P649" s="9"/>
      <c r="Q649" s="9"/>
      <c r="R649" s="9"/>
      <c r="S649" s="23">
        <f t="shared" si="11"/>
        <v>7.9412500000000001</v>
      </c>
      <c r="T649" s="24"/>
      <c r="U649" s="8"/>
    </row>
    <row r="650" spans="1:21" x14ac:dyDescent="0.25">
      <c r="A650" s="12" t="s">
        <v>188</v>
      </c>
      <c r="B650" s="46" t="s">
        <v>108</v>
      </c>
      <c r="C650" s="14"/>
      <c r="D650" s="40"/>
      <c r="E650" s="42"/>
      <c r="F650" s="42"/>
      <c r="G650" s="42" t="s">
        <v>82</v>
      </c>
      <c r="H650" s="10"/>
      <c r="I650" s="16"/>
      <c r="J650" s="9">
        <f>3.945+2.12+1.45-0.25</f>
        <v>7.2649999999999997</v>
      </c>
      <c r="K650" s="9">
        <v>2.75</v>
      </c>
      <c r="L650" s="9"/>
      <c r="M650" s="9">
        <f>1.1*2+1*2</f>
        <v>4.2</v>
      </c>
      <c r="N650" s="9"/>
      <c r="O650" s="9">
        <f>(2.12+1.45-0.25)*0.25</f>
        <v>0.83000000000000007</v>
      </c>
      <c r="P650" s="9"/>
      <c r="Q650" s="9"/>
      <c r="R650" s="9"/>
      <c r="S650" s="23">
        <f t="shared" ref="S650:S713" si="12">IF(AND(ISBLANK(E650),ISBLANK(F650),ISBLANK(G650),ISBLANK(H650)),"",IF(J650*K650-L650-M650-N650-O650+P650+Q650+R650=0,"",J650*K650-L650-M650-N650-O650+P650+Q650+R650))</f>
        <v>14.948749999999999</v>
      </c>
      <c r="T650" s="24"/>
      <c r="U650" s="8"/>
    </row>
    <row r="651" spans="1:21" x14ac:dyDescent="0.25">
      <c r="A651" s="12" t="s">
        <v>188</v>
      </c>
      <c r="B651" s="46" t="s">
        <v>108</v>
      </c>
      <c r="C651" s="14"/>
      <c r="D651" s="40"/>
      <c r="E651" s="42"/>
      <c r="F651" s="42" t="s">
        <v>83</v>
      </c>
      <c r="G651" s="42"/>
      <c r="H651" s="10"/>
      <c r="I651" s="16"/>
      <c r="J651" s="9">
        <f>5.395+2.615+0.25</f>
        <v>8.26</v>
      </c>
      <c r="K651" s="9">
        <v>2.75</v>
      </c>
      <c r="L651" s="9"/>
      <c r="M651" s="9"/>
      <c r="N651" s="9"/>
      <c r="O651" s="9">
        <f>(1.45+0.25)*0.25</f>
        <v>0.42499999999999999</v>
      </c>
      <c r="P651" s="9"/>
      <c r="Q651" s="9"/>
      <c r="R651" s="9"/>
      <c r="S651" s="23">
        <f t="shared" si="12"/>
        <v>22.29</v>
      </c>
      <c r="T651" s="24"/>
      <c r="U651" s="8"/>
    </row>
    <row r="652" spans="1:21" x14ac:dyDescent="0.25">
      <c r="A652" s="12" t="s">
        <v>188</v>
      </c>
      <c r="B652" s="46" t="s">
        <v>109</v>
      </c>
      <c r="C652" s="14"/>
      <c r="D652" s="40" t="s">
        <v>195</v>
      </c>
      <c r="E652" s="42" t="s">
        <v>86</v>
      </c>
      <c r="F652" s="42"/>
      <c r="G652" s="42"/>
      <c r="H652" s="10"/>
      <c r="I652" s="16" t="s">
        <v>89</v>
      </c>
      <c r="J652" s="9">
        <f>2.15*2+2.45</f>
        <v>6.75</v>
      </c>
      <c r="K652" s="9">
        <v>2</v>
      </c>
      <c r="L652" s="9"/>
      <c r="M652" s="9">
        <f>1*2</f>
        <v>2</v>
      </c>
      <c r="N652" s="9"/>
      <c r="O652" s="9"/>
      <c r="P652" s="9"/>
      <c r="Q652" s="9"/>
      <c r="R652" s="9"/>
      <c r="S652" s="23">
        <f t="shared" si="12"/>
        <v>11.5</v>
      </c>
      <c r="T652" s="24"/>
      <c r="U652" s="8"/>
    </row>
    <row r="653" spans="1:21" x14ac:dyDescent="0.25">
      <c r="A653" s="12" t="s">
        <v>188</v>
      </c>
      <c r="B653" s="46" t="s">
        <v>109</v>
      </c>
      <c r="C653" s="14"/>
      <c r="D653" s="40" t="s">
        <v>195</v>
      </c>
      <c r="E653" s="42" t="s">
        <v>86</v>
      </c>
      <c r="F653" s="42"/>
      <c r="G653" s="42"/>
      <c r="H653" s="10"/>
      <c r="I653" s="16" t="s">
        <v>146</v>
      </c>
      <c r="J653" s="9">
        <v>2.4500000000000002</v>
      </c>
      <c r="K653" s="9">
        <v>2</v>
      </c>
      <c r="L653" s="9"/>
      <c r="M653" s="9"/>
      <c r="N653" s="9"/>
      <c r="O653" s="9"/>
      <c r="P653" s="9"/>
      <c r="Q653" s="9"/>
      <c r="R653" s="9"/>
      <c r="S653" s="23">
        <f t="shared" si="12"/>
        <v>4.9000000000000004</v>
      </c>
      <c r="T653" s="24"/>
      <c r="U653" s="8"/>
    </row>
    <row r="654" spans="1:21" x14ac:dyDescent="0.25">
      <c r="A654" s="12" t="s">
        <v>188</v>
      </c>
      <c r="B654" s="46" t="s">
        <v>109</v>
      </c>
      <c r="C654" s="14"/>
      <c r="D654" s="40" t="s">
        <v>195</v>
      </c>
      <c r="E654" s="42"/>
      <c r="F654" s="42" t="s">
        <v>83</v>
      </c>
      <c r="G654" s="42"/>
      <c r="H654" s="10"/>
      <c r="I654" s="16"/>
      <c r="J654" s="9">
        <f>J653</f>
        <v>2.4500000000000002</v>
      </c>
      <c r="K654" s="9">
        <f>2.5-2</f>
        <v>0.5</v>
      </c>
      <c r="L654" s="9"/>
      <c r="M654" s="9"/>
      <c r="N654" s="9"/>
      <c r="O654" s="9"/>
      <c r="P654" s="9"/>
      <c r="Q654" s="9"/>
      <c r="R654" s="9"/>
      <c r="S654" s="23">
        <f t="shared" si="12"/>
        <v>1.2250000000000001</v>
      </c>
      <c r="T654" s="24"/>
      <c r="U654" s="8"/>
    </row>
    <row r="655" spans="1:21" x14ac:dyDescent="0.25">
      <c r="A655" s="12" t="s">
        <v>188</v>
      </c>
      <c r="B655" s="46" t="s">
        <v>109</v>
      </c>
      <c r="C655" s="14"/>
      <c r="D655" s="40" t="s">
        <v>195</v>
      </c>
      <c r="E655" s="42"/>
      <c r="F655" s="42"/>
      <c r="G655" s="42" t="s">
        <v>82</v>
      </c>
      <c r="H655" s="10"/>
      <c r="I655" s="16"/>
      <c r="J655" s="9">
        <f>J652</f>
        <v>6.75</v>
      </c>
      <c r="K655" s="9">
        <f>2.5-2</f>
        <v>0.5</v>
      </c>
      <c r="L655" s="9"/>
      <c r="M655" s="9"/>
      <c r="N655" s="9"/>
      <c r="O655" s="9"/>
      <c r="P655" s="9"/>
      <c r="Q655" s="9"/>
      <c r="R655" s="9"/>
      <c r="S655" s="23">
        <f t="shared" si="12"/>
        <v>3.375</v>
      </c>
      <c r="T655" s="24"/>
      <c r="U655" s="8"/>
    </row>
    <row r="656" spans="1:21" x14ac:dyDescent="0.25">
      <c r="A656" s="12" t="s">
        <v>188</v>
      </c>
      <c r="B656" s="46" t="s">
        <v>110</v>
      </c>
      <c r="C656" s="14"/>
      <c r="D656" s="40"/>
      <c r="E656" s="42"/>
      <c r="F656" s="42" t="s">
        <v>84</v>
      </c>
      <c r="G656" s="42"/>
      <c r="H656" s="10"/>
      <c r="I656" s="16"/>
      <c r="J656" s="9">
        <v>4.75</v>
      </c>
      <c r="K656" s="9">
        <v>2.75</v>
      </c>
      <c r="L656" s="9">
        <f>2.54*2</f>
        <v>5.08</v>
      </c>
      <c r="M656" s="9"/>
      <c r="N656" s="9"/>
      <c r="O656" s="9"/>
      <c r="P656" s="9"/>
      <c r="Q656" s="9"/>
      <c r="R656" s="9"/>
      <c r="S656" s="23">
        <f t="shared" si="12"/>
        <v>7.9824999999999999</v>
      </c>
      <c r="T656" s="24"/>
      <c r="U656" s="8"/>
    </row>
    <row r="657" spans="1:21" x14ac:dyDescent="0.25">
      <c r="A657" s="12" t="s">
        <v>188</v>
      </c>
      <c r="B657" s="46" t="s">
        <v>110</v>
      </c>
      <c r="C657" s="14"/>
      <c r="D657" s="40"/>
      <c r="E657" s="42"/>
      <c r="F657" s="42"/>
      <c r="G657" s="42" t="s">
        <v>82</v>
      </c>
      <c r="H657" s="10"/>
      <c r="I657" s="16"/>
      <c r="J657" s="9">
        <f>3.945+2.12+1.45-0.25</f>
        <v>7.2649999999999997</v>
      </c>
      <c r="K657" s="9">
        <v>2.75</v>
      </c>
      <c r="L657" s="9"/>
      <c r="M657" s="9">
        <f>1.1*2</f>
        <v>2.2000000000000002</v>
      </c>
      <c r="N657" s="9"/>
      <c r="O657" s="9">
        <f>(2.1+1.45*2-0.25)*0.25</f>
        <v>1.1875</v>
      </c>
      <c r="P657" s="9"/>
      <c r="Q657" s="9"/>
      <c r="R657" s="9"/>
      <c r="S657" s="23">
        <f t="shared" si="12"/>
        <v>16.591249999999999</v>
      </c>
      <c r="T657" s="24"/>
      <c r="U657" s="8"/>
    </row>
    <row r="658" spans="1:21" x14ac:dyDescent="0.25">
      <c r="A658" s="12" t="s">
        <v>188</v>
      </c>
      <c r="B658" s="46" t="s">
        <v>110</v>
      </c>
      <c r="C658" s="14"/>
      <c r="D658" s="40"/>
      <c r="E658" s="42"/>
      <c r="F658" s="42" t="s">
        <v>83</v>
      </c>
      <c r="G658" s="42"/>
      <c r="H658" s="10"/>
      <c r="I658" s="16"/>
      <c r="J658" s="9">
        <f>3.25+0.25+0.6</f>
        <v>4.0999999999999996</v>
      </c>
      <c r="K658" s="9">
        <v>2.75</v>
      </c>
      <c r="L658" s="9"/>
      <c r="M658" s="9">
        <f>1.1*2</f>
        <v>2.2000000000000002</v>
      </c>
      <c r="N658" s="9"/>
      <c r="O658" s="9">
        <f>(0.6+0.25)*0.25</f>
        <v>0.21249999999999999</v>
      </c>
      <c r="P658" s="9"/>
      <c r="Q658" s="9"/>
      <c r="R658" s="9"/>
      <c r="S658" s="23">
        <f t="shared" si="12"/>
        <v>8.8624999999999989</v>
      </c>
      <c r="T658" s="24"/>
      <c r="U658" s="8"/>
    </row>
    <row r="659" spans="1:21" x14ac:dyDescent="0.25">
      <c r="A659" s="12" t="s">
        <v>188</v>
      </c>
      <c r="B659" s="46" t="s">
        <v>111</v>
      </c>
      <c r="C659" s="14"/>
      <c r="D659" s="40" t="s">
        <v>195</v>
      </c>
      <c r="E659" s="42" t="s">
        <v>86</v>
      </c>
      <c r="F659" s="42"/>
      <c r="G659" s="42"/>
      <c r="H659" s="10"/>
      <c r="I659" s="16" t="s">
        <v>89</v>
      </c>
      <c r="J659" s="9">
        <f>2.15*2+2.45</f>
        <v>6.75</v>
      </c>
      <c r="K659" s="9">
        <v>2</v>
      </c>
      <c r="L659" s="9"/>
      <c r="M659" s="9"/>
      <c r="N659" s="9"/>
      <c r="O659" s="9"/>
      <c r="P659" s="9"/>
      <c r="Q659" s="9"/>
      <c r="R659" s="9"/>
      <c r="S659" s="23">
        <f t="shared" si="12"/>
        <v>13.5</v>
      </c>
      <c r="T659" s="24"/>
      <c r="U659" s="8"/>
    </row>
    <row r="660" spans="1:21" x14ac:dyDescent="0.25">
      <c r="A660" s="12" t="s">
        <v>188</v>
      </c>
      <c r="B660" s="46" t="s">
        <v>111</v>
      </c>
      <c r="C660" s="14"/>
      <c r="D660" s="40" t="s">
        <v>195</v>
      </c>
      <c r="E660" s="42" t="s">
        <v>86</v>
      </c>
      <c r="F660" s="42"/>
      <c r="G660" s="42"/>
      <c r="H660" s="10"/>
      <c r="I660" s="16" t="s">
        <v>146</v>
      </c>
      <c r="J660" s="9">
        <v>2.4500000000000002</v>
      </c>
      <c r="K660" s="9">
        <v>2</v>
      </c>
      <c r="L660" s="9"/>
      <c r="M660" s="9">
        <f>1.1*2</f>
        <v>2.2000000000000002</v>
      </c>
      <c r="N660" s="9"/>
      <c r="O660" s="9"/>
      <c r="P660" s="9"/>
      <c r="Q660" s="9"/>
      <c r="R660" s="9"/>
      <c r="S660" s="23">
        <f t="shared" si="12"/>
        <v>2.7</v>
      </c>
      <c r="T660" s="24"/>
      <c r="U660" s="8"/>
    </row>
    <row r="661" spans="1:21" x14ac:dyDescent="0.25">
      <c r="A661" s="12" t="s">
        <v>188</v>
      </c>
      <c r="B661" s="46" t="s">
        <v>111</v>
      </c>
      <c r="C661" s="14"/>
      <c r="D661" s="40" t="s">
        <v>195</v>
      </c>
      <c r="E661" s="42"/>
      <c r="F661" s="42" t="s">
        <v>83</v>
      </c>
      <c r="G661" s="42"/>
      <c r="H661" s="10"/>
      <c r="I661" s="16"/>
      <c r="J661" s="9">
        <f>J660</f>
        <v>2.4500000000000002</v>
      </c>
      <c r="K661" s="9">
        <f>2.5-2</f>
        <v>0.5</v>
      </c>
      <c r="L661" s="9"/>
      <c r="M661" s="9"/>
      <c r="N661" s="9"/>
      <c r="O661" s="9"/>
      <c r="P661" s="9"/>
      <c r="Q661" s="9"/>
      <c r="R661" s="9"/>
      <c r="S661" s="23">
        <f t="shared" si="12"/>
        <v>1.2250000000000001</v>
      </c>
      <c r="T661" s="24"/>
      <c r="U661" s="8"/>
    </row>
    <row r="662" spans="1:21" x14ac:dyDescent="0.25">
      <c r="A662" s="12" t="s">
        <v>188</v>
      </c>
      <c r="B662" s="46" t="s">
        <v>111</v>
      </c>
      <c r="C662" s="14"/>
      <c r="D662" s="40" t="s">
        <v>195</v>
      </c>
      <c r="E662" s="42"/>
      <c r="F662" s="42"/>
      <c r="G662" s="42" t="s">
        <v>82</v>
      </c>
      <c r="H662" s="10"/>
      <c r="I662" s="16"/>
      <c r="J662" s="9">
        <f>J659</f>
        <v>6.75</v>
      </c>
      <c r="K662" s="9">
        <f>2.5-2</f>
        <v>0.5</v>
      </c>
      <c r="L662" s="9"/>
      <c r="M662" s="9"/>
      <c r="N662" s="9"/>
      <c r="O662" s="9"/>
      <c r="P662" s="9"/>
      <c r="Q662" s="9"/>
      <c r="R662" s="9"/>
      <c r="S662" s="23">
        <f t="shared" si="12"/>
        <v>3.375</v>
      </c>
      <c r="T662" s="24"/>
      <c r="U662" s="8"/>
    </row>
    <row r="663" spans="1:21" x14ac:dyDescent="0.25">
      <c r="A663" s="12" t="s">
        <v>188</v>
      </c>
      <c r="B663" s="13" t="s">
        <v>112</v>
      </c>
      <c r="C663" s="14"/>
      <c r="D663" s="40" t="s">
        <v>195</v>
      </c>
      <c r="E663" s="42" t="s">
        <v>86</v>
      </c>
      <c r="F663" s="42"/>
      <c r="G663" s="42"/>
      <c r="H663" s="10"/>
      <c r="I663" s="16" t="s">
        <v>89</v>
      </c>
      <c r="J663" s="9">
        <v>10.77</v>
      </c>
      <c r="K663" s="9">
        <v>2</v>
      </c>
      <c r="L663" s="9"/>
      <c r="M663" s="9">
        <f>0.8*2</f>
        <v>1.6</v>
      </c>
      <c r="N663" s="9"/>
      <c r="O663" s="9"/>
      <c r="P663" s="9"/>
      <c r="Q663" s="9"/>
      <c r="R663" s="9"/>
      <c r="S663" s="23">
        <f t="shared" si="12"/>
        <v>19.939999999999998</v>
      </c>
      <c r="T663" s="24"/>
      <c r="U663" s="8"/>
    </row>
    <row r="664" spans="1:21" x14ac:dyDescent="0.25">
      <c r="A664" s="12" t="s">
        <v>188</v>
      </c>
      <c r="B664" s="13" t="s">
        <v>112</v>
      </c>
      <c r="C664" s="14"/>
      <c r="D664" s="40" t="s">
        <v>195</v>
      </c>
      <c r="E664" s="42"/>
      <c r="F664" s="42"/>
      <c r="G664" s="42" t="s">
        <v>82</v>
      </c>
      <c r="H664" s="10"/>
      <c r="I664" s="16"/>
      <c r="J664" s="9">
        <f>J663</f>
        <v>10.77</v>
      </c>
      <c r="K664" s="9">
        <v>0.5</v>
      </c>
      <c r="L664" s="9"/>
      <c r="M664" s="9"/>
      <c r="N664" s="9"/>
      <c r="O664" s="9"/>
      <c r="P664" s="9"/>
      <c r="Q664" s="9"/>
      <c r="R664" s="9"/>
      <c r="S664" s="23">
        <f t="shared" si="12"/>
        <v>5.3849999999999998</v>
      </c>
      <c r="T664" s="24"/>
      <c r="U664" s="8"/>
    </row>
    <row r="665" spans="1:21" x14ac:dyDescent="0.25">
      <c r="A665" s="12" t="s">
        <v>188</v>
      </c>
      <c r="B665" s="13" t="s">
        <v>113</v>
      </c>
      <c r="C665" s="14"/>
      <c r="D665" s="40" t="s">
        <v>195</v>
      </c>
      <c r="E665" s="42" t="s">
        <v>86</v>
      </c>
      <c r="F665" s="42"/>
      <c r="G665" s="42"/>
      <c r="H665" s="10"/>
      <c r="I665" s="16" t="s">
        <v>89</v>
      </c>
      <c r="J665" s="9">
        <v>6.5</v>
      </c>
      <c r="K665" s="9">
        <v>2</v>
      </c>
      <c r="L665" s="9"/>
      <c r="M665" s="9">
        <f>0.7*2</f>
        <v>1.4</v>
      </c>
      <c r="N665" s="9"/>
      <c r="O665" s="9"/>
      <c r="P665" s="9"/>
      <c r="Q665" s="9"/>
      <c r="R665" s="9"/>
      <c r="S665" s="23">
        <f t="shared" si="12"/>
        <v>11.6</v>
      </c>
      <c r="T665" s="24"/>
      <c r="U665" s="8"/>
    </row>
    <row r="666" spans="1:21" x14ac:dyDescent="0.25">
      <c r="A666" s="12" t="s">
        <v>188</v>
      </c>
      <c r="B666" s="13" t="s">
        <v>113</v>
      </c>
      <c r="C666" s="14"/>
      <c r="D666" s="40" t="s">
        <v>195</v>
      </c>
      <c r="E666" s="42"/>
      <c r="F666" s="42"/>
      <c r="G666" s="42" t="s">
        <v>82</v>
      </c>
      <c r="H666" s="10"/>
      <c r="I666" s="16"/>
      <c r="J666" s="9">
        <f>J665</f>
        <v>6.5</v>
      </c>
      <c r="K666" s="9">
        <v>0.5</v>
      </c>
      <c r="L666" s="9"/>
      <c r="M666" s="9"/>
      <c r="N666" s="9"/>
      <c r="O666" s="9"/>
      <c r="P666" s="9"/>
      <c r="Q666" s="9"/>
      <c r="R666" s="9"/>
      <c r="S666" s="23">
        <f t="shared" si="12"/>
        <v>3.25</v>
      </c>
      <c r="T666" s="24"/>
      <c r="U666" s="8"/>
    </row>
    <row r="667" spans="1:21" x14ac:dyDescent="0.25">
      <c r="A667" s="12" t="s">
        <v>188</v>
      </c>
      <c r="B667" s="13" t="s">
        <v>114</v>
      </c>
      <c r="C667" s="14"/>
      <c r="D667" s="40" t="s">
        <v>195</v>
      </c>
      <c r="E667" s="42" t="s">
        <v>86</v>
      </c>
      <c r="F667" s="42"/>
      <c r="G667" s="42"/>
      <c r="H667" s="10"/>
      <c r="I667" s="16" t="s">
        <v>89</v>
      </c>
      <c r="J667" s="9">
        <v>5.6</v>
      </c>
      <c r="K667" s="9">
        <v>2</v>
      </c>
      <c r="L667" s="9"/>
      <c r="M667" s="9">
        <f>0.7*2</f>
        <v>1.4</v>
      </c>
      <c r="N667" s="9"/>
      <c r="O667" s="9"/>
      <c r="P667" s="9"/>
      <c r="Q667" s="9"/>
      <c r="R667" s="9"/>
      <c r="S667" s="23">
        <f t="shared" si="12"/>
        <v>9.7999999999999989</v>
      </c>
      <c r="T667" s="24"/>
      <c r="U667" s="8"/>
    </row>
    <row r="668" spans="1:21" x14ac:dyDescent="0.25">
      <c r="A668" s="12" t="s">
        <v>188</v>
      </c>
      <c r="B668" s="13" t="s">
        <v>114</v>
      </c>
      <c r="C668" s="14"/>
      <c r="D668" s="40" t="s">
        <v>195</v>
      </c>
      <c r="E668" s="42"/>
      <c r="F668" s="42"/>
      <c r="G668" s="42" t="s">
        <v>82</v>
      </c>
      <c r="H668" s="10"/>
      <c r="I668" s="16"/>
      <c r="J668" s="9">
        <f>J667</f>
        <v>5.6</v>
      </c>
      <c r="K668" s="9">
        <v>0.5</v>
      </c>
      <c r="L668" s="9"/>
      <c r="M668" s="9"/>
      <c r="N668" s="9"/>
      <c r="O668" s="9"/>
      <c r="P668" s="9"/>
      <c r="Q668" s="9"/>
      <c r="R668" s="9"/>
      <c r="S668" s="23">
        <f t="shared" si="12"/>
        <v>2.8</v>
      </c>
      <c r="T668" s="24"/>
      <c r="U668" s="8"/>
    </row>
    <row r="669" spans="1:21" x14ac:dyDescent="0.25">
      <c r="A669" s="12" t="s">
        <v>188</v>
      </c>
      <c r="B669" s="13" t="s">
        <v>115</v>
      </c>
      <c r="C669" s="14"/>
      <c r="D669" s="40" t="s">
        <v>195</v>
      </c>
      <c r="E669" s="42" t="s">
        <v>86</v>
      </c>
      <c r="F669" s="42"/>
      <c r="G669" s="42"/>
      <c r="H669" s="10"/>
      <c r="I669" s="16" t="s">
        <v>89</v>
      </c>
      <c r="J669" s="9">
        <f>6.5-J670</f>
        <v>4.45</v>
      </c>
      <c r="K669" s="9">
        <v>2</v>
      </c>
      <c r="L669" s="9"/>
      <c r="M669" s="9">
        <f>0.7*2</f>
        <v>1.4</v>
      </c>
      <c r="N669" s="9"/>
      <c r="O669" s="9"/>
      <c r="P669" s="9"/>
      <c r="Q669" s="9"/>
      <c r="R669" s="9"/>
      <c r="S669" s="23">
        <f t="shared" si="12"/>
        <v>7.5</v>
      </c>
      <c r="T669" s="24"/>
      <c r="U669" s="8"/>
    </row>
    <row r="670" spans="1:21" x14ac:dyDescent="0.25">
      <c r="A670" s="12" t="s">
        <v>188</v>
      </c>
      <c r="B670" s="13" t="s">
        <v>115</v>
      </c>
      <c r="C670" s="14"/>
      <c r="D670" s="40" t="s">
        <v>195</v>
      </c>
      <c r="E670" s="42" t="s">
        <v>86</v>
      </c>
      <c r="F670" s="42"/>
      <c r="G670" s="42"/>
      <c r="H670" s="10"/>
      <c r="I670" s="16" t="s">
        <v>146</v>
      </c>
      <c r="J670" s="9">
        <v>2.0499999999999998</v>
      </c>
      <c r="K670" s="9">
        <v>2</v>
      </c>
      <c r="L670" s="9"/>
      <c r="M670" s="9"/>
      <c r="N670" s="9"/>
      <c r="O670" s="9"/>
      <c r="P670" s="9"/>
      <c r="Q670" s="9"/>
      <c r="R670" s="9"/>
      <c r="S670" s="23">
        <f t="shared" si="12"/>
        <v>4.0999999999999996</v>
      </c>
      <c r="T670" s="24"/>
      <c r="U670" s="8"/>
    </row>
    <row r="671" spans="1:21" x14ac:dyDescent="0.25">
      <c r="A671" s="12" t="s">
        <v>188</v>
      </c>
      <c r="B671" s="13" t="s">
        <v>115</v>
      </c>
      <c r="C671" s="14"/>
      <c r="D671" s="40" t="s">
        <v>195</v>
      </c>
      <c r="E671" s="42"/>
      <c r="F671" s="42"/>
      <c r="G671" s="42" t="s">
        <v>82</v>
      </c>
      <c r="H671" s="10"/>
      <c r="I671" s="16"/>
      <c r="J671" s="9">
        <f>J669</f>
        <v>4.45</v>
      </c>
      <c r="K671" s="9">
        <v>0.5</v>
      </c>
      <c r="L671" s="9"/>
      <c r="M671" s="9"/>
      <c r="N671" s="9"/>
      <c r="O671" s="9"/>
      <c r="P671" s="9"/>
      <c r="Q671" s="9"/>
      <c r="R671" s="9"/>
      <c r="S671" s="23">
        <f t="shared" si="12"/>
        <v>2.2250000000000001</v>
      </c>
      <c r="T671" s="24"/>
      <c r="U671" s="8"/>
    </row>
    <row r="672" spans="1:21" x14ac:dyDescent="0.25">
      <c r="A672" s="12" t="s">
        <v>188</v>
      </c>
      <c r="B672" s="13" t="s">
        <v>115</v>
      </c>
      <c r="C672" s="14"/>
      <c r="D672" s="40" t="s">
        <v>195</v>
      </c>
      <c r="E672" s="42"/>
      <c r="F672" s="42" t="s">
        <v>84</v>
      </c>
      <c r="G672" s="42"/>
      <c r="H672" s="10"/>
      <c r="I672" s="16"/>
      <c r="J672" s="9">
        <f>J670</f>
        <v>2.0499999999999998</v>
      </c>
      <c r="K672" s="9">
        <v>0.5</v>
      </c>
      <c r="L672" s="9"/>
      <c r="M672" s="9"/>
      <c r="N672" s="9"/>
      <c r="O672" s="9"/>
      <c r="P672" s="9"/>
      <c r="Q672" s="9"/>
      <c r="R672" s="9"/>
      <c r="S672" s="23">
        <f t="shared" si="12"/>
        <v>1.0249999999999999</v>
      </c>
      <c r="T672" s="24"/>
      <c r="U672" s="8"/>
    </row>
    <row r="673" spans="1:21" x14ac:dyDescent="0.25">
      <c r="A673" s="12" t="s">
        <v>188</v>
      </c>
      <c r="B673" s="13" t="s">
        <v>116</v>
      </c>
      <c r="C673" s="14"/>
      <c r="D673" s="40" t="s">
        <v>195</v>
      </c>
      <c r="E673" s="42" t="s">
        <v>86</v>
      </c>
      <c r="F673" s="42"/>
      <c r="G673" s="42"/>
      <c r="H673" s="10"/>
      <c r="I673" s="16" t="s">
        <v>89</v>
      </c>
      <c r="J673" s="9">
        <f>5.6-J674</f>
        <v>3.9999999999999996</v>
      </c>
      <c r="K673" s="9">
        <v>2</v>
      </c>
      <c r="L673" s="9"/>
      <c r="M673" s="9">
        <f>0.7*2</f>
        <v>1.4</v>
      </c>
      <c r="N673" s="9"/>
      <c r="O673" s="9"/>
      <c r="P673" s="9"/>
      <c r="Q673" s="9"/>
      <c r="R673" s="9"/>
      <c r="S673" s="23">
        <f t="shared" si="12"/>
        <v>6.6</v>
      </c>
      <c r="T673" s="24"/>
      <c r="U673" s="8"/>
    </row>
    <row r="674" spans="1:21" x14ac:dyDescent="0.25">
      <c r="A674" s="12" t="s">
        <v>188</v>
      </c>
      <c r="B674" s="13" t="s">
        <v>116</v>
      </c>
      <c r="C674" s="14"/>
      <c r="D674" s="40" t="s">
        <v>195</v>
      </c>
      <c r="E674" s="42" t="s">
        <v>86</v>
      </c>
      <c r="F674" s="42"/>
      <c r="G674" s="42"/>
      <c r="H674" s="10"/>
      <c r="I674" s="16" t="s">
        <v>146</v>
      </c>
      <c r="J674" s="9">
        <v>1.6</v>
      </c>
      <c r="K674" s="9">
        <v>2</v>
      </c>
      <c r="L674" s="9"/>
      <c r="M674" s="9"/>
      <c r="N674" s="9"/>
      <c r="O674" s="9"/>
      <c r="P674" s="9"/>
      <c r="Q674" s="9"/>
      <c r="R674" s="9"/>
      <c r="S674" s="23">
        <f t="shared" si="12"/>
        <v>3.2</v>
      </c>
      <c r="T674" s="24"/>
      <c r="U674" s="8"/>
    </row>
    <row r="675" spans="1:21" x14ac:dyDescent="0.25">
      <c r="A675" s="12" t="s">
        <v>188</v>
      </c>
      <c r="B675" s="13" t="s">
        <v>116</v>
      </c>
      <c r="C675" s="14"/>
      <c r="D675" s="40" t="s">
        <v>195</v>
      </c>
      <c r="E675" s="42"/>
      <c r="F675" s="42"/>
      <c r="G675" s="42" t="s">
        <v>82</v>
      </c>
      <c r="H675" s="10"/>
      <c r="I675" s="16"/>
      <c r="J675" s="9">
        <f>J673</f>
        <v>3.9999999999999996</v>
      </c>
      <c r="K675" s="9">
        <v>0.5</v>
      </c>
      <c r="L675" s="9"/>
      <c r="M675" s="9"/>
      <c r="N675" s="9"/>
      <c r="O675" s="9"/>
      <c r="P675" s="9"/>
      <c r="Q675" s="9"/>
      <c r="R675" s="9"/>
      <c r="S675" s="23">
        <f t="shared" si="12"/>
        <v>1.9999999999999998</v>
      </c>
      <c r="T675" s="24"/>
      <c r="U675" s="8"/>
    </row>
    <row r="676" spans="1:21" x14ac:dyDescent="0.25">
      <c r="A676" s="12" t="s">
        <v>188</v>
      </c>
      <c r="B676" s="13" t="s">
        <v>116</v>
      </c>
      <c r="C676" s="14"/>
      <c r="D676" s="40" t="s">
        <v>195</v>
      </c>
      <c r="E676" s="42"/>
      <c r="F676" s="42" t="s">
        <v>84</v>
      </c>
      <c r="G676" s="42"/>
      <c r="H676" s="10"/>
      <c r="I676" s="16"/>
      <c r="J676" s="9">
        <f>J674</f>
        <v>1.6</v>
      </c>
      <c r="K676" s="9">
        <v>0.5</v>
      </c>
      <c r="L676" s="9"/>
      <c r="M676" s="9"/>
      <c r="N676" s="9"/>
      <c r="O676" s="9"/>
      <c r="P676" s="9"/>
      <c r="Q676" s="9"/>
      <c r="R676" s="9"/>
      <c r="S676" s="23">
        <f t="shared" si="12"/>
        <v>0.8</v>
      </c>
      <c r="T676" s="24"/>
      <c r="U676" s="8"/>
    </row>
    <row r="677" spans="1:21" x14ac:dyDescent="0.25">
      <c r="A677" s="12" t="s">
        <v>188</v>
      </c>
      <c r="B677" s="13" t="s">
        <v>117</v>
      </c>
      <c r="C677" s="14"/>
      <c r="D677" s="40"/>
      <c r="E677" s="42"/>
      <c r="F677" s="42" t="s">
        <v>84</v>
      </c>
      <c r="G677" s="42"/>
      <c r="H677" s="10"/>
      <c r="I677" s="16" t="s">
        <v>142</v>
      </c>
      <c r="J677" s="9">
        <f>(0.13+0.19+2.31+0.25)+(0.25+1.455+0.19+0.13)</f>
        <v>4.9049999999999994</v>
      </c>
      <c r="K677" s="9">
        <v>2.7</v>
      </c>
      <c r="L677" s="9"/>
      <c r="M677" s="9"/>
      <c r="N677" s="9"/>
      <c r="O677" s="9"/>
      <c r="P677" s="9"/>
      <c r="Q677" s="9"/>
      <c r="R677" s="9"/>
      <c r="S677" s="23">
        <f t="shared" si="12"/>
        <v>13.243499999999999</v>
      </c>
      <c r="T677" s="24"/>
      <c r="U677" s="8"/>
    </row>
    <row r="678" spans="1:21" x14ac:dyDescent="0.25">
      <c r="A678" s="12" t="s">
        <v>188</v>
      </c>
      <c r="B678" s="13" t="s">
        <v>117</v>
      </c>
      <c r="C678" s="14"/>
      <c r="D678" s="40"/>
      <c r="E678" s="42"/>
      <c r="F678" s="42" t="s">
        <v>84</v>
      </c>
      <c r="G678" s="42"/>
      <c r="H678" s="10"/>
      <c r="I678" s="16" t="s">
        <v>142</v>
      </c>
      <c r="J678" s="9">
        <f>6.75</f>
        <v>6.75</v>
      </c>
      <c r="K678" s="9">
        <v>2.7</v>
      </c>
      <c r="L678" s="9"/>
      <c r="M678" s="9">
        <f>0.9*2.5</f>
        <v>2.25</v>
      </c>
      <c r="N678" s="9"/>
      <c r="O678" s="9"/>
      <c r="P678" s="9"/>
      <c r="Q678" s="9"/>
      <c r="R678" s="9"/>
      <c r="S678" s="23">
        <f t="shared" si="12"/>
        <v>15.975000000000001</v>
      </c>
      <c r="T678" s="24"/>
      <c r="U678" s="8"/>
    </row>
    <row r="679" spans="1:21" x14ac:dyDescent="0.25">
      <c r="A679" s="12" t="s">
        <v>188</v>
      </c>
      <c r="B679" s="13" t="s">
        <v>117</v>
      </c>
      <c r="C679" s="14"/>
      <c r="D679" s="40"/>
      <c r="E679" s="42"/>
      <c r="F679" s="42" t="s">
        <v>85</v>
      </c>
      <c r="G679" s="42"/>
      <c r="H679" s="10"/>
      <c r="I679" s="16" t="s">
        <v>142</v>
      </c>
      <c r="J679" s="9">
        <f>0.45+0.65</f>
        <v>1.1000000000000001</v>
      </c>
      <c r="K679" s="9">
        <v>2.7</v>
      </c>
      <c r="L679" s="9"/>
      <c r="M679" s="9"/>
      <c r="N679" s="9"/>
      <c r="O679" s="9"/>
      <c r="P679" s="9"/>
      <c r="Q679" s="9"/>
      <c r="R679" s="9"/>
      <c r="S679" s="23">
        <f t="shared" si="12"/>
        <v>2.9700000000000006</v>
      </c>
      <c r="T679" s="24"/>
      <c r="U679" s="8"/>
    </row>
    <row r="680" spans="1:21" x14ac:dyDescent="0.25">
      <c r="A680" s="12" t="s">
        <v>188</v>
      </c>
      <c r="B680" s="13" t="s">
        <v>117</v>
      </c>
      <c r="C680" s="14"/>
      <c r="D680" s="40"/>
      <c r="E680" s="42"/>
      <c r="F680" s="42"/>
      <c r="G680" s="42" t="s">
        <v>82</v>
      </c>
      <c r="H680" s="10"/>
      <c r="I680" s="16" t="s">
        <v>142</v>
      </c>
      <c r="J680" s="9">
        <f>(12.71-0.25+1*3)+(12.1+1*2)+(25.695+1*6)+(0.675+1+2.385-0.25)</f>
        <v>65.064999999999998</v>
      </c>
      <c r="K680" s="9">
        <v>2.7</v>
      </c>
      <c r="L680" s="9"/>
      <c r="M680" s="9">
        <f>1.1*2*12+1.55*2.425*3</f>
        <v>37.676250000000003</v>
      </c>
      <c r="N680" s="9"/>
      <c r="O680" s="9"/>
      <c r="P680" s="9"/>
      <c r="Q680" s="9"/>
      <c r="R680" s="9"/>
      <c r="S680" s="23">
        <f t="shared" si="12"/>
        <v>137.99924999999999</v>
      </c>
      <c r="T680" s="24"/>
      <c r="U680" s="8"/>
    </row>
    <row r="681" spans="1:21" x14ac:dyDescent="0.25">
      <c r="A681" s="12" t="s">
        <v>188</v>
      </c>
      <c r="B681" s="13" t="s">
        <v>117</v>
      </c>
      <c r="C681" s="14"/>
      <c r="D681" s="40"/>
      <c r="E681" s="42"/>
      <c r="F681" s="42" t="s">
        <v>83</v>
      </c>
      <c r="G681" s="42"/>
      <c r="H681" s="10"/>
      <c r="I681" s="16" t="s">
        <v>149</v>
      </c>
      <c r="J681" s="9">
        <f>51.62-J682</f>
        <v>21.119999999999997</v>
      </c>
      <c r="K681" s="9">
        <v>2.7</v>
      </c>
      <c r="L681" s="9"/>
      <c r="M681" s="9">
        <f>1.1*2+0.8*2+1.3*2+0.8*2</f>
        <v>8</v>
      </c>
      <c r="N681" s="9">
        <f>1.47*2.5+6.8*2.5</f>
        <v>20.675000000000001</v>
      </c>
      <c r="O681" s="9"/>
      <c r="P681" s="9"/>
      <c r="Q681" s="9"/>
      <c r="R681" s="9"/>
      <c r="S681" s="23">
        <f t="shared" si="12"/>
        <v>28.348999999999993</v>
      </c>
      <c r="T681" s="24"/>
      <c r="U681" s="8"/>
    </row>
    <row r="682" spans="1:21" x14ac:dyDescent="0.25">
      <c r="A682" s="12" t="s">
        <v>188</v>
      </c>
      <c r="B682" s="13" t="s">
        <v>117</v>
      </c>
      <c r="C682" s="14"/>
      <c r="D682" s="40"/>
      <c r="E682" s="42"/>
      <c r="F682" s="42" t="s">
        <v>84</v>
      </c>
      <c r="G682" s="42"/>
      <c r="H682" s="10"/>
      <c r="I682" s="16" t="s">
        <v>149</v>
      </c>
      <c r="J682" s="9">
        <f>7.1+11.7*2</f>
        <v>30.5</v>
      </c>
      <c r="K682" s="9">
        <v>2.7</v>
      </c>
      <c r="L682" s="9">
        <f>3.05*2+2*2+3.1*2+3.05*2+2*2</f>
        <v>26.4</v>
      </c>
      <c r="M682" s="9"/>
      <c r="N682" s="9"/>
      <c r="O682" s="9"/>
      <c r="P682" s="9"/>
      <c r="Q682" s="9"/>
      <c r="R682" s="9"/>
      <c r="S682" s="23">
        <f t="shared" si="12"/>
        <v>55.95000000000001</v>
      </c>
      <c r="T682" s="24"/>
      <c r="U682" s="8"/>
    </row>
    <row r="683" spans="1:21" x14ac:dyDescent="0.25">
      <c r="A683" s="12" t="s">
        <v>188</v>
      </c>
      <c r="B683" s="13" t="s">
        <v>117</v>
      </c>
      <c r="C683" s="14"/>
      <c r="D683" s="40"/>
      <c r="E683" s="42"/>
      <c r="F683" s="42" t="s">
        <v>84</v>
      </c>
      <c r="G683" s="42"/>
      <c r="H683" s="10"/>
      <c r="I683" s="16" t="s">
        <v>148</v>
      </c>
      <c r="J683" s="9">
        <f>2.7*2</f>
        <v>5.4</v>
      </c>
      <c r="K683" s="9">
        <v>2.7</v>
      </c>
      <c r="L683" s="9"/>
      <c r="M683" s="9">
        <f>2.5*2.5*2</f>
        <v>12.5</v>
      </c>
      <c r="N683" s="9"/>
      <c r="O683" s="9"/>
      <c r="P683" s="9"/>
      <c r="Q683" s="9"/>
      <c r="R683" s="9"/>
      <c r="S683" s="23">
        <f t="shared" si="12"/>
        <v>2.0800000000000018</v>
      </c>
      <c r="T683" s="24"/>
      <c r="U683" s="8"/>
    </row>
    <row r="684" spans="1:21" x14ac:dyDescent="0.25">
      <c r="A684" s="12" t="s">
        <v>188</v>
      </c>
      <c r="B684" s="13" t="s">
        <v>117</v>
      </c>
      <c r="C684" s="14"/>
      <c r="D684" s="40"/>
      <c r="E684" s="42"/>
      <c r="F684" s="42"/>
      <c r="G684" s="42" t="s">
        <v>82</v>
      </c>
      <c r="H684" s="10"/>
      <c r="I684" s="16" t="s">
        <v>148</v>
      </c>
      <c r="J684" s="9">
        <f>(18.89-2.7)*2</f>
        <v>32.380000000000003</v>
      </c>
      <c r="K684" s="9">
        <v>2.7</v>
      </c>
      <c r="L684" s="9"/>
      <c r="M684" s="9">
        <f>(1.55*2.425+1.1*2)*2</f>
        <v>11.9175</v>
      </c>
      <c r="N684" s="9"/>
      <c r="O684" s="9">
        <f>(4.91*2+1.7)*0.2+(4.475*2+1.7)*0.2</f>
        <v>4.4339999999999993</v>
      </c>
      <c r="P684" s="9"/>
      <c r="Q684" s="9"/>
      <c r="R684" s="9"/>
      <c r="S684" s="23">
        <f t="shared" si="12"/>
        <v>71.074500000000015</v>
      </c>
      <c r="T684" s="24"/>
      <c r="U684" s="8"/>
    </row>
    <row r="685" spans="1:21" x14ac:dyDescent="0.25">
      <c r="A685" s="12" t="s">
        <v>188</v>
      </c>
      <c r="B685" s="13" t="s">
        <v>118</v>
      </c>
      <c r="C685" s="14"/>
      <c r="D685" s="40"/>
      <c r="E685" s="42" t="s">
        <v>86</v>
      </c>
      <c r="F685" s="42"/>
      <c r="G685" s="42"/>
      <c r="H685" s="10"/>
      <c r="I685" s="16" t="s">
        <v>89</v>
      </c>
      <c r="J685" s="9">
        <f>2.4+4.385</f>
        <v>6.7850000000000001</v>
      </c>
      <c r="K685" s="9">
        <v>2</v>
      </c>
      <c r="L685" s="9"/>
      <c r="M685" s="9"/>
      <c r="N685" s="9"/>
      <c r="O685" s="9"/>
      <c r="P685" s="9"/>
      <c r="Q685" s="9"/>
      <c r="R685" s="9"/>
      <c r="S685" s="23">
        <f t="shared" si="12"/>
        <v>13.57</v>
      </c>
      <c r="T685" s="24"/>
      <c r="U685" s="8"/>
    </row>
    <row r="686" spans="1:21" x14ac:dyDescent="0.25">
      <c r="A686" s="12" t="s">
        <v>188</v>
      </c>
      <c r="B686" s="13" t="s">
        <v>118</v>
      </c>
      <c r="C686" s="14"/>
      <c r="D686" s="40"/>
      <c r="E686" s="42" t="s">
        <v>86</v>
      </c>
      <c r="F686" s="42"/>
      <c r="G686" s="42"/>
      <c r="H686" s="10"/>
      <c r="I686" s="16" t="s">
        <v>147</v>
      </c>
      <c r="J686" s="9">
        <f>2.4+4.385</f>
        <v>6.7850000000000001</v>
      </c>
      <c r="K686" s="9">
        <v>2</v>
      </c>
      <c r="L686" s="9"/>
      <c r="M686" s="9">
        <f>0.9*2*2</f>
        <v>3.6</v>
      </c>
      <c r="N686" s="9"/>
      <c r="O686" s="9"/>
      <c r="P686" s="9"/>
      <c r="Q686" s="9"/>
      <c r="R686" s="9"/>
      <c r="S686" s="23">
        <f t="shared" si="12"/>
        <v>9.9700000000000006</v>
      </c>
      <c r="T686" s="24"/>
      <c r="U686" s="8"/>
    </row>
    <row r="687" spans="1:21" x14ac:dyDescent="0.25">
      <c r="A687" s="12" t="s">
        <v>188</v>
      </c>
      <c r="B687" s="13" t="s">
        <v>118</v>
      </c>
      <c r="C687" s="14"/>
      <c r="D687" s="40"/>
      <c r="E687" s="42"/>
      <c r="F687" s="42" t="s">
        <v>84</v>
      </c>
      <c r="G687" s="42"/>
      <c r="H687" s="10"/>
      <c r="I687" s="16"/>
      <c r="J687" s="9">
        <f>J686</f>
        <v>6.7850000000000001</v>
      </c>
      <c r="K687" s="9">
        <f t="shared" ref="K687:K688" si="13">2.5-2</f>
        <v>0.5</v>
      </c>
      <c r="L687" s="9"/>
      <c r="M687" s="9">
        <f>0.9*0.5*2</f>
        <v>0.9</v>
      </c>
      <c r="N687" s="9"/>
      <c r="O687" s="9"/>
      <c r="P687" s="9"/>
      <c r="Q687" s="9"/>
      <c r="R687" s="9"/>
      <c r="S687" s="23">
        <f t="shared" si="12"/>
        <v>2.4925000000000002</v>
      </c>
      <c r="T687" s="24"/>
      <c r="U687" s="8"/>
    </row>
    <row r="688" spans="1:21" x14ac:dyDescent="0.25">
      <c r="A688" s="12" t="s">
        <v>188</v>
      </c>
      <c r="B688" s="13" t="s">
        <v>118</v>
      </c>
      <c r="C688" s="14"/>
      <c r="D688" s="40"/>
      <c r="E688" s="42"/>
      <c r="F688" s="42"/>
      <c r="G688" s="42" t="s">
        <v>82</v>
      </c>
      <c r="H688" s="10"/>
      <c r="I688" s="16"/>
      <c r="J688" s="9">
        <f>J685</f>
        <v>6.7850000000000001</v>
      </c>
      <c r="K688" s="9">
        <f t="shared" si="13"/>
        <v>0.5</v>
      </c>
      <c r="L688" s="9"/>
      <c r="M688" s="9"/>
      <c r="N688" s="9"/>
      <c r="O688" s="9"/>
      <c r="P688" s="9"/>
      <c r="Q688" s="9"/>
      <c r="R688" s="9"/>
      <c r="S688" s="23">
        <f t="shared" si="12"/>
        <v>3.3925000000000001</v>
      </c>
      <c r="T688" s="24"/>
      <c r="U688" s="8"/>
    </row>
    <row r="689" spans="1:21" x14ac:dyDescent="0.25">
      <c r="A689" s="12" t="s">
        <v>188</v>
      </c>
      <c r="B689" s="13" t="s">
        <v>119</v>
      </c>
      <c r="C689" s="14"/>
      <c r="D689" s="40"/>
      <c r="E689" s="42" t="s">
        <v>86</v>
      </c>
      <c r="F689" s="42"/>
      <c r="G689" s="42"/>
      <c r="H689" s="10"/>
      <c r="I689" s="16" t="s">
        <v>89</v>
      </c>
      <c r="J689" s="9">
        <v>0.6</v>
      </c>
      <c r="K689" s="9">
        <v>0.8</v>
      </c>
      <c r="L689" s="9"/>
      <c r="M689" s="9"/>
      <c r="N689" s="9"/>
      <c r="O689" s="9"/>
      <c r="P689" s="9"/>
      <c r="Q689" s="9"/>
      <c r="R689" s="9"/>
      <c r="S689" s="23">
        <f t="shared" si="12"/>
        <v>0.48</v>
      </c>
      <c r="T689" s="24"/>
      <c r="U689" s="8"/>
    </row>
    <row r="690" spans="1:21" x14ac:dyDescent="0.25">
      <c r="A690" s="12" t="s">
        <v>188</v>
      </c>
      <c r="B690" s="13" t="s">
        <v>119</v>
      </c>
      <c r="C690" s="14"/>
      <c r="D690" s="40"/>
      <c r="E690" s="42" t="s">
        <v>86</v>
      </c>
      <c r="F690" s="42"/>
      <c r="G690" s="42"/>
      <c r="H690" s="10"/>
      <c r="I690" s="16" t="s">
        <v>147</v>
      </c>
      <c r="J690" s="9">
        <f>5.19+0.6</f>
        <v>5.79</v>
      </c>
      <c r="K690" s="9">
        <v>0.8</v>
      </c>
      <c r="L690" s="9"/>
      <c r="M690" s="9"/>
      <c r="N690" s="9"/>
      <c r="O690" s="9"/>
      <c r="P690" s="9"/>
      <c r="Q690" s="9"/>
      <c r="R690" s="9"/>
      <c r="S690" s="23">
        <f t="shared" si="12"/>
        <v>4.6320000000000006</v>
      </c>
      <c r="T690" s="24"/>
      <c r="U690" s="8"/>
    </row>
    <row r="691" spans="1:21" x14ac:dyDescent="0.25">
      <c r="A691" s="12" t="s">
        <v>188</v>
      </c>
      <c r="B691" s="13" t="s">
        <v>119</v>
      </c>
      <c r="C691" s="14"/>
      <c r="D691" s="40"/>
      <c r="E691" s="42"/>
      <c r="F691" s="42" t="s">
        <v>83</v>
      </c>
      <c r="G691" s="42"/>
      <c r="H691" s="10"/>
      <c r="I691" s="16"/>
      <c r="J691" s="9">
        <f>2.88-0.6</f>
        <v>2.2799999999999998</v>
      </c>
      <c r="K691" s="9">
        <v>2.5</v>
      </c>
      <c r="L691" s="9"/>
      <c r="M691" s="9">
        <f>1.47*2.5</f>
        <v>3.6749999999999998</v>
      </c>
      <c r="N691" s="9"/>
      <c r="O691" s="9"/>
      <c r="P691" s="9"/>
      <c r="Q691" s="9"/>
      <c r="R691" s="9"/>
      <c r="S691" s="23">
        <f t="shared" si="12"/>
        <v>2.0249999999999995</v>
      </c>
      <c r="T691" s="24"/>
      <c r="U691" s="8"/>
    </row>
    <row r="692" spans="1:21" x14ac:dyDescent="0.25">
      <c r="A692" s="12" t="s">
        <v>188</v>
      </c>
      <c r="B692" s="13" t="s">
        <v>119</v>
      </c>
      <c r="C692" s="14"/>
      <c r="D692" s="40"/>
      <c r="E692" s="42"/>
      <c r="F692" s="42" t="s">
        <v>84</v>
      </c>
      <c r="G692" s="42"/>
      <c r="H692" s="10"/>
      <c r="I692" s="16"/>
      <c r="J692" s="9">
        <f>6.8+2.88-1.6</f>
        <v>8.08</v>
      </c>
      <c r="K692" s="9">
        <v>2.5</v>
      </c>
      <c r="L692" s="9">
        <f>1.9*2</f>
        <v>3.8</v>
      </c>
      <c r="M692" s="9"/>
      <c r="N692" s="9"/>
      <c r="O692" s="9">
        <f>S690</f>
        <v>4.6320000000000006</v>
      </c>
      <c r="P692" s="9"/>
      <c r="Q692" s="9"/>
      <c r="R692" s="9"/>
      <c r="S692" s="23">
        <f t="shared" si="12"/>
        <v>11.767999999999997</v>
      </c>
      <c r="T692" s="24"/>
      <c r="U692" s="8"/>
    </row>
    <row r="693" spans="1:21" x14ac:dyDescent="0.25">
      <c r="A693" s="12" t="s">
        <v>188</v>
      </c>
      <c r="B693" s="13" t="s">
        <v>119</v>
      </c>
      <c r="C693" s="14"/>
      <c r="D693" s="40"/>
      <c r="E693" s="42"/>
      <c r="F693" s="42"/>
      <c r="G693" s="42" t="s">
        <v>82</v>
      </c>
      <c r="H693" s="10"/>
      <c r="I693" s="16"/>
      <c r="J693" s="9">
        <f>1.6+0.6</f>
        <v>2.2000000000000002</v>
      </c>
      <c r="K693" s="9">
        <v>2.5</v>
      </c>
      <c r="L693" s="9"/>
      <c r="M693" s="9"/>
      <c r="N693" s="9"/>
      <c r="O693" s="9">
        <f>S689</f>
        <v>0.48</v>
      </c>
      <c r="P693" s="9"/>
      <c r="Q693" s="9"/>
      <c r="R693" s="9"/>
      <c r="S693" s="23">
        <f t="shared" si="12"/>
        <v>5.0199999999999996</v>
      </c>
      <c r="T693" s="24"/>
      <c r="U693" s="8"/>
    </row>
    <row r="694" spans="1:21" x14ac:dyDescent="0.25">
      <c r="A694" s="12" t="s">
        <v>188</v>
      </c>
      <c r="B694" s="13" t="s">
        <v>120</v>
      </c>
      <c r="C694" s="14"/>
      <c r="D694" s="40"/>
      <c r="E694" s="42"/>
      <c r="F694" s="42" t="s">
        <v>83</v>
      </c>
      <c r="G694" s="42"/>
      <c r="H694" s="10"/>
      <c r="I694" s="16"/>
      <c r="J694" s="9">
        <v>1.77</v>
      </c>
      <c r="K694" s="9">
        <v>2.5</v>
      </c>
      <c r="L694" s="9"/>
      <c r="M694" s="9">
        <f>0.8*2</f>
        <v>1.6</v>
      </c>
      <c r="N694" s="9"/>
      <c r="O694" s="9"/>
      <c r="P694" s="9"/>
      <c r="Q694" s="9"/>
      <c r="R694" s="9"/>
      <c r="S694" s="23">
        <f t="shared" si="12"/>
        <v>2.8249999999999997</v>
      </c>
      <c r="T694" s="24"/>
      <c r="U694" s="8"/>
    </row>
    <row r="695" spans="1:21" x14ac:dyDescent="0.25">
      <c r="A695" s="12" t="s">
        <v>188</v>
      </c>
      <c r="B695" s="13" t="s">
        <v>120</v>
      </c>
      <c r="C695" s="14"/>
      <c r="D695" s="40"/>
      <c r="E695" s="42"/>
      <c r="F695" s="42" t="s">
        <v>84</v>
      </c>
      <c r="G695" s="42"/>
      <c r="H695" s="10"/>
      <c r="I695" s="16"/>
      <c r="J695" s="9">
        <v>2.6</v>
      </c>
      <c r="K695" s="9">
        <v>2.5</v>
      </c>
      <c r="L695" s="9"/>
      <c r="M695" s="9"/>
      <c r="N695" s="9"/>
      <c r="O695" s="9"/>
      <c r="P695" s="9"/>
      <c r="Q695" s="9"/>
      <c r="R695" s="9"/>
      <c r="S695" s="23">
        <f t="shared" si="12"/>
        <v>6.5</v>
      </c>
      <c r="T695" s="24"/>
      <c r="U695" s="8"/>
    </row>
    <row r="696" spans="1:21" x14ac:dyDescent="0.25">
      <c r="A696" s="12" t="s">
        <v>188</v>
      </c>
      <c r="B696" s="13" t="s">
        <v>120</v>
      </c>
      <c r="C696" s="14"/>
      <c r="D696" s="40"/>
      <c r="E696" s="42"/>
      <c r="F696" s="42"/>
      <c r="G696" s="42" t="s">
        <v>82</v>
      </c>
      <c r="H696" s="10"/>
      <c r="I696" s="16"/>
      <c r="J696" s="9">
        <f>8.74-J694-J695</f>
        <v>4.370000000000001</v>
      </c>
      <c r="K696" s="9">
        <v>2.5</v>
      </c>
      <c r="L696" s="9"/>
      <c r="M696" s="9"/>
      <c r="N696" s="9"/>
      <c r="O696" s="9"/>
      <c r="P696" s="9"/>
      <c r="Q696" s="9"/>
      <c r="R696" s="9"/>
      <c r="S696" s="23">
        <f t="shared" si="12"/>
        <v>10.925000000000002</v>
      </c>
      <c r="T696" s="24"/>
      <c r="U696" s="8"/>
    </row>
    <row r="697" spans="1:21" x14ac:dyDescent="0.25">
      <c r="A697" s="12" t="s">
        <v>188</v>
      </c>
      <c r="B697" s="13" t="s">
        <v>121</v>
      </c>
      <c r="C697" s="14"/>
      <c r="D697" s="40" t="s">
        <v>195</v>
      </c>
      <c r="E697" s="42" t="s">
        <v>86</v>
      </c>
      <c r="F697" s="42"/>
      <c r="G697" s="42"/>
      <c r="H697" s="10"/>
      <c r="I697" s="16" t="s">
        <v>89</v>
      </c>
      <c r="J697" s="9">
        <f>0.9+1.45</f>
        <v>2.35</v>
      </c>
      <c r="K697" s="9">
        <v>2</v>
      </c>
      <c r="L697" s="9"/>
      <c r="M697" s="9"/>
      <c r="N697" s="9"/>
      <c r="O697" s="9"/>
      <c r="P697" s="9"/>
      <c r="Q697" s="9"/>
      <c r="R697" s="9"/>
      <c r="S697" s="23">
        <f t="shared" si="12"/>
        <v>4.7</v>
      </c>
      <c r="T697" s="24"/>
      <c r="U697" s="8"/>
    </row>
    <row r="698" spans="1:21" x14ac:dyDescent="0.25">
      <c r="A698" s="12" t="s">
        <v>188</v>
      </c>
      <c r="B698" s="13" t="s">
        <v>121</v>
      </c>
      <c r="C698" s="14"/>
      <c r="D698" s="40" t="s">
        <v>195</v>
      </c>
      <c r="E698" s="42" t="s">
        <v>86</v>
      </c>
      <c r="F698" s="42"/>
      <c r="G698" s="42"/>
      <c r="H698" s="10"/>
      <c r="I698" s="16" t="s">
        <v>146</v>
      </c>
      <c r="J698" s="9">
        <f>0.9+1.45</f>
        <v>2.35</v>
      </c>
      <c r="K698" s="9">
        <v>2</v>
      </c>
      <c r="L698" s="9"/>
      <c r="M698" s="9">
        <f>1.3*2</f>
        <v>2.6</v>
      </c>
      <c r="N698" s="9"/>
      <c r="O698" s="9"/>
      <c r="P698" s="9"/>
      <c r="Q698" s="9"/>
      <c r="R698" s="9"/>
      <c r="S698" s="23">
        <f t="shared" si="12"/>
        <v>2.1</v>
      </c>
      <c r="T698" s="24"/>
      <c r="U698" s="8"/>
    </row>
    <row r="699" spans="1:21" x14ac:dyDescent="0.25">
      <c r="A699" s="12" t="s">
        <v>188</v>
      </c>
      <c r="B699" s="13" t="s">
        <v>121</v>
      </c>
      <c r="C699" s="14"/>
      <c r="D699" s="40" t="s">
        <v>195</v>
      </c>
      <c r="E699" s="42"/>
      <c r="F699" s="42" t="s">
        <v>83</v>
      </c>
      <c r="G699" s="42"/>
      <c r="H699" s="10"/>
      <c r="I699" s="16"/>
      <c r="J699" s="9">
        <f>J698</f>
        <v>2.35</v>
      </c>
      <c r="K699" s="9">
        <v>0.5</v>
      </c>
      <c r="L699" s="9"/>
      <c r="M699" s="9"/>
      <c r="N699" s="9"/>
      <c r="O699" s="9"/>
      <c r="P699" s="9"/>
      <c r="Q699" s="9"/>
      <c r="R699" s="9"/>
      <c r="S699" s="23">
        <f t="shared" si="12"/>
        <v>1.175</v>
      </c>
      <c r="T699" s="24"/>
      <c r="U699" s="8"/>
    </row>
    <row r="700" spans="1:21" x14ac:dyDescent="0.25">
      <c r="A700" s="12" t="s">
        <v>188</v>
      </c>
      <c r="B700" s="13" t="s">
        <v>121</v>
      </c>
      <c r="C700" s="14"/>
      <c r="D700" s="40" t="s">
        <v>195</v>
      </c>
      <c r="E700" s="42"/>
      <c r="F700" s="42"/>
      <c r="G700" s="42" t="s">
        <v>82</v>
      </c>
      <c r="H700" s="10"/>
      <c r="I700" s="16"/>
      <c r="J700" s="9">
        <f>J697</f>
        <v>2.35</v>
      </c>
      <c r="K700" s="9">
        <v>0.5</v>
      </c>
      <c r="L700" s="9"/>
      <c r="M700" s="9"/>
      <c r="N700" s="9"/>
      <c r="O700" s="9"/>
      <c r="P700" s="9"/>
      <c r="Q700" s="9"/>
      <c r="R700" s="9"/>
      <c r="S700" s="23">
        <f t="shared" si="12"/>
        <v>1.175</v>
      </c>
      <c r="T700" s="24"/>
      <c r="U700" s="8"/>
    </row>
    <row r="701" spans="1:21" x14ac:dyDescent="0.25">
      <c r="A701" s="12" t="s">
        <v>188</v>
      </c>
      <c r="B701" s="13" t="s">
        <v>122</v>
      </c>
      <c r="C701" s="14"/>
      <c r="D701" s="40" t="s">
        <v>195</v>
      </c>
      <c r="E701" s="42" t="s">
        <v>86</v>
      </c>
      <c r="F701" s="42"/>
      <c r="G701" s="42"/>
      <c r="H701" s="10"/>
      <c r="I701" s="16" t="s">
        <v>89</v>
      </c>
      <c r="J701" s="9">
        <f>1.75+2.22*2</f>
        <v>6.19</v>
      </c>
      <c r="K701" s="9">
        <v>2</v>
      </c>
      <c r="L701" s="9"/>
      <c r="M701" s="9"/>
      <c r="N701" s="9"/>
      <c r="O701" s="9"/>
      <c r="P701" s="9"/>
      <c r="Q701" s="9"/>
      <c r="R701" s="9"/>
      <c r="S701" s="23">
        <f t="shared" si="12"/>
        <v>12.38</v>
      </c>
      <c r="T701" s="24"/>
      <c r="U701" s="8"/>
    </row>
    <row r="702" spans="1:21" x14ac:dyDescent="0.25">
      <c r="A702" s="12" t="s">
        <v>188</v>
      </c>
      <c r="B702" s="13" t="s">
        <v>122</v>
      </c>
      <c r="C702" s="14"/>
      <c r="D702" s="40" t="s">
        <v>195</v>
      </c>
      <c r="E702" s="42" t="s">
        <v>86</v>
      </c>
      <c r="F702" s="42"/>
      <c r="G702" s="42"/>
      <c r="H702" s="10"/>
      <c r="I702" s="16" t="s">
        <v>146</v>
      </c>
      <c r="J702" s="9">
        <v>1.75</v>
      </c>
      <c r="K702" s="9">
        <v>2</v>
      </c>
      <c r="L702" s="9"/>
      <c r="M702" s="9">
        <f>0.8*2</f>
        <v>1.6</v>
      </c>
      <c r="N702" s="9"/>
      <c r="O702" s="9"/>
      <c r="P702" s="9"/>
      <c r="Q702" s="9"/>
      <c r="R702" s="9"/>
      <c r="S702" s="23">
        <f t="shared" si="12"/>
        <v>1.9</v>
      </c>
      <c r="T702" s="24"/>
      <c r="U702" s="8"/>
    </row>
    <row r="703" spans="1:21" x14ac:dyDescent="0.25">
      <c r="A703" s="12" t="s">
        <v>188</v>
      </c>
      <c r="B703" s="13" t="s">
        <v>122</v>
      </c>
      <c r="C703" s="14"/>
      <c r="D703" s="40" t="s">
        <v>195</v>
      </c>
      <c r="E703" s="42"/>
      <c r="F703" s="42" t="s">
        <v>83</v>
      </c>
      <c r="G703" s="42"/>
      <c r="H703" s="10"/>
      <c r="I703" s="16"/>
      <c r="J703" s="9">
        <f>J702</f>
        <v>1.75</v>
      </c>
      <c r="K703" s="9">
        <v>0.5</v>
      </c>
      <c r="L703" s="9"/>
      <c r="M703" s="9"/>
      <c r="N703" s="9"/>
      <c r="O703" s="9"/>
      <c r="P703" s="9"/>
      <c r="Q703" s="9"/>
      <c r="R703" s="9"/>
      <c r="S703" s="23">
        <f t="shared" si="12"/>
        <v>0.875</v>
      </c>
      <c r="T703" s="24"/>
      <c r="U703" s="8"/>
    </row>
    <row r="704" spans="1:21" x14ac:dyDescent="0.25">
      <c r="A704" s="12" t="s">
        <v>188</v>
      </c>
      <c r="B704" s="13" t="s">
        <v>122</v>
      </c>
      <c r="C704" s="14"/>
      <c r="D704" s="40" t="s">
        <v>195</v>
      </c>
      <c r="E704" s="42"/>
      <c r="F704" s="42"/>
      <c r="G704" s="42" t="s">
        <v>82</v>
      </c>
      <c r="H704" s="10"/>
      <c r="I704" s="16"/>
      <c r="J704" s="9">
        <f>J701</f>
        <v>6.19</v>
      </c>
      <c r="K704" s="9">
        <v>0.5</v>
      </c>
      <c r="L704" s="9"/>
      <c r="M704" s="9"/>
      <c r="N704" s="9"/>
      <c r="O704" s="9"/>
      <c r="P704" s="9"/>
      <c r="Q704" s="9"/>
      <c r="R704" s="9"/>
      <c r="S704" s="23">
        <f t="shared" si="12"/>
        <v>3.0950000000000002</v>
      </c>
      <c r="T704" s="24"/>
      <c r="U704" s="8"/>
    </row>
    <row r="705" spans="1:21" x14ac:dyDescent="0.25">
      <c r="A705" s="12" t="s">
        <v>188</v>
      </c>
      <c r="B705" s="13" t="s">
        <v>123</v>
      </c>
      <c r="C705" s="14"/>
      <c r="D705" s="40" t="s">
        <v>195</v>
      </c>
      <c r="E705" s="42" t="s">
        <v>86</v>
      </c>
      <c r="F705" s="42"/>
      <c r="G705" s="42"/>
      <c r="H705" s="10"/>
      <c r="I705" s="16" t="s">
        <v>89</v>
      </c>
      <c r="J705" s="9">
        <f>3.8+3.67</f>
        <v>7.47</v>
      </c>
      <c r="K705" s="9">
        <v>2</v>
      </c>
      <c r="L705" s="9"/>
      <c r="M705" s="9"/>
      <c r="N705" s="9"/>
      <c r="O705" s="9"/>
      <c r="P705" s="9"/>
      <c r="Q705" s="9"/>
      <c r="R705" s="9"/>
      <c r="S705" s="23">
        <f t="shared" si="12"/>
        <v>14.94</v>
      </c>
      <c r="T705" s="24"/>
      <c r="U705" s="8"/>
    </row>
    <row r="706" spans="1:21" x14ac:dyDescent="0.25">
      <c r="A706" s="12" t="s">
        <v>188</v>
      </c>
      <c r="B706" s="13" t="s">
        <v>123</v>
      </c>
      <c r="C706" s="14"/>
      <c r="D706" s="40" t="s">
        <v>195</v>
      </c>
      <c r="E706" s="42" t="s">
        <v>86</v>
      </c>
      <c r="F706" s="42"/>
      <c r="G706" s="42"/>
      <c r="H706" s="10"/>
      <c r="I706" s="16" t="s">
        <v>146</v>
      </c>
      <c r="J706" s="9">
        <f>3.8</f>
        <v>3.8</v>
      </c>
      <c r="K706" s="9">
        <v>2</v>
      </c>
      <c r="L706" s="9"/>
      <c r="M706" s="9">
        <f>1.1*2</f>
        <v>2.2000000000000002</v>
      </c>
      <c r="N706" s="9"/>
      <c r="O706" s="9"/>
      <c r="P706" s="9"/>
      <c r="Q706" s="9"/>
      <c r="R706" s="9"/>
      <c r="S706" s="23">
        <f t="shared" si="12"/>
        <v>5.3999999999999995</v>
      </c>
      <c r="T706" s="24"/>
      <c r="U706" s="8"/>
    </row>
    <row r="707" spans="1:21" x14ac:dyDescent="0.25">
      <c r="A707" s="12" t="s">
        <v>188</v>
      </c>
      <c r="B707" s="13" t="s">
        <v>123</v>
      </c>
      <c r="C707" s="14"/>
      <c r="D707" s="40" t="s">
        <v>195</v>
      </c>
      <c r="E707" s="42" t="s">
        <v>86</v>
      </c>
      <c r="F707" s="42"/>
      <c r="G707" s="42"/>
      <c r="H707" s="10"/>
      <c r="I707" s="16" t="s">
        <v>147</v>
      </c>
      <c r="J707" s="9">
        <v>3.67</v>
      </c>
      <c r="K707" s="9">
        <v>2</v>
      </c>
      <c r="L707" s="9">
        <f>0.77*(2-0.5)</f>
        <v>1.155</v>
      </c>
      <c r="M707" s="9"/>
      <c r="N707" s="9"/>
      <c r="O707" s="9"/>
      <c r="P707" s="9"/>
      <c r="Q707" s="9"/>
      <c r="R707" s="9"/>
      <c r="S707" s="23">
        <f t="shared" si="12"/>
        <v>6.1849999999999996</v>
      </c>
      <c r="T707" s="24"/>
      <c r="U707" s="8"/>
    </row>
    <row r="708" spans="1:21" x14ac:dyDescent="0.25">
      <c r="A708" s="12" t="s">
        <v>188</v>
      </c>
      <c r="B708" s="13" t="s">
        <v>123</v>
      </c>
      <c r="C708" s="14"/>
      <c r="D708" s="40" t="s">
        <v>195</v>
      </c>
      <c r="E708" s="42"/>
      <c r="F708" s="42" t="s">
        <v>83</v>
      </c>
      <c r="G708" s="42"/>
      <c r="H708" s="10"/>
      <c r="I708" s="16"/>
      <c r="J708" s="9">
        <f>J706</f>
        <v>3.8</v>
      </c>
      <c r="K708" s="9">
        <v>0.5</v>
      </c>
      <c r="L708" s="9"/>
      <c r="M708" s="9"/>
      <c r="N708" s="9"/>
      <c r="O708" s="9"/>
      <c r="P708" s="9"/>
      <c r="Q708" s="9"/>
      <c r="R708" s="9"/>
      <c r="S708" s="23">
        <f t="shared" si="12"/>
        <v>1.9</v>
      </c>
      <c r="T708" s="24"/>
      <c r="U708" s="8"/>
    </row>
    <row r="709" spans="1:21" x14ac:dyDescent="0.25">
      <c r="A709" s="12" t="s">
        <v>188</v>
      </c>
      <c r="B709" s="13" t="s">
        <v>123</v>
      </c>
      <c r="C709" s="14"/>
      <c r="D709" s="40" t="s">
        <v>195</v>
      </c>
      <c r="E709" s="42"/>
      <c r="F709" s="42" t="s">
        <v>84</v>
      </c>
      <c r="G709" s="42"/>
      <c r="H709" s="10"/>
      <c r="I709" s="16"/>
      <c r="J709" s="9">
        <f>J707</f>
        <v>3.67</v>
      </c>
      <c r="K709" s="9">
        <v>0.5</v>
      </c>
      <c r="L709" s="9">
        <f>0.77*(2.5-2)</f>
        <v>0.38500000000000001</v>
      </c>
      <c r="M709" s="9"/>
      <c r="N709" s="9"/>
      <c r="O709" s="9"/>
      <c r="P709" s="9"/>
      <c r="Q709" s="9"/>
      <c r="R709" s="9"/>
      <c r="S709" s="23">
        <f t="shared" si="12"/>
        <v>1.45</v>
      </c>
      <c r="T709" s="24"/>
      <c r="U709" s="8"/>
    </row>
    <row r="710" spans="1:21" x14ac:dyDescent="0.25">
      <c r="A710" s="12" t="s">
        <v>188</v>
      </c>
      <c r="B710" s="13" t="s">
        <v>123</v>
      </c>
      <c r="C710" s="14"/>
      <c r="D710" s="40" t="s">
        <v>195</v>
      </c>
      <c r="E710" s="42"/>
      <c r="F710" s="42"/>
      <c r="G710" s="42" t="s">
        <v>82</v>
      </c>
      <c r="H710" s="10"/>
      <c r="I710" s="16"/>
      <c r="J710" s="9">
        <f>J705</f>
        <v>7.47</v>
      </c>
      <c r="K710" s="9">
        <v>0.5</v>
      </c>
      <c r="L710" s="9"/>
      <c r="M710" s="9"/>
      <c r="N710" s="9"/>
      <c r="O710" s="9"/>
      <c r="P710" s="9"/>
      <c r="Q710" s="9"/>
      <c r="R710" s="9"/>
      <c r="S710" s="23">
        <f t="shared" si="12"/>
        <v>3.7349999999999999</v>
      </c>
      <c r="T710" s="24"/>
      <c r="U710" s="8"/>
    </row>
    <row r="711" spans="1:21" x14ac:dyDescent="0.25">
      <c r="A711" s="12" t="s">
        <v>188</v>
      </c>
      <c r="B711" s="46" t="s">
        <v>70</v>
      </c>
      <c r="C711" s="14"/>
      <c r="D711" s="40"/>
      <c r="E711" s="42"/>
      <c r="F711" s="42" t="s">
        <v>84</v>
      </c>
      <c r="G711" s="42"/>
      <c r="H711" s="10"/>
      <c r="I711" s="16"/>
      <c r="J711" s="9">
        <f>20.45-J712</f>
        <v>13.125</v>
      </c>
      <c r="K711" s="9">
        <v>2.75</v>
      </c>
      <c r="L711" s="9">
        <f>2.04*2</f>
        <v>4.08</v>
      </c>
      <c r="M711" s="9"/>
      <c r="N711" s="9"/>
      <c r="O711" s="9">
        <f>(1.45+0.25)*0.25</f>
        <v>0.42499999999999999</v>
      </c>
      <c r="P711" s="9"/>
      <c r="Q711" s="9"/>
      <c r="R711" s="9"/>
      <c r="S711" s="23">
        <f t="shared" si="12"/>
        <v>31.588750000000001</v>
      </c>
      <c r="T711" s="24"/>
      <c r="U711" s="8"/>
    </row>
    <row r="712" spans="1:21" x14ac:dyDescent="0.25">
      <c r="A712" s="12" t="s">
        <v>188</v>
      </c>
      <c r="B712" s="46" t="s">
        <v>70</v>
      </c>
      <c r="C712" s="14"/>
      <c r="D712" s="40"/>
      <c r="E712" s="42"/>
      <c r="F712" s="42"/>
      <c r="G712" s="42" t="s">
        <v>82</v>
      </c>
      <c r="H712" s="10"/>
      <c r="I712" s="16"/>
      <c r="J712" s="9">
        <f>3.99+2.125+1.46-0.25</f>
        <v>7.3250000000000002</v>
      </c>
      <c r="K712" s="9">
        <v>2.75</v>
      </c>
      <c r="L712" s="9"/>
      <c r="M712" s="9">
        <f>1.1*2+1*2</f>
        <v>4.2</v>
      </c>
      <c r="N712" s="9"/>
      <c r="O712" s="9">
        <f>(2.125+1.45-0.25)*0.25</f>
        <v>0.83125000000000004</v>
      </c>
      <c r="P712" s="9"/>
      <c r="Q712" s="9"/>
      <c r="R712" s="9"/>
      <c r="S712" s="23">
        <f t="shared" si="12"/>
        <v>15.112500000000001</v>
      </c>
      <c r="T712" s="24"/>
      <c r="U712" s="8"/>
    </row>
    <row r="713" spans="1:21" x14ac:dyDescent="0.25">
      <c r="A713" s="12" t="s">
        <v>188</v>
      </c>
      <c r="B713" s="46" t="s">
        <v>124</v>
      </c>
      <c r="C713" s="14"/>
      <c r="D713" s="40" t="s">
        <v>195</v>
      </c>
      <c r="E713" s="42" t="s">
        <v>86</v>
      </c>
      <c r="F713" s="42"/>
      <c r="G713" s="42"/>
      <c r="H713" s="10"/>
      <c r="I713" s="16" t="s">
        <v>89</v>
      </c>
      <c r="J713" s="9">
        <f>2.5+2.15*2</f>
        <v>6.8</v>
      </c>
      <c r="K713" s="9">
        <v>2</v>
      </c>
      <c r="L713" s="9"/>
      <c r="M713" s="9">
        <f>1*2</f>
        <v>2</v>
      </c>
      <c r="N713" s="9"/>
      <c r="O713" s="9"/>
      <c r="P713" s="9"/>
      <c r="Q713" s="9"/>
      <c r="R713" s="9"/>
      <c r="S713" s="23">
        <f t="shared" si="12"/>
        <v>11.6</v>
      </c>
      <c r="T713" s="24"/>
      <c r="U713" s="8"/>
    </row>
    <row r="714" spans="1:21" x14ac:dyDescent="0.25">
      <c r="A714" s="12" t="s">
        <v>188</v>
      </c>
      <c r="B714" s="46" t="s">
        <v>124</v>
      </c>
      <c r="C714" s="14"/>
      <c r="D714" s="40" t="s">
        <v>195</v>
      </c>
      <c r="E714" s="42" t="s">
        <v>86</v>
      </c>
      <c r="F714" s="42"/>
      <c r="G714" s="42"/>
      <c r="H714" s="10"/>
      <c r="I714" s="16" t="s">
        <v>147</v>
      </c>
      <c r="J714" s="9">
        <v>2.5</v>
      </c>
      <c r="K714" s="9">
        <v>2</v>
      </c>
      <c r="L714" s="9"/>
      <c r="M714" s="9"/>
      <c r="N714" s="9"/>
      <c r="O714" s="9"/>
      <c r="P714" s="9"/>
      <c r="Q714" s="9"/>
      <c r="R714" s="9"/>
      <c r="S714" s="23">
        <f t="shared" ref="S714:S777" si="14">IF(AND(ISBLANK(E714),ISBLANK(F714),ISBLANK(G714),ISBLANK(H714)),"",IF(J714*K714-L714-M714-N714-O714+P714+Q714+R714=0,"",J714*K714-L714-M714-N714-O714+P714+Q714+R714))</f>
        <v>5</v>
      </c>
      <c r="T714" s="24"/>
      <c r="U714" s="8"/>
    </row>
    <row r="715" spans="1:21" x14ac:dyDescent="0.25">
      <c r="A715" s="12" t="s">
        <v>188</v>
      </c>
      <c r="B715" s="46" t="s">
        <v>124</v>
      </c>
      <c r="C715" s="14"/>
      <c r="D715" s="40" t="s">
        <v>195</v>
      </c>
      <c r="E715" s="42"/>
      <c r="F715" s="42" t="s">
        <v>84</v>
      </c>
      <c r="G715" s="42"/>
      <c r="H715" s="10"/>
      <c r="I715" s="16"/>
      <c r="J715" s="9">
        <f>J714</f>
        <v>2.5</v>
      </c>
      <c r="K715" s="9">
        <f>2.5-2</f>
        <v>0.5</v>
      </c>
      <c r="L715" s="9"/>
      <c r="M715" s="9"/>
      <c r="N715" s="9"/>
      <c r="O715" s="9"/>
      <c r="P715" s="9"/>
      <c r="Q715" s="9"/>
      <c r="R715" s="9"/>
      <c r="S715" s="23">
        <f t="shared" si="14"/>
        <v>1.25</v>
      </c>
      <c r="T715" s="24"/>
      <c r="U715" s="8"/>
    </row>
    <row r="716" spans="1:21" x14ac:dyDescent="0.25">
      <c r="A716" s="12" t="s">
        <v>188</v>
      </c>
      <c r="B716" s="46" t="s">
        <v>124</v>
      </c>
      <c r="C716" s="14"/>
      <c r="D716" s="40" t="s">
        <v>195</v>
      </c>
      <c r="E716" s="42"/>
      <c r="F716" s="42"/>
      <c r="G716" s="42" t="s">
        <v>82</v>
      </c>
      <c r="H716" s="10"/>
      <c r="I716" s="16"/>
      <c r="J716" s="9">
        <f>J713</f>
        <v>6.8</v>
      </c>
      <c r="K716" s="9">
        <f>2.5-2</f>
        <v>0.5</v>
      </c>
      <c r="L716" s="9"/>
      <c r="M716" s="9"/>
      <c r="N716" s="9"/>
      <c r="O716" s="9"/>
      <c r="P716" s="9"/>
      <c r="Q716" s="9"/>
      <c r="R716" s="9"/>
      <c r="S716" s="23">
        <f t="shared" si="14"/>
        <v>3.4</v>
      </c>
      <c r="T716" s="24"/>
      <c r="U716" s="8"/>
    </row>
    <row r="717" spans="1:21" x14ac:dyDescent="0.25">
      <c r="A717" s="12" t="s">
        <v>188</v>
      </c>
      <c r="B717" s="46" t="s">
        <v>71</v>
      </c>
      <c r="C717" s="14"/>
      <c r="D717" s="40"/>
      <c r="E717" s="42"/>
      <c r="F717" s="42" t="s">
        <v>84</v>
      </c>
      <c r="G717" s="42"/>
      <c r="H717" s="10"/>
      <c r="I717" s="16"/>
      <c r="J717" s="9">
        <f>20.45-J718</f>
        <v>13.259999999999998</v>
      </c>
      <c r="K717" s="9">
        <v>2.75</v>
      </c>
      <c r="L717" s="9">
        <f>2.04*2+0.54*2.5</f>
        <v>5.43</v>
      </c>
      <c r="M717" s="9"/>
      <c r="N717" s="9"/>
      <c r="O717" s="9">
        <f>(1.45+0.25)*0.25</f>
        <v>0.42499999999999999</v>
      </c>
      <c r="P717" s="9"/>
      <c r="Q717" s="9"/>
      <c r="R717" s="9"/>
      <c r="S717" s="23">
        <f t="shared" si="14"/>
        <v>30.609999999999996</v>
      </c>
      <c r="T717" s="24"/>
      <c r="U717" s="8"/>
    </row>
    <row r="718" spans="1:21" x14ac:dyDescent="0.25">
      <c r="A718" s="12" t="s">
        <v>188</v>
      </c>
      <c r="B718" s="46" t="s">
        <v>71</v>
      </c>
      <c r="C718" s="14"/>
      <c r="D718" s="40"/>
      <c r="E718" s="42"/>
      <c r="F718" s="42"/>
      <c r="G718" s="42" t="s">
        <v>82</v>
      </c>
      <c r="H718" s="10"/>
      <c r="I718" s="16"/>
      <c r="J718" s="9">
        <f>3.99+2+1.45-0.25</f>
        <v>7.19</v>
      </c>
      <c r="K718" s="9">
        <v>2.75</v>
      </c>
      <c r="L718" s="9"/>
      <c r="M718" s="9">
        <f>1.1*2+1*2</f>
        <v>4.2</v>
      </c>
      <c r="N718" s="9"/>
      <c r="O718" s="9">
        <f>(2+1.45-0.25)*0.25</f>
        <v>0.8</v>
      </c>
      <c r="P718" s="9"/>
      <c r="Q718" s="9"/>
      <c r="R718" s="9"/>
      <c r="S718" s="23">
        <f t="shared" si="14"/>
        <v>14.772500000000001</v>
      </c>
      <c r="T718" s="24"/>
      <c r="U718" s="8"/>
    </row>
    <row r="719" spans="1:21" x14ac:dyDescent="0.25">
      <c r="A719" s="12" t="s">
        <v>188</v>
      </c>
      <c r="B719" s="46" t="s">
        <v>72</v>
      </c>
      <c r="C719" s="14"/>
      <c r="D719" s="40" t="s">
        <v>195</v>
      </c>
      <c r="E719" s="42" t="s">
        <v>86</v>
      </c>
      <c r="F719" s="42"/>
      <c r="G719" s="42"/>
      <c r="H719" s="10"/>
      <c r="I719" s="16" t="s">
        <v>89</v>
      </c>
      <c r="J719" s="9">
        <f>2.5+2.15*2</f>
        <v>6.8</v>
      </c>
      <c r="K719" s="9">
        <v>2</v>
      </c>
      <c r="L719" s="9"/>
      <c r="M719" s="9">
        <f>1*2</f>
        <v>2</v>
      </c>
      <c r="N719" s="9"/>
      <c r="O719" s="9"/>
      <c r="P719" s="9"/>
      <c r="Q719" s="9"/>
      <c r="R719" s="9"/>
      <c r="S719" s="23">
        <f t="shared" si="14"/>
        <v>11.6</v>
      </c>
      <c r="T719" s="24"/>
      <c r="U719" s="8"/>
    </row>
    <row r="720" spans="1:21" x14ac:dyDescent="0.25">
      <c r="A720" s="12" t="s">
        <v>188</v>
      </c>
      <c r="B720" s="46" t="s">
        <v>72</v>
      </c>
      <c r="C720" s="14"/>
      <c r="D720" s="40" t="s">
        <v>195</v>
      </c>
      <c r="E720" s="42" t="s">
        <v>86</v>
      </c>
      <c r="F720" s="42"/>
      <c r="G720" s="42"/>
      <c r="H720" s="10"/>
      <c r="I720" s="16" t="s">
        <v>147</v>
      </c>
      <c r="J720" s="9">
        <v>2.5</v>
      </c>
      <c r="K720" s="9">
        <v>2</v>
      </c>
      <c r="L720" s="9"/>
      <c r="M720" s="9"/>
      <c r="N720" s="9"/>
      <c r="O720" s="9"/>
      <c r="P720" s="9"/>
      <c r="Q720" s="9"/>
      <c r="R720" s="9"/>
      <c r="S720" s="23">
        <f t="shared" si="14"/>
        <v>5</v>
      </c>
      <c r="T720" s="24"/>
      <c r="U720" s="8"/>
    </row>
    <row r="721" spans="1:21" x14ac:dyDescent="0.25">
      <c r="A721" s="12" t="s">
        <v>188</v>
      </c>
      <c r="B721" s="46" t="s">
        <v>72</v>
      </c>
      <c r="C721" s="14"/>
      <c r="D721" s="40" t="s">
        <v>195</v>
      </c>
      <c r="E721" s="42"/>
      <c r="F721" s="42" t="s">
        <v>84</v>
      </c>
      <c r="G721" s="42"/>
      <c r="H721" s="10"/>
      <c r="I721" s="16"/>
      <c r="J721" s="9">
        <f>J720</f>
        <v>2.5</v>
      </c>
      <c r="K721" s="9">
        <f>2.5-2</f>
        <v>0.5</v>
      </c>
      <c r="L721" s="9"/>
      <c r="M721" s="9"/>
      <c r="N721" s="9"/>
      <c r="O721" s="9"/>
      <c r="P721" s="9"/>
      <c r="Q721" s="9"/>
      <c r="R721" s="9"/>
      <c r="S721" s="23">
        <f t="shared" si="14"/>
        <v>1.25</v>
      </c>
      <c r="T721" s="24"/>
      <c r="U721" s="8"/>
    </row>
    <row r="722" spans="1:21" x14ac:dyDescent="0.25">
      <c r="A722" s="12" t="s">
        <v>188</v>
      </c>
      <c r="B722" s="46" t="s">
        <v>72</v>
      </c>
      <c r="C722" s="14"/>
      <c r="D722" s="40" t="s">
        <v>195</v>
      </c>
      <c r="E722" s="42"/>
      <c r="F722" s="42"/>
      <c r="G722" s="42" t="s">
        <v>82</v>
      </c>
      <c r="H722" s="10"/>
      <c r="I722" s="16"/>
      <c r="J722" s="9">
        <f>J719</f>
        <v>6.8</v>
      </c>
      <c r="K722" s="9">
        <f>2.5-2</f>
        <v>0.5</v>
      </c>
      <c r="L722" s="9"/>
      <c r="M722" s="9"/>
      <c r="N722" s="9"/>
      <c r="O722" s="9"/>
      <c r="P722" s="9"/>
      <c r="Q722" s="9"/>
      <c r="R722" s="9"/>
      <c r="S722" s="23">
        <f t="shared" si="14"/>
        <v>3.4</v>
      </c>
      <c r="T722" s="24"/>
      <c r="U722" s="8"/>
    </row>
    <row r="723" spans="1:21" x14ac:dyDescent="0.25">
      <c r="A723" s="12" t="s">
        <v>188</v>
      </c>
      <c r="B723" s="46" t="s">
        <v>151</v>
      </c>
      <c r="C723" s="14"/>
      <c r="D723" s="40"/>
      <c r="E723" s="42"/>
      <c r="F723" s="42" t="s">
        <v>84</v>
      </c>
      <c r="G723" s="42"/>
      <c r="H723" s="10"/>
      <c r="I723" s="16"/>
      <c r="J723" s="9">
        <f>4.14+2.23+0.25</f>
        <v>6.6199999999999992</v>
      </c>
      <c r="K723" s="9">
        <v>2.75</v>
      </c>
      <c r="L723" s="9">
        <f>2.04*2</f>
        <v>4.08</v>
      </c>
      <c r="M723" s="9"/>
      <c r="N723" s="9"/>
      <c r="O723" s="9">
        <f>(0.25)*0.25</f>
        <v>6.25E-2</v>
      </c>
      <c r="P723" s="9"/>
      <c r="Q723" s="9"/>
      <c r="R723" s="9"/>
      <c r="S723" s="23">
        <f t="shared" si="14"/>
        <v>14.062499999999998</v>
      </c>
      <c r="T723" s="24"/>
      <c r="U723" s="8"/>
    </row>
    <row r="724" spans="1:21" x14ac:dyDescent="0.25">
      <c r="A724" s="12" t="s">
        <v>188</v>
      </c>
      <c r="B724" s="46" t="s">
        <v>151</v>
      </c>
      <c r="C724" s="14"/>
      <c r="D724" s="40"/>
      <c r="E724" s="42"/>
      <c r="F724" s="42"/>
      <c r="G724" s="42" t="s">
        <v>82</v>
      </c>
      <c r="H724" s="10"/>
      <c r="I724" s="16"/>
      <c r="J724" s="9">
        <f>21.98-J723</f>
        <v>15.360000000000001</v>
      </c>
      <c r="K724" s="9">
        <v>2.75</v>
      </c>
      <c r="L724" s="9"/>
      <c r="M724" s="9">
        <f>1.1*2+1*2</f>
        <v>4.2</v>
      </c>
      <c r="N724" s="9"/>
      <c r="O724" s="9">
        <f>(1.76*2+1.91-0.25)*0.25</f>
        <v>1.2949999999999999</v>
      </c>
      <c r="P724" s="9"/>
      <c r="Q724" s="9"/>
      <c r="R724" s="9"/>
      <c r="S724" s="23">
        <f t="shared" si="14"/>
        <v>36.744999999999997</v>
      </c>
      <c r="T724" s="24"/>
      <c r="U724" s="8"/>
    </row>
    <row r="725" spans="1:21" x14ac:dyDescent="0.25">
      <c r="A725" s="12" t="s">
        <v>188</v>
      </c>
      <c r="B725" s="46" t="s">
        <v>152</v>
      </c>
      <c r="C725" s="14"/>
      <c r="D725" s="40" t="s">
        <v>195</v>
      </c>
      <c r="E725" s="42" t="s">
        <v>86</v>
      </c>
      <c r="F725" s="42"/>
      <c r="G725" s="42"/>
      <c r="H725" s="10"/>
      <c r="I725" s="16" t="s">
        <v>89</v>
      </c>
      <c r="J725" s="9">
        <f>2.5*2+1.9</f>
        <v>6.9</v>
      </c>
      <c r="K725" s="9">
        <v>2</v>
      </c>
      <c r="L725" s="9"/>
      <c r="M725" s="9">
        <f>1*2</f>
        <v>2</v>
      </c>
      <c r="N725" s="9"/>
      <c r="O725" s="9"/>
      <c r="P725" s="9"/>
      <c r="Q725" s="9"/>
      <c r="R725" s="9"/>
      <c r="S725" s="23">
        <f t="shared" si="14"/>
        <v>11.8</v>
      </c>
      <c r="T725" s="24"/>
      <c r="U725" s="8"/>
    </row>
    <row r="726" spans="1:21" x14ac:dyDescent="0.25">
      <c r="A726" s="12" t="s">
        <v>188</v>
      </c>
      <c r="B726" s="46" t="s">
        <v>152</v>
      </c>
      <c r="C726" s="14"/>
      <c r="D726" s="40" t="s">
        <v>195</v>
      </c>
      <c r="E726" s="42" t="s">
        <v>86</v>
      </c>
      <c r="F726" s="42"/>
      <c r="G726" s="42"/>
      <c r="H726" s="10"/>
      <c r="I726" s="16" t="s">
        <v>147</v>
      </c>
      <c r="J726" s="9">
        <v>1.9</v>
      </c>
      <c r="K726" s="9">
        <v>2</v>
      </c>
      <c r="L726" s="9"/>
      <c r="M726" s="9"/>
      <c r="N726" s="9"/>
      <c r="O726" s="9"/>
      <c r="P726" s="9"/>
      <c r="Q726" s="9"/>
      <c r="R726" s="9"/>
      <c r="S726" s="23">
        <f t="shared" si="14"/>
        <v>3.8</v>
      </c>
      <c r="T726" s="24"/>
      <c r="U726" s="8"/>
    </row>
    <row r="727" spans="1:21" x14ac:dyDescent="0.25">
      <c r="A727" s="12" t="s">
        <v>188</v>
      </c>
      <c r="B727" s="46" t="s">
        <v>152</v>
      </c>
      <c r="C727" s="14"/>
      <c r="D727" s="40" t="s">
        <v>195</v>
      </c>
      <c r="E727" s="42"/>
      <c r="F727" s="42" t="s">
        <v>84</v>
      </c>
      <c r="G727" s="42"/>
      <c r="H727" s="10"/>
      <c r="I727" s="16"/>
      <c r="J727" s="9">
        <f>J726</f>
        <v>1.9</v>
      </c>
      <c r="K727" s="9">
        <f>2.5-2</f>
        <v>0.5</v>
      </c>
      <c r="L727" s="9"/>
      <c r="M727" s="9"/>
      <c r="N727" s="9"/>
      <c r="O727" s="9"/>
      <c r="P727" s="9"/>
      <c r="Q727" s="9"/>
      <c r="R727" s="9"/>
      <c r="S727" s="23">
        <f t="shared" si="14"/>
        <v>0.95</v>
      </c>
      <c r="T727" s="24"/>
      <c r="U727" s="8"/>
    </row>
    <row r="728" spans="1:21" x14ac:dyDescent="0.25">
      <c r="A728" s="12" t="s">
        <v>188</v>
      </c>
      <c r="B728" s="46" t="s">
        <v>152</v>
      </c>
      <c r="C728" s="14"/>
      <c r="D728" s="40" t="s">
        <v>195</v>
      </c>
      <c r="E728" s="42"/>
      <c r="F728" s="42"/>
      <c r="G728" s="42" t="s">
        <v>82</v>
      </c>
      <c r="H728" s="10"/>
      <c r="I728" s="16"/>
      <c r="J728" s="9">
        <f>J725</f>
        <v>6.9</v>
      </c>
      <c r="K728" s="9">
        <f>2.5-2</f>
        <v>0.5</v>
      </c>
      <c r="L728" s="9"/>
      <c r="M728" s="9"/>
      <c r="N728" s="9"/>
      <c r="O728" s="9"/>
      <c r="P728" s="9"/>
      <c r="Q728" s="9"/>
      <c r="R728" s="9"/>
      <c r="S728" s="23">
        <f t="shared" si="14"/>
        <v>3.45</v>
      </c>
      <c r="T728" s="24"/>
      <c r="U728" s="8"/>
    </row>
    <row r="729" spans="1:21" x14ac:dyDescent="0.25">
      <c r="A729" s="12" t="s">
        <v>188</v>
      </c>
      <c r="B729" s="46" t="s">
        <v>153</v>
      </c>
      <c r="C729" s="14"/>
      <c r="D729" s="40"/>
      <c r="E729" s="42"/>
      <c r="F729" s="42" t="s">
        <v>84</v>
      </c>
      <c r="G729" s="42"/>
      <c r="H729" s="10"/>
      <c r="I729" s="16"/>
      <c r="J729" s="9">
        <f>4.09+2.125+0.25</f>
        <v>6.4649999999999999</v>
      </c>
      <c r="K729" s="9">
        <v>2.75</v>
      </c>
      <c r="L729" s="9">
        <f>2.04*2</f>
        <v>4.08</v>
      </c>
      <c r="M729" s="9"/>
      <c r="N729" s="9"/>
      <c r="O729" s="9">
        <f>(0.25)*0.25</f>
        <v>6.25E-2</v>
      </c>
      <c r="P729" s="9"/>
      <c r="Q729" s="9"/>
      <c r="R729" s="9"/>
      <c r="S729" s="23">
        <f t="shared" si="14"/>
        <v>13.636249999999999</v>
      </c>
      <c r="T729" s="24"/>
      <c r="U729" s="8"/>
    </row>
    <row r="730" spans="1:21" x14ac:dyDescent="0.25">
      <c r="A730" s="12" t="s">
        <v>188</v>
      </c>
      <c r="B730" s="46" t="s">
        <v>153</v>
      </c>
      <c r="C730" s="14"/>
      <c r="D730" s="40"/>
      <c r="E730" s="42"/>
      <c r="F730" s="42"/>
      <c r="G730" s="42" t="s">
        <v>82</v>
      </c>
      <c r="H730" s="10"/>
      <c r="I730" s="16"/>
      <c r="J730" s="9">
        <f>21.68-J729</f>
        <v>15.215</v>
      </c>
      <c r="K730" s="9">
        <v>2.75</v>
      </c>
      <c r="L730" s="9"/>
      <c r="M730" s="9">
        <f>1.1*2+1*2</f>
        <v>4.2</v>
      </c>
      <c r="N730" s="9"/>
      <c r="O730" s="9">
        <f>(1.76*2+1.94-0.25)*0.25</f>
        <v>1.3025</v>
      </c>
      <c r="P730" s="9"/>
      <c r="Q730" s="9"/>
      <c r="R730" s="9"/>
      <c r="S730" s="23">
        <f t="shared" si="14"/>
        <v>36.338749999999997</v>
      </c>
      <c r="T730" s="24"/>
      <c r="U730" s="8"/>
    </row>
    <row r="731" spans="1:21" x14ac:dyDescent="0.25">
      <c r="A731" s="12" t="s">
        <v>188</v>
      </c>
      <c r="B731" s="46" t="s">
        <v>154</v>
      </c>
      <c r="C731" s="14"/>
      <c r="D731" s="40" t="s">
        <v>195</v>
      </c>
      <c r="E731" s="42" t="s">
        <v>86</v>
      </c>
      <c r="F731" s="42"/>
      <c r="G731" s="42"/>
      <c r="H731" s="10"/>
      <c r="I731" s="16" t="s">
        <v>89</v>
      </c>
      <c r="J731" s="9">
        <f>2.5*2+1.9</f>
        <v>6.9</v>
      </c>
      <c r="K731" s="9">
        <v>2</v>
      </c>
      <c r="L731" s="9"/>
      <c r="M731" s="9">
        <f>1*2</f>
        <v>2</v>
      </c>
      <c r="N731" s="9"/>
      <c r="O731" s="9"/>
      <c r="P731" s="9"/>
      <c r="Q731" s="9"/>
      <c r="R731" s="9"/>
      <c r="S731" s="23">
        <f t="shared" si="14"/>
        <v>11.8</v>
      </c>
      <c r="T731" s="24"/>
      <c r="U731" s="8"/>
    </row>
    <row r="732" spans="1:21" x14ac:dyDescent="0.25">
      <c r="A732" s="12" t="s">
        <v>188</v>
      </c>
      <c r="B732" s="46" t="s">
        <v>154</v>
      </c>
      <c r="C732" s="14"/>
      <c r="D732" s="40" t="s">
        <v>195</v>
      </c>
      <c r="E732" s="42" t="s">
        <v>86</v>
      </c>
      <c r="F732" s="42"/>
      <c r="G732" s="42"/>
      <c r="H732" s="10"/>
      <c r="I732" s="16" t="s">
        <v>147</v>
      </c>
      <c r="J732" s="9">
        <v>1.9</v>
      </c>
      <c r="K732" s="9">
        <v>2</v>
      </c>
      <c r="L732" s="9"/>
      <c r="M732" s="9"/>
      <c r="N732" s="9"/>
      <c r="O732" s="9"/>
      <c r="P732" s="9"/>
      <c r="Q732" s="9"/>
      <c r="R732" s="9"/>
      <c r="S732" s="23">
        <f t="shared" si="14"/>
        <v>3.8</v>
      </c>
      <c r="T732" s="24"/>
      <c r="U732" s="8"/>
    </row>
    <row r="733" spans="1:21" x14ac:dyDescent="0.25">
      <c r="A733" s="12" t="s">
        <v>188</v>
      </c>
      <c r="B733" s="46" t="s">
        <v>154</v>
      </c>
      <c r="C733" s="14"/>
      <c r="D733" s="40" t="s">
        <v>195</v>
      </c>
      <c r="E733" s="42"/>
      <c r="F733" s="42" t="s">
        <v>84</v>
      </c>
      <c r="G733" s="42"/>
      <c r="H733" s="10"/>
      <c r="I733" s="16"/>
      <c r="J733" s="9">
        <f>J732</f>
        <v>1.9</v>
      </c>
      <c r="K733" s="9">
        <f>2.5-2</f>
        <v>0.5</v>
      </c>
      <c r="L733" s="9"/>
      <c r="M733" s="9"/>
      <c r="N733" s="9"/>
      <c r="O733" s="9"/>
      <c r="P733" s="9"/>
      <c r="Q733" s="9"/>
      <c r="R733" s="9"/>
      <c r="S733" s="23">
        <f t="shared" si="14"/>
        <v>0.95</v>
      </c>
      <c r="T733" s="24"/>
      <c r="U733" s="8"/>
    </row>
    <row r="734" spans="1:21" x14ac:dyDescent="0.25">
      <c r="A734" s="12" t="s">
        <v>188</v>
      </c>
      <c r="B734" s="46" t="s">
        <v>154</v>
      </c>
      <c r="C734" s="14"/>
      <c r="D734" s="40" t="s">
        <v>195</v>
      </c>
      <c r="E734" s="42"/>
      <c r="F734" s="42"/>
      <c r="G734" s="42" t="s">
        <v>82</v>
      </c>
      <c r="H734" s="10"/>
      <c r="I734" s="16"/>
      <c r="J734" s="9">
        <f>J731</f>
        <v>6.9</v>
      </c>
      <c r="K734" s="9">
        <f>2.5-2</f>
        <v>0.5</v>
      </c>
      <c r="L734" s="9"/>
      <c r="M734" s="9"/>
      <c r="N734" s="9"/>
      <c r="O734" s="9"/>
      <c r="P734" s="9"/>
      <c r="Q734" s="9"/>
      <c r="R734" s="9"/>
      <c r="S734" s="23">
        <f t="shared" si="14"/>
        <v>3.45</v>
      </c>
      <c r="T734" s="24"/>
      <c r="U734" s="8"/>
    </row>
    <row r="735" spans="1:21" x14ac:dyDescent="0.25">
      <c r="A735" s="12" t="s">
        <v>188</v>
      </c>
      <c r="B735" s="46" t="s">
        <v>155</v>
      </c>
      <c r="C735" s="14"/>
      <c r="D735" s="40"/>
      <c r="E735" s="42"/>
      <c r="F735" s="42" t="s">
        <v>84</v>
      </c>
      <c r="G735" s="42"/>
      <c r="H735" s="10"/>
      <c r="I735" s="16"/>
      <c r="J735" s="9">
        <f>4.095+2.155+0.25</f>
        <v>6.5</v>
      </c>
      <c r="K735" s="9">
        <v>2.75</v>
      </c>
      <c r="L735" s="9">
        <f>2.04*2</f>
        <v>4.08</v>
      </c>
      <c r="M735" s="9"/>
      <c r="N735" s="9"/>
      <c r="O735" s="9">
        <f>(0.25)*0.25</f>
        <v>6.25E-2</v>
      </c>
      <c r="P735" s="9"/>
      <c r="Q735" s="9"/>
      <c r="R735" s="9"/>
      <c r="S735" s="23">
        <f t="shared" si="14"/>
        <v>13.7325</v>
      </c>
      <c r="T735" s="24"/>
      <c r="U735" s="8"/>
    </row>
    <row r="736" spans="1:21" x14ac:dyDescent="0.25">
      <c r="A736" s="12" t="s">
        <v>188</v>
      </c>
      <c r="B736" s="46" t="s">
        <v>155</v>
      </c>
      <c r="C736" s="14"/>
      <c r="D736" s="40"/>
      <c r="E736" s="42"/>
      <c r="F736" s="42"/>
      <c r="G736" s="42" t="s">
        <v>82</v>
      </c>
      <c r="H736" s="10"/>
      <c r="I736" s="16"/>
      <c r="J736" s="9">
        <f>21.69-J735</f>
        <v>15.190000000000001</v>
      </c>
      <c r="K736" s="9">
        <v>2.75</v>
      </c>
      <c r="L736" s="9"/>
      <c r="M736" s="9">
        <f>1.1*2+1*2</f>
        <v>4.2</v>
      </c>
      <c r="N736" s="9"/>
      <c r="O736" s="9">
        <f>(1.76*2+1.94-0.25)*0.25</f>
        <v>1.3025</v>
      </c>
      <c r="P736" s="9"/>
      <c r="Q736" s="9"/>
      <c r="R736" s="9"/>
      <c r="S736" s="23">
        <f t="shared" si="14"/>
        <v>36.269999999999996</v>
      </c>
      <c r="T736" s="24"/>
      <c r="U736" s="8"/>
    </row>
    <row r="737" spans="1:21" x14ac:dyDescent="0.25">
      <c r="A737" s="12" t="s">
        <v>188</v>
      </c>
      <c r="B737" s="46" t="s">
        <v>156</v>
      </c>
      <c r="C737" s="14"/>
      <c r="D737" s="40" t="s">
        <v>195</v>
      </c>
      <c r="E737" s="42" t="s">
        <v>86</v>
      </c>
      <c r="F737" s="42"/>
      <c r="G737" s="42"/>
      <c r="H737" s="10"/>
      <c r="I737" s="16" t="s">
        <v>89</v>
      </c>
      <c r="J737" s="9">
        <f>2.5*2+1.9</f>
        <v>6.9</v>
      </c>
      <c r="K737" s="9">
        <v>2</v>
      </c>
      <c r="L737" s="9"/>
      <c r="M737" s="9">
        <f>1*2</f>
        <v>2</v>
      </c>
      <c r="N737" s="9"/>
      <c r="O737" s="9"/>
      <c r="P737" s="9"/>
      <c r="Q737" s="9"/>
      <c r="R737" s="9"/>
      <c r="S737" s="23">
        <f t="shared" si="14"/>
        <v>11.8</v>
      </c>
      <c r="T737" s="24"/>
      <c r="U737" s="8"/>
    </row>
    <row r="738" spans="1:21" x14ac:dyDescent="0.25">
      <c r="A738" s="12" t="s">
        <v>188</v>
      </c>
      <c r="B738" s="46" t="s">
        <v>156</v>
      </c>
      <c r="C738" s="14"/>
      <c r="D738" s="40" t="s">
        <v>195</v>
      </c>
      <c r="E738" s="42" t="s">
        <v>86</v>
      </c>
      <c r="F738" s="42"/>
      <c r="G738" s="42"/>
      <c r="H738" s="10"/>
      <c r="I738" s="16" t="s">
        <v>147</v>
      </c>
      <c r="J738" s="9">
        <v>1.9</v>
      </c>
      <c r="K738" s="9">
        <v>2</v>
      </c>
      <c r="L738" s="9"/>
      <c r="M738" s="9"/>
      <c r="N738" s="9"/>
      <c r="O738" s="9"/>
      <c r="P738" s="9"/>
      <c r="Q738" s="9"/>
      <c r="R738" s="9"/>
      <c r="S738" s="23">
        <f t="shared" si="14"/>
        <v>3.8</v>
      </c>
      <c r="T738" s="24"/>
      <c r="U738" s="8"/>
    </row>
    <row r="739" spans="1:21" x14ac:dyDescent="0.25">
      <c r="A739" s="12" t="s">
        <v>188</v>
      </c>
      <c r="B739" s="46" t="s">
        <v>156</v>
      </c>
      <c r="C739" s="14"/>
      <c r="D739" s="40" t="s">
        <v>195</v>
      </c>
      <c r="E739" s="42"/>
      <c r="F739" s="42" t="s">
        <v>84</v>
      </c>
      <c r="G739" s="42"/>
      <c r="H739" s="10"/>
      <c r="I739" s="16"/>
      <c r="J739" s="9">
        <f>J738</f>
        <v>1.9</v>
      </c>
      <c r="K739" s="9">
        <f>2.5-2</f>
        <v>0.5</v>
      </c>
      <c r="L739" s="9"/>
      <c r="M739" s="9"/>
      <c r="N739" s="9"/>
      <c r="O739" s="9"/>
      <c r="P739" s="9"/>
      <c r="Q739" s="9"/>
      <c r="R739" s="9"/>
      <c r="S739" s="23">
        <f t="shared" si="14"/>
        <v>0.95</v>
      </c>
      <c r="T739" s="24"/>
      <c r="U739" s="8"/>
    </row>
    <row r="740" spans="1:21" x14ac:dyDescent="0.25">
      <c r="A740" s="12" t="s">
        <v>188</v>
      </c>
      <c r="B740" s="46" t="s">
        <v>156</v>
      </c>
      <c r="C740" s="14"/>
      <c r="D740" s="40" t="s">
        <v>195</v>
      </c>
      <c r="E740" s="42"/>
      <c r="F740" s="42"/>
      <c r="G740" s="42" t="s">
        <v>82</v>
      </c>
      <c r="H740" s="10"/>
      <c r="I740" s="16"/>
      <c r="J740" s="9">
        <f>J737</f>
        <v>6.9</v>
      </c>
      <c r="K740" s="9">
        <f>2.5-2</f>
        <v>0.5</v>
      </c>
      <c r="L740" s="9"/>
      <c r="M740" s="9"/>
      <c r="N740" s="9"/>
      <c r="O740" s="9"/>
      <c r="P740" s="9"/>
      <c r="Q740" s="9"/>
      <c r="R740" s="9"/>
      <c r="S740" s="23">
        <f t="shared" si="14"/>
        <v>3.45</v>
      </c>
      <c r="T740" s="24"/>
      <c r="U740" s="8"/>
    </row>
    <row r="741" spans="1:21" x14ac:dyDescent="0.25">
      <c r="A741" s="12" t="s">
        <v>188</v>
      </c>
      <c r="B741" s="46" t="s">
        <v>157</v>
      </c>
      <c r="C741" s="14"/>
      <c r="D741" s="40"/>
      <c r="E741" s="42"/>
      <c r="F741" s="42" t="s">
        <v>84</v>
      </c>
      <c r="G741" s="42"/>
      <c r="H741" s="10"/>
      <c r="I741" s="16"/>
      <c r="J741" s="9">
        <f>4.095+2.155+0.25</f>
        <v>6.5</v>
      </c>
      <c r="K741" s="9">
        <v>2.75</v>
      </c>
      <c r="L741" s="9">
        <f>2.04*2</f>
        <v>4.08</v>
      </c>
      <c r="M741" s="9"/>
      <c r="N741" s="9"/>
      <c r="O741" s="9">
        <f>(0.25)*0.25</f>
        <v>6.25E-2</v>
      </c>
      <c r="P741" s="9"/>
      <c r="Q741" s="9"/>
      <c r="R741" s="9"/>
      <c r="S741" s="23">
        <f t="shared" si="14"/>
        <v>13.7325</v>
      </c>
      <c r="T741" s="24"/>
      <c r="U741" s="8"/>
    </row>
    <row r="742" spans="1:21" x14ac:dyDescent="0.25">
      <c r="A742" s="12" t="s">
        <v>188</v>
      </c>
      <c r="B742" s="46" t="s">
        <v>157</v>
      </c>
      <c r="C742" s="14"/>
      <c r="D742" s="40"/>
      <c r="E742" s="42"/>
      <c r="F742" s="42"/>
      <c r="G742" s="42" t="s">
        <v>82</v>
      </c>
      <c r="H742" s="10"/>
      <c r="I742" s="16"/>
      <c r="J742" s="9">
        <f>21.68-J741</f>
        <v>15.18</v>
      </c>
      <c r="K742" s="9">
        <v>2.75</v>
      </c>
      <c r="L742" s="9"/>
      <c r="M742" s="9">
        <f>1.1*2+1*2</f>
        <v>4.2</v>
      </c>
      <c r="N742" s="9"/>
      <c r="O742" s="9">
        <f>(1.76*2+1.94-0.25)*0.25</f>
        <v>1.3025</v>
      </c>
      <c r="P742" s="9"/>
      <c r="Q742" s="9"/>
      <c r="R742" s="9"/>
      <c r="S742" s="23">
        <f t="shared" si="14"/>
        <v>36.242499999999993</v>
      </c>
      <c r="T742" s="24"/>
      <c r="U742" s="8"/>
    </row>
    <row r="743" spans="1:21" x14ac:dyDescent="0.25">
      <c r="A743" s="12" t="s">
        <v>188</v>
      </c>
      <c r="B743" s="46" t="s">
        <v>158</v>
      </c>
      <c r="C743" s="14"/>
      <c r="D743" s="40" t="s">
        <v>195</v>
      </c>
      <c r="E743" s="42" t="s">
        <v>86</v>
      </c>
      <c r="F743" s="42"/>
      <c r="G743" s="42"/>
      <c r="H743" s="10"/>
      <c r="I743" s="16" t="s">
        <v>89</v>
      </c>
      <c r="J743" s="9">
        <f>2.5*2+1.9</f>
        <v>6.9</v>
      </c>
      <c r="K743" s="9">
        <v>2</v>
      </c>
      <c r="L743" s="9"/>
      <c r="M743" s="9">
        <f>1*2</f>
        <v>2</v>
      </c>
      <c r="N743" s="9"/>
      <c r="O743" s="9"/>
      <c r="P743" s="9"/>
      <c r="Q743" s="9"/>
      <c r="R743" s="9"/>
      <c r="S743" s="23">
        <f t="shared" si="14"/>
        <v>11.8</v>
      </c>
      <c r="T743" s="24"/>
      <c r="U743" s="8"/>
    </row>
    <row r="744" spans="1:21" x14ac:dyDescent="0.25">
      <c r="A744" s="12" t="s">
        <v>188</v>
      </c>
      <c r="B744" s="46" t="s">
        <v>158</v>
      </c>
      <c r="C744" s="14"/>
      <c r="D744" s="40" t="s">
        <v>195</v>
      </c>
      <c r="E744" s="42" t="s">
        <v>86</v>
      </c>
      <c r="F744" s="42"/>
      <c r="G744" s="42"/>
      <c r="H744" s="10"/>
      <c r="I744" s="16" t="s">
        <v>147</v>
      </c>
      <c r="J744" s="9">
        <v>1.9</v>
      </c>
      <c r="K744" s="9">
        <v>2</v>
      </c>
      <c r="L744" s="9"/>
      <c r="M744" s="9"/>
      <c r="N744" s="9"/>
      <c r="O744" s="9"/>
      <c r="P744" s="9"/>
      <c r="Q744" s="9"/>
      <c r="R744" s="9"/>
      <c r="S744" s="23">
        <f t="shared" si="14"/>
        <v>3.8</v>
      </c>
      <c r="T744" s="24"/>
      <c r="U744" s="8"/>
    </row>
    <row r="745" spans="1:21" x14ac:dyDescent="0.25">
      <c r="A745" s="12" t="s">
        <v>188</v>
      </c>
      <c r="B745" s="46" t="s">
        <v>158</v>
      </c>
      <c r="C745" s="14"/>
      <c r="D745" s="40" t="s">
        <v>195</v>
      </c>
      <c r="E745" s="42"/>
      <c r="F745" s="42" t="s">
        <v>84</v>
      </c>
      <c r="G745" s="42"/>
      <c r="H745" s="10"/>
      <c r="I745" s="16"/>
      <c r="J745" s="9">
        <f>J744</f>
        <v>1.9</v>
      </c>
      <c r="K745" s="9">
        <f>2.5-2</f>
        <v>0.5</v>
      </c>
      <c r="L745" s="9"/>
      <c r="M745" s="9"/>
      <c r="N745" s="9"/>
      <c r="O745" s="9"/>
      <c r="P745" s="9"/>
      <c r="Q745" s="9"/>
      <c r="R745" s="9"/>
      <c r="S745" s="23">
        <f t="shared" si="14"/>
        <v>0.95</v>
      </c>
      <c r="T745" s="24"/>
      <c r="U745" s="8"/>
    </row>
    <row r="746" spans="1:21" x14ac:dyDescent="0.25">
      <c r="A746" s="12" t="s">
        <v>188</v>
      </c>
      <c r="B746" s="46" t="s">
        <v>158</v>
      </c>
      <c r="C746" s="14"/>
      <c r="D746" s="40" t="s">
        <v>195</v>
      </c>
      <c r="E746" s="42"/>
      <c r="F746" s="42"/>
      <c r="G746" s="42" t="s">
        <v>82</v>
      </c>
      <c r="H746" s="10"/>
      <c r="I746" s="16"/>
      <c r="J746" s="9">
        <f>J743</f>
        <v>6.9</v>
      </c>
      <c r="K746" s="9">
        <f>2.5-2</f>
        <v>0.5</v>
      </c>
      <c r="L746" s="9"/>
      <c r="M746" s="9"/>
      <c r="N746" s="9"/>
      <c r="O746" s="9"/>
      <c r="P746" s="9"/>
      <c r="Q746" s="9"/>
      <c r="R746" s="9"/>
      <c r="S746" s="23">
        <f t="shared" si="14"/>
        <v>3.45</v>
      </c>
      <c r="T746" s="24"/>
      <c r="U746" s="8"/>
    </row>
    <row r="747" spans="1:21" x14ac:dyDescent="0.25">
      <c r="A747" s="12" t="s">
        <v>188</v>
      </c>
      <c r="B747" s="46" t="s">
        <v>159</v>
      </c>
      <c r="C747" s="14"/>
      <c r="D747" s="40"/>
      <c r="E747" s="42"/>
      <c r="F747" s="42" t="s">
        <v>84</v>
      </c>
      <c r="G747" s="42"/>
      <c r="H747" s="10"/>
      <c r="I747" s="16"/>
      <c r="J747" s="9">
        <f>4.095+2.155+0.25</f>
        <v>6.5</v>
      </c>
      <c r="K747" s="9">
        <v>2.75</v>
      </c>
      <c r="L747" s="9">
        <f>2.04*2</f>
        <v>4.08</v>
      </c>
      <c r="M747" s="9"/>
      <c r="N747" s="9"/>
      <c r="O747" s="9">
        <f>(0.25)*0.25</f>
        <v>6.25E-2</v>
      </c>
      <c r="P747" s="9"/>
      <c r="Q747" s="9"/>
      <c r="R747" s="9"/>
      <c r="S747" s="23">
        <f t="shared" si="14"/>
        <v>13.7325</v>
      </c>
      <c r="T747" s="24"/>
      <c r="U747" s="8"/>
    </row>
    <row r="748" spans="1:21" x14ac:dyDescent="0.25">
      <c r="A748" s="12" t="s">
        <v>188</v>
      </c>
      <c r="B748" s="46" t="s">
        <v>159</v>
      </c>
      <c r="C748" s="14"/>
      <c r="D748" s="40"/>
      <c r="E748" s="42"/>
      <c r="F748" s="42"/>
      <c r="G748" s="42" t="s">
        <v>82</v>
      </c>
      <c r="H748" s="10"/>
      <c r="I748" s="16"/>
      <c r="J748" s="9">
        <f>21.68-J747</f>
        <v>15.18</v>
      </c>
      <c r="K748" s="9">
        <v>2.75</v>
      </c>
      <c r="L748" s="9"/>
      <c r="M748" s="9">
        <f>1.1*2+1*2</f>
        <v>4.2</v>
      </c>
      <c r="N748" s="9"/>
      <c r="O748" s="9">
        <f>(1.76*2+1.94-0.25)*0.25</f>
        <v>1.3025</v>
      </c>
      <c r="P748" s="9"/>
      <c r="Q748" s="9"/>
      <c r="R748" s="9"/>
      <c r="S748" s="23">
        <f t="shared" si="14"/>
        <v>36.242499999999993</v>
      </c>
      <c r="T748" s="24"/>
      <c r="U748" s="8"/>
    </row>
    <row r="749" spans="1:21" x14ac:dyDescent="0.25">
      <c r="A749" s="12" t="s">
        <v>188</v>
      </c>
      <c r="B749" s="46" t="s">
        <v>160</v>
      </c>
      <c r="C749" s="14"/>
      <c r="D749" s="40" t="s">
        <v>195</v>
      </c>
      <c r="E749" s="42" t="s">
        <v>86</v>
      </c>
      <c r="F749" s="42"/>
      <c r="G749" s="42"/>
      <c r="H749" s="10"/>
      <c r="I749" s="16" t="s">
        <v>89</v>
      </c>
      <c r="J749" s="9">
        <f>2.5*2+1.9</f>
        <v>6.9</v>
      </c>
      <c r="K749" s="9">
        <v>2</v>
      </c>
      <c r="L749" s="9"/>
      <c r="M749" s="9">
        <f>1*2</f>
        <v>2</v>
      </c>
      <c r="N749" s="9"/>
      <c r="O749" s="9"/>
      <c r="P749" s="9"/>
      <c r="Q749" s="9"/>
      <c r="R749" s="9"/>
      <c r="S749" s="23">
        <f t="shared" si="14"/>
        <v>11.8</v>
      </c>
      <c r="T749" s="24"/>
      <c r="U749" s="8"/>
    </row>
    <row r="750" spans="1:21" x14ac:dyDescent="0.25">
      <c r="A750" s="12" t="s">
        <v>188</v>
      </c>
      <c r="B750" s="46" t="s">
        <v>160</v>
      </c>
      <c r="C750" s="14"/>
      <c r="D750" s="40" t="s">
        <v>195</v>
      </c>
      <c r="E750" s="42" t="s">
        <v>86</v>
      </c>
      <c r="F750" s="42"/>
      <c r="G750" s="42"/>
      <c r="H750" s="10"/>
      <c r="I750" s="16" t="s">
        <v>147</v>
      </c>
      <c r="J750" s="9">
        <v>1.9</v>
      </c>
      <c r="K750" s="9">
        <v>2</v>
      </c>
      <c r="L750" s="9"/>
      <c r="M750" s="9"/>
      <c r="N750" s="9"/>
      <c r="O750" s="9"/>
      <c r="P750" s="9"/>
      <c r="Q750" s="9"/>
      <c r="R750" s="9"/>
      <c r="S750" s="23">
        <f t="shared" si="14"/>
        <v>3.8</v>
      </c>
      <c r="T750" s="24"/>
      <c r="U750" s="8"/>
    </row>
    <row r="751" spans="1:21" x14ac:dyDescent="0.25">
      <c r="A751" s="12" t="s">
        <v>188</v>
      </c>
      <c r="B751" s="46" t="s">
        <v>160</v>
      </c>
      <c r="C751" s="14"/>
      <c r="D751" s="40" t="s">
        <v>195</v>
      </c>
      <c r="E751" s="42"/>
      <c r="F751" s="42" t="s">
        <v>84</v>
      </c>
      <c r="G751" s="42"/>
      <c r="H751" s="10"/>
      <c r="I751" s="16"/>
      <c r="J751" s="9">
        <f>J750</f>
        <v>1.9</v>
      </c>
      <c r="K751" s="9">
        <f>2.5-2</f>
        <v>0.5</v>
      </c>
      <c r="L751" s="9"/>
      <c r="M751" s="9"/>
      <c r="N751" s="9"/>
      <c r="O751" s="9"/>
      <c r="P751" s="9"/>
      <c r="Q751" s="9"/>
      <c r="R751" s="9"/>
      <c r="S751" s="23">
        <f t="shared" si="14"/>
        <v>0.95</v>
      </c>
      <c r="T751" s="24"/>
      <c r="U751" s="8"/>
    </row>
    <row r="752" spans="1:21" x14ac:dyDescent="0.25">
      <c r="A752" s="12" t="s">
        <v>188</v>
      </c>
      <c r="B752" s="46" t="s">
        <v>160</v>
      </c>
      <c r="C752" s="14"/>
      <c r="D752" s="40" t="s">
        <v>195</v>
      </c>
      <c r="E752" s="42"/>
      <c r="F752" s="42"/>
      <c r="G752" s="42" t="s">
        <v>82</v>
      </c>
      <c r="H752" s="10"/>
      <c r="I752" s="16"/>
      <c r="J752" s="9">
        <f>J749</f>
        <v>6.9</v>
      </c>
      <c r="K752" s="9">
        <f>2.5-2</f>
        <v>0.5</v>
      </c>
      <c r="L752" s="9"/>
      <c r="M752" s="9"/>
      <c r="N752" s="9"/>
      <c r="O752" s="9"/>
      <c r="P752" s="9"/>
      <c r="Q752" s="9"/>
      <c r="R752" s="9"/>
      <c r="S752" s="23">
        <f t="shared" si="14"/>
        <v>3.45</v>
      </c>
      <c r="T752" s="24"/>
      <c r="U752" s="8"/>
    </row>
    <row r="753" spans="1:21" x14ac:dyDescent="0.25">
      <c r="A753" s="12" t="s">
        <v>188</v>
      </c>
      <c r="B753" s="46" t="s">
        <v>161</v>
      </c>
      <c r="C753" s="14"/>
      <c r="D753" s="40"/>
      <c r="E753" s="42"/>
      <c r="F753" s="42" t="s">
        <v>84</v>
      </c>
      <c r="G753" s="42"/>
      <c r="H753" s="10"/>
      <c r="I753" s="16"/>
      <c r="J753" s="9">
        <f>4.645+2.76+0.25+0.71+0.15*2</f>
        <v>8.6649999999999991</v>
      </c>
      <c r="K753" s="9">
        <v>2.75</v>
      </c>
      <c r="L753" s="9">
        <f>2.04*2</f>
        <v>4.08</v>
      </c>
      <c r="M753" s="9"/>
      <c r="N753" s="9"/>
      <c r="O753" s="9">
        <f>(0.25+0.71+0.15)*0.25</f>
        <v>0.27749999999999997</v>
      </c>
      <c r="P753" s="9"/>
      <c r="Q753" s="9"/>
      <c r="R753" s="9"/>
      <c r="S753" s="23">
        <f t="shared" si="14"/>
        <v>19.471250000000001</v>
      </c>
      <c r="T753" s="24"/>
      <c r="U753" s="8"/>
    </row>
    <row r="754" spans="1:21" x14ac:dyDescent="0.25">
      <c r="A754" s="12" t="s">
        <v>188</v>
      </c>
      <c r="B754" s="46" t="s">
        <v>161</v>
      </c>
      <c r="C754" s="14"/>
      <c r="D754" s="40"/>
      <c r="E754" s="42"/>
      <c r="F754" s="42"/>
      <c r="G754" s="42" t="s">
        <v>82</v>
      </c>
      <c r="H754" s="10"/>
      <c r="I754" s="16"/>
      <c r="J754" s="9">
        <f>23.07-J753</f>
        <v>14.405000000000001</v>
      </c>
      <c r="K754" s="9">
        <v>2.75</v>
      </c>
      <c r="L754" s="9"/>
      <c r="M754" s="9">
        <f>1.1*2+1*2</f>
        <v>4.2</v>
      </c>
      <c r="N754" s="9"/>
      <c r="O754" s="9">
        <f>(2.45*2+1.89-0.71-0.25)*0.25</f>
        <v>1.4575</v>
      </c>
      <c r="P754" s="9"/>
      <c r="Q754" s="9"/>
      <c r="R754" s="9"/>
      <c r="S754" s="23">
        <f t="shared" si="14"/>
        <v>33.956249999999997</v>
      </c>
      <c r="T754" s="24"/>
      <c r="U754" s="8"/>
    </row>
    <row r="755" spans="1:21" x14ac:dyDescent="0.25">
      <c r="A755" s="12" t="s">
        <v>188</v>
      </c>
      <c r="B755" s="46" t="s">
        <v>162</v>
      </c>
      <c r="C755" s="14"/>
      <c r="D755" s="40" t="s">
        <v>195</v>
      </c>
      <c r="E755" s="42" t="s">
        <v>86</v>
      </c>
      <c r="F755" s="42"/>
      <c r="G755" s="42"/>
      <c r="H755" s="10"/>
      <c r="I755" s="16" t="s">
        <v>89</v>
      </c>
      <c r="J755" s="9">
        <f>2.5*2+2.15</f>
        <v>7.15</v>
      </c>
      <c r="K755" s="9">
        <v>2</v>
      </c>
      <c r="L755" s="9"/>
      <c r="M755" s="9">
        <f>1*2</f>
        <v>2</v>
      </c>
      <c r="N755" s="9"/>
      <c r="O755" s="9"/>
      <c r="P755" s="9"/>
      <c r="Q755" s="9"/>
      <c r="R755" s="9"/>
      <c r="S755" s="23">
        <f t="shared" si="14"/>
        <v>12.3</v>
      </c>
      <c r="T755" s="24"/>
      <c r="U755" s="8"/>
    </row>
    <row r="756" spans="1:21" x14ac:dyDescent="0.25">
      <c r="A756" s="12" t="s">
        <v>188</v>
      </c>
      <c r="B756" s="46" t="s">
        <v>162</v>
      </c>
      <c r="C756" s="14"/>
      <c r="D756" s="40" t="s">
        <v>195</v>
      </c>
      <c r="E756" s="42" t="s">
        <v>86</v>
      </c>
      <c r="F756" s="42"/>
      <c r="G756" s="42"/>
      <c r="H756" s="10"/>
      <c r="I756" s="16" t="s">
        <v>147</v>
      </c>
      <c r="J756" s="9">
        <v>2.15</v>
      </c>
      <c r="K756" s="9">
        <v>2</v>
      </c>
      <c r="L756" s="9"/>
      <c r="M756" s="9"/>
      <c r="N756" s="9"/>
      <c r="O756" s="9"/>
      <c r="P756" s="9"/>
      <c r="Q756" s="9"/>
      <c r="R756" s="9"/>
      <c r="S756" s="23">
        <f t="shared" si="14"/>
        <v>4.3</v>
      </c>
      <c r="T756" s="24"/>
      <c r="U756" s="8"/>
    </row>
    <row r="757" spans="1:21" x14ac:dyDescent="0.25">
      <c r="A757" s="12" t="s">
        <v>188</v>
      </c>
      <c r="B757" s="46" t="s">
        <v>162</v>
      </c>
      <c r="C757" s="14"/>
      <c r="D757" s="40" t="s">
        <v>195</v>
      </c>
      <c r="E757" s="42"/>
      <c r="F757" s="42" t="s">
        <v>84</v>
      </c>
      <c r="G757" s="42"/>
      <c r="H757" s="10"/>
      <c r="I757" s="16"/>
      <c r="J757" s="9">
        <f>J756</f>
        <v>2.15</v>
      </c>
      <c r="K757" s="9">
        <f>2.5-2</f>
        <v>0.5</v>
      </c>
      <c r="L757" s="9"/>
      <c r="M757" s="9"/>
      <c r="N757" s="9"/>
      <c r="O757" s="9"/>
      <c r="P757" s="9"/>
      <c r="Q757" s="9"/>
      <c r="R757" s="9"/>
      <c r="S757" s="23">
        <f t="shared" si="14"/>
        <v>1.075</v>
      </c>
      <c r="T757" s="24"/>
      <c r="U757" s="8"/>
    </row>
    <row r="758" spans="1:21" x14ac:dyDescent="0.25">
      <c r="A758" s="12" t="s">
        <v>188</v>
      </c>
      <c r="B758" s="46" t="s">
        <v>162</v>
      </c>
      <c r="C758" s="14"/>
      <c r="D758" s="40" t="s">
        <v>195</v>
      </c>
      <c r="E758" s="42"/>
      <c r="F758" s="42"/>
      <c r="G758" s="42" t="s">
        <v>82</v>
      </c>
      <c r="H758" s="10"/>
      <c r="I758" s="16"/>
      <c r="J758" s="9">
        <f>J755</f>
        <v>7.15</v>
      </c>
      <c r="K758" s="9">
        <f>2.5-2</f>
        <v>0.5</v>
      </c>
      <c r="L758" s="9"/>
      <c r="M758" s="9"/>
      <c r="N758" s="9"/>
      <c r="O758" s="9"/>
      <c r="P758" s="9"/>
      <c r="Q758" s="9"/>
      <c r="R758" s="9"/>
      <c r="S758" s="23">
        <f t="shared" si="14"/>
        <v>3.5750000000000002</v>
      </c>
      <c r="T758" s="24"/>
      <c r="U758" s="8"/>
    </row>
    <row r="759" spans="1:21" x14ac:dyDescent="0.25">
      <c r="A759" s="12" t="s">
        <v>188</v>
      </c>
      <c r="B759" s="46" t="s">
        <v>163</v>
      </c>
      <c r="C759" s="14"/>
      <c r="D759" s="40"/>
      <c r="E759" s="42"/>
      <c r="F759" s="42" t="s">
        <v>84</v>
      </c>
      <c r="G759" s="42"/>
      <c r="H759" s="10"/>
      <c r="I759" s="16"/>
      <c r="J759" s="9">
        <f>20.78-J760</f>
        <v>13.450000000000001</v>
      </c>
      <c r="K759" s="9">
        <v>2.75</v>
      </c>
      <c r="L759" s="9">
        <f>2.04*2+0.54*2.5</f>
        <v>5.43</v>
      </c>
      <c r="M759" s="9"/>
      <c r="N759" s="9"/>
      <c r="O759" s="9">
        <f>(1.46+0.25)*0.25</f>
        <v>0.42749999999999999</v>
      </c>
      <c r="P759" s="9"/>
      <c r="Q759" s="9"/>
      <c r="R759" s="9"/>
      <c r="S759" s="23">
        <f t="shared" si="14"/>
        <v>31.130000000000006</v>
      </c>
      <c r="T759" s="24"/>
      <c r="U759" s="8"/>
    </row>
    <row r="760" spans="1:21" x14ac:dyDescent="0.25">
      <c r="A760" s="12" t="s">
        <v>188</v>
      </c>
      <c r="B760" s="46" t="s">
        <v>163</v>
      </c>
      <c r="C760" s="14"/>
      <c r="D760" s="40"/>
      <c r="E760" s="42"/>
      <c r="F760" s="42"/>
      <c r="G760" s="42" t="s">
        <v>82</v>
      </c>
      <c r="H760" s="10"/>
      <c r="I760" s="16"/>
      <c r="J760" s="9">
        <f>4.285+1.835+1.46-0.25</f>
        <v>7.33</v>
      </c>
      <c r="K760" s="9">
        <v>2.75</v>
      </c>
      <c r="L760" s="9"/>
      <c r="M760" s="9">
        <f>1.1*2+1*2</f>
        <v>4.2</v>
      </c>
      <c r="N760" s="9"/>
      <c r="O760" s="9">
        <f>(1.835+1.46-0.25)*0.25</f>
        <v>0.76124999999999998</v>
      </c>
      <c r="P760" s="9"/>
      <c r="Q760" s="9"/>
      <c r="R760" s="9"/>
      <c r="S760" s="23">
        <f t="shared" si="14"/>
        <v>15.196249999999999</v>
      </c>
      <c r="T760" s="24"/>
      <c r="U760" s="8"/>
    </row>
    <row r="761" spans="1:21" x14ac:dyDescent="0.25">
      <c r="A761" s="12" t="s">
        <v>188</v>
      </c>
      <c r="B761" s="46" t="s">
        <v>164</v>
      </c>
      <c r="C761" s="14"/>
      <c r="D761" s="40" t="s">
        <v>195</v>
      </c>
      <c r="E761" s="42" t="s">
        <v>86</v>
      </c>
      <c r="F761" s="42"/>
      <c r="G761" s="42"/>
      <c r="H761" s="10"/>
      <c r="I761" s="16" t="s">
        <v>89</v>
      </c>
      <c r="J761" s="9">
        <f>2.5*2+2.15</f>
        <v>7.15</v>
      </c>
      <c r="K761" s="9">
        <v>2</v>
      </c>
      <c r="L761" s="9"/>
      <c r="M761" s="9">
        <f>1*2</f>
        <v>2</v>
      </c>
      <c r="N761" s="9"/>
      <c r="O761" s="9"/>
      <c r="P761" s="9"/>
      <c r="Q761" s="9"/>
      <c r="R761" s="9"/>
      <c r="S761" s="23">
        <f t="shared" si="14"/>
        <v>12.3</v>
      </c>
      <c r="T761" s="24"/>
      <c r="U761" s="8"/>
    </row>
    <row r="762" spans="1:21" x14ac:dyDescent="0.25">
      <c r="A762" s="12" t="s">
        <v>188</v>
      </c>
      <c r="B762" s="46" t="s">
        <v>164</v>
      </c>
      <c r="C762" s="14"/>
      <c r="D762" s="40" t="s">
        <v>195</v>
      </c>
      <c r="E762" s="42" t="s">
        <v>86</v>
      </c>
      <c r="F762" s="42"/>
      <c r="G762" s="42"/>
      <c r="H762" s="10"/>
      <c r="I762" s="16" t="s">
        <v>147</v>
      </c>
      <c r="J762" s="9">
        <v>2.15</v>
      </c>
      <c r="K762" s="9">
        <v>2</v>
      </c>
      <c r="L762" s="9"/>
      <c r="M762" s="9"/>
      <c r="N762" s="9"/>
      <c r="O762" s="9"/>
      <c r="P762" s="9"/>
      <c r="Q762" s="9"/>
      <c r="R762" s="9"/>
      <c r="S762" s="23">
        <f t="shared" si="14"/>
        <v>4.3</v>
      </c>
      <c r="T762" s="24"/>
      <c r="U762" s="8"/>
    </row>
    <row r="763" spans="1:21" x14ac:dyDescent="0.25">
      <c r="A763" s="12" t="s">
        <v>188</v>
      </c>
      <c r="B763" s="46" t="s">
        <v>164</v>
      </c>
      <c r="C763" s="14"/>
      <c r="D763" s="40" t="s">
        <v>195</v>
      </c>
      <c r="E763" s="42"/>
      <c r="F763" s="42" t="s">
        <v>84</v>
      </c>
      <c r="G763" s="42"/>
      <c r="H763" s="10"/>
      <c r="I763" s="16"/>
      <c r="J763" s="9">
        <f>J762</f>
        <v>2.15</v>
      </c>
      <c r="K763" s="9">
        <f>2.5-2</f>
        <v>0.5</v>
      </c>
      <c r="L763" s="9"/>
      <c r="M763" s="9"/>
      <c r="N763" s="9"/>
      <c r="O763" s="9"/>
      <c r="P763" s="9"/>
      <c r="Q763" s="9"/>
      <c r="R763" s="9"/>
      <c r="S763" s="23">
        <f t="shared" si="14"/>
        <v>1.075</v>
      </c>
      <c r="T763" s="24"/>
      <c r="U763" s="8"/>
    </row>
    <row r="764" spans="1:21" x14ac:dyDescent="0.25">
      <c r="A764" s="12" t="s">
        <v>188</v>
      </c>
      <c r="B764" s="46" t="s">
        <v>164</v>
      </c>
      <c r="C764" s="14"/>
      <c r="D764" s="40" t="s">
        <v>195</v>
      </c>
      <c r="E764" s="42"/>
      <c r="F764" s="42"/>
      <c r="G764" s="42" t="s">
        <v>82</v>
      </c>
      <c r="H764" s="10"/>
      <c r="I764" s="16"/>
      <c r="J764" s="9">
        <f>J761</f>
        <v>7.15</v>
      </c>
      <c r="K764" s="9">
        <f>2.5-2</f>
        <v>0.5</v>
      </c>
      <c r="L764" s="9"/>
      <c r="M764" s="9"/>
      <c r="N764" s="9"/>
      <c r="O764" s="9"/>
      <c r="P764" s="9"/>
      <c r="Q764" s="9"/>
      <c r="R764" s="9"/>
      <c r="S764" s="23">
        <f t="shared" si="14"/>
        <v>3.5750000000000002</v>
      </c>
      <c r="T764" s="24"/>
      <c r="U764" s="8"/>
    </row>
    <row r="765" spans="1:21" x14ac:dyDescent="0.25">
      <c r="A765" s="12" t="s">
        <v>188</v>
      </c>
      <c r="B765" s="46" t="s">
        <v>165</v>
      </c>
      <c r="C765" s="14"/>
      <c r="D765" s="40"/>
      <c r="E765" s="42"/>
      <c r="F765" s="42" t="s">
        <v>84</v>
      </c>
      <c r="G765" s="42"/>
      <c r="H765" s="10"/>
      <c r="I765" s="16"/>
      <c r="J765" s="9">
        <v>4.12</v>
      </c>
      <c r="K765" s="9">
        <v>2.75</v>
      </c>
      <c r="L765" s="9">
        <f>2.04*2</f>
        <v>4.08</v>
      </c>
      <c r="M765" s="9"/>
      <c r="N765" s="9"/>
      <c r="O765" s="9"/>
      <c r="P765" s="9"/>
      <c r="Q765" s="9"/>
      <c r="R765" s="9"/>
      <c r="S765" s="23">
        <f t="shared" si="14"/>
        <v>7.25</v>
      </c>
      <c r="T765" s="24"/>
      <c r="U765" s="8"/>
    </row>
    <row r="766" spans="1:21" x14ac:dyDescent="0.25">
      <c r="A766" s="12" t="s">
        <v>188</v>
      </c>
      <c r="B766" s="46" t="s">
        <v>165</v>
      </c>
      <c r="C766" s="14"/>
      <c r="D766" s="40"/>
      <c r="E766" s="42"/>
      <c r="F766" s="42"/>
      <c r="G766" s="42" t="s">
        <v>82</v>
      </c>
      <c r="H766" s="10"/>
      <c r="I766" s="16"/>
      <c r="J766" s="9">
        <f>21.73-J765-J767</f>
        <v>15.2</v>
      </c>
      <c r="K766" s="9">
        <v>2.75</v>
      </c>
      <c r="L766" s="9"/>
      <c r="M766" s="9">
        <f>1.1*2+1*2</f>
        <v>4.2</v>
      </c>
      <c r="N766" s="9"/>
      <c r="O766" s="9">
        <f>(1.96+1.75*2)*0.25</f>
        <v>1.365</v>
      </c>
      <c r="P766" s="9"/>
      <c r="Q766" s="9"/>
      <c r="R766" s="9"/>
      <c r="S766" s="23">
        <f t="shared" si="14"/>
        <v>36.234999999999992</v>
      </c>
      <c r="T766" s="24"/>
      <c r="U766" s="8"/>
    </row>
    <row r="767" spans="1:21" x14ac:dyDescent="0.25">
      <c r="A767" s="12" t="s">
        <v>188</v>
      </c>
      <c r="B767" s="46" t="s">
        <v>165</v>
      </c>
      <c r="C767" s="14"/>
      <c r="D767" s="40"/>
      <c r="E767" s="42"/>
      <c r="F767" s="42" t="s">
        <v>84</v>
      </c>
      <c r="G767" s="42"/>
      <c r="H767" s="10"/>
      <c r="I767" s="16"/>
      <c r="J767" s="9">
        <f>2.16+0.25</f>
        <v>2.41</v>
      </c>
      <c r="K767" s="9">
        <v>2.75</v>
      </c>
      <c r="L767" s="9"/>
      <c r="M767" s="9"/>
      <c r="N767" s="9"/>
      <c r="O767" s="9">
        <f>(0.25)*0.25</f>
        <v>6.25E-2</v>
      </c>
      <c r="P767" s="9"/>
      <c r="Q767" s="9"/>
      <c r="R767" s="9"/>
      <c r="S767" s="23">
        <f t="shared" si="14"/>
        <v>6.5650000000000004</v>
      </c>
      <c r="T767" s="24"/>
      <c r="U767" s="8"/>
    </row>
    <row r="768" spans="1:21" x14ac:dyDescent="0.25">
      <c r="A768" s="12" t="s">
        <v>188</v>
      </c>
      <c r="B768" s="46" t="s">
        <v>166</v>
      </c>
      <c r="C768" s="14"/>
      <c r="D768" s="40" t="s">
        <v>195</v>
      </c>
      <c r="E768" s="42" t="s">
        <v>86</v>
      </c>
      <c r="F768" s="42"/>
      <c r="G768" s="42"/>
      <c r="H768" s="10"/>
      <c r="I768" s="16" t="s">
        <v>89</v>
      </c>
      <c r="J768" s="9">
        <f>1.9+2.5*2</f>
        <v>6.9</v>
      </c>
      <c r="K768" s="9">
        <v>2</v>
      </c>
      <c r="L768" s="9"/>
      <c r="M768" s="9">
        <f>1*2</f>
        <v>2</v>
      </c>
      <c r="N768" s="9"/>
      <c r="O768" s="9"/>
      <c r="P768" s="9"/>
      <c r="Q768" s="9"/>
      <c r="R768" s="9"/>
      <c r="S768" s="23">
        <f t="shared" si="14"/>
        <v>11.8</v>
      </c>
      <c r="T768" s="24"/>
      <c r="U768" s="8"/>
    </row>
    <row r="769" spans="1:21" x14ac:dyDescent="0.25">
      <c r="A769" s="12" t="s">
        <v>188</v>
      </c>
      <c r="B769" s="46" t="s">
        <v>166</v>
      </c>
      <c r="C769" s="14"/>
      <c r="D769" s="40" t="s">
        <v>195</v>
      </c>
      <c r="E769" s="42" t="s">
        <v>86</v>
      </c>
      <c r="F769" s="42"/>
      <c r="G769" s="42"/>
      <c r="H769" s="10"/>
      <c r="I769" s="16" t="s">
        <v>147</v>
      </c>
      <c r="J769" s="9">
        <v>1.9</v>
      </c>
      <c r="K769" s="9">
        <v>2</v>
      </c>
      <c r="L769" s="9"/>
      <c r="M769" s="9"/>
      <c r="N769" s="9"/>
      <c r="O769" s="9"/>
      <c r="P769" s="9"/>
      <c r="Q769" s="9"/>
      <c r="R769" s="9"/>
      <c r="S769" s="23">
        <f t="shared" si="14"/>
        <v>3.8</v>
      </c>
      <c r="T769" s="24"/>
      <c r="U769" s="8"/>
    </row>
    <row r="770" spans="1:21" x14ac:dyDescent="0.25">
      <c r="A770" s="12" t="s">
        <v>188</v>
      </c>
      <c r="B770" s="46" t="s">
        <v>166</v>
      </c>
      <c r="C770" s="14"/>
      <c r="D770" s="40" t="s">
        <v>195</v>
      </c>
      <c r="E770" s="42"/>
      <c r="F770" s="42" t="s">
        <v>84</v>
      </c>
      <c r="G770" s="42"/>
      <c r="H770" s="10"/>
      <c r="I770" s="16"/>
      <c r="J770" s="9">
        <f>J769</f>
        <v>1.9</v>
      </c>
      <c r="K770" s="9">
        <f>2.5-2</f>
        <v>0.5</v>
      </c>
      <c r="L770" s="9"/>
      <c r="M770" s="9"/>
      <c r="N770" s="9"/>
      <c r="O770" s="9"/>
      <c r="P770" s="9"/>
      <c r="Q770" s="9"/>
      <c r="R770" s="9"/>
      <c r="S770" s="23">
        <f t="shared" si="14"/>
        <v>0.95</v>
      </c>
      <c r="T770" s="24"/>
      <c r="U770" s="8"/>
    </row>
    <row r="771" spans="1:21" x14ac:dyDescent="0.25">
      <c r="A771" s="12" t="s">
        <v>188</v>
      </c>
      <c r="B771" s="46" t="s">
        <v>166</v>
      </c>
      <c r="C771" s="14"/>
      <c r="D771" s="40" t="s">
        <v>195</v>
      </c>
      <c r="E771" s="42"/>
      <c r="F771" s="42"/>
      <c r="G771" s="42" t="s">
        <v>82</v>
      </c>
      <c r="H771" s="10"/>
      <c r="I771" s="16"/>
      <c r="J771" s="9">
        <f>J768</f>
        <v>6.9</v>
      </c>
      <c r="K771" s="9">
        <f>2.5-2</f>
        <v>0.5</v>
      </c>
      <c r="L771" s="9"/>
      <c r="M771" s="9"/>
      <c r="N771" s="9"/>
      <c r="O771" s="9"/>
      <c r="P771" s="9"/>
      <c r="Q771" s="9"/>
      <c r="R771" s="9"/>
      <c r="S771" s="23">
        <f t="shared" si="14"/>
        <v>3.45</v>
      </c>
      <c r="T771" s="24"/>
      <c r="U771" s="8"/>
    </row>
    <row r="772" spans="1:21" x14ac:dyDescent="0.25">
      <c r="A772" s="12" t="s">
        <v>188</v>
      </c>
      <c r="B772" s="46" t="s">
        <v>167</v>
      </c>
      <c r="C772" s="14"/>
      <c r="D772" s="40"/>
      <c r="E772" s="42"/>
      <c r="F772" s="42" t="s">
        <v>84</v>
      </c>
      <c r="G772" s="42"/>
      <c r="H772" s="10"/>
      <c r="I772" s="16"/>
      <c r="J772" s="9">
        <v>4.1150000000000002</v>
      </c>
      <c r="K772" s="9">
        <v>2.75</v>
      </c>
      <c r="L772" s="9">
        <f>2.04*2</f>
        <v>4.08</v>
      </c>
      <c r="M772" s="9"/>
      <c r="N772" s="9"/>
      <c r="O772" s="9"/>
      <c r="P772" s="9"/>
      <c r="Q772" s="9"/>
      <c r="R772" s="9"/>
      <c r="S772" s="23">
        <f t="shared" si="14"/>
        <v>7.2362500000000001</v>
      </c>
      <c r="T772" s="24"/>
      <c r="U772" s="8"/>
    </row>
    <row r="773" spans="1:21" x14ac:dyDescent="0.25">
      <c r="A773" s="12" t="s">
        <v>188</v>
      </c>
      <c r="B773" s="46" t="s">
        <v>167</v>
      </c>
      <c r="C773" s="14"/>
      <c r="D773" s="40"/>
      <c r="E773" s="42"/>
      <c r="F773" s="42"/>
      <c r="G773" s="42" t="s">
        <v>82</v>
      </c>
      <c r="H773" s="10"/>
      <c r="I773" s="16"/>
      <c r="J773" s="9">
        <f>21.69-J772-J774</f>
        <v>15.175000000000002</v>
      </c>
      <c r="K773" s="9">
        <v>2.75</v>
      </c>
      <c r="L773" s="9"/>
      <c r="M773" s="9">
        <f>1.1*2+1*2</f>
        <v>4.2</v>
      </c>
      <c r="N773" s="9"/>
      <c r="O773" s="9">
        <f>(1.96+1.75*2)*0.25</f>
        <v>1.365</v>
      </c>
      <c r="P773" s="9"/>
      <c r="Q773" s="9"/>
      <c r="R773" s="9"/>
      <c r="S773" s="23">
        <f t="shared" si="14"/>
        <v>36.166250000000005</v>
      </c>
      <c r="T773" s="24"/>
      <c r="U773" s="8"/>
    </row>
    <row r="774" spans="1:21" x14ac:dyDescent="0.25">
      <c r="A774" s="12" t="s">
        <v>188</v>
      </c>
      <c r="B774" s="46" t="s">
        <v>167</v>
      </c>
      <c r="C774" s="14"/>
      <c r="D774" s="40"/>
      <c r="E774" s="42"/>
      <c r="F774" s="42" t="s">
        <v>84</v>
      </c>
      <c r="G774" s="42"/>
      <c r="H774" s="10"/>
      <c r="I774" s="16"/>
      <c r="J774" s="9">
        <f>2.15+0.25</f>
        <v>2.4</v>
      </c>
      <c r="K774" s="9">
        <v>2.75</v>
      </c>
      <c r="L774" s="9"/>
      <c r="M774" s="9"/>
      <c r="N774" s="9"/>
      <c r="O774" s="9">
        <f>(0.25)*0.25</f>
        <v>6.25E-2</v>
      </c>
      <c r="P774" s="9"/>
      <c r="Q774" s="9"/>
      <c r="R774" s="9"/>
      <c r="S774" s="23">
        <f t="shared" si="14"/>
        <v>6.5374999999999996</v>
      </c>
      <c r="T774" s="24"/>
      <c r="U774" s="8"/>
    </row>
    <row r="775" spans="1:21" x14ac:dyDescent="0.25">
      <c r="A775" s="12" t="s">
        <v>188</v>
      </c>
      <c r="B775" s="46" t="s">
        <v>168</v>
      </c>
      <c r="C775" s="14"/>
      <c r="D775" s="40" t="s">
        <v>195</v>
      </c>
      <c r="E775" s="42" t="s">
        <v>86</v>
      </c>
      <c r="F775" s="42"/>
      <c r="G775" s="42"/>
      <c r="H775" s="10"/>
      <c r="I775" s="16" t="s">
        <v>89</v>
      </c>
      <c r="J775" s="9">
        <f>1.9+2.5*2</f>
        <v>6.9</v>
      </c>
      <c r="K775" s="9">
        <v>2</v>
      </c>
      <c r="L775" s="9"/>
      <c r="M775" s="9">
        <f>1*2</f>
        <v>2</v>
      </c>
      <c r="N775" s="9"/>
      <c r="O775" s="9"/>
      <c r="P775" s="9"/>
      <c r="Q775" s="9"/>
      <c r="R775" s="9"/>
      <c r="S775" s="23">
        <f t="shared" si="14"/>
        <v>11.8</v>
      </c>
      <c r="T775" s="24"/>
      <c r="U775" s="8"/>
    </row>
    <row r="776" spans="1:21" x14ac:dyDescent="0.25">
      <c r="A776" s="12" t="s">
        <v>188</v>
      </c>
      <c r="B776" s="46" t="s">
        <v>168</v>
      </c>
      <c r="C776" s="14"/>
      <c r="D776" s="40" t="s">
        <v>195</v>
      </c>
      <c r="E776" s="42" t="s">
        <v>86</v>
      </c>
      <c r="F776" s="42"/>
      <c r="G776" s="42"/>
      <c r="H776" s="10"/>
      <c r="I776" s="16" t="s">
        <v>147</v>
      </c>
      <c r="J776" s="9">
        <v>1.9</v>
      </c>
      <c r="K776" s="9">
        <v>2</v>
      </c>
      <c r="L776" s="9"/>
      <c r="M776" s="9"/>
      <c r="N776" s="9"/>
      <c r="O776" s="9"/>
      <c r="P776" s="9"/>
      <c r="Q776" s="9"/>
      <c r="R776" s="9"/>
      <c r="S776" s="23">
        <f t="shared" si="14"/>
        <v>3.8</v>
      </c>
      <c r="T776" s="24"/>
      <c r="U776" s="8"/>
    </row>
    <row r="777" spans="1:21" x14ac:dyDescent="0.25">
      <c r="A777" s="12" t="s">
        <v>188</v>
      </c>
      <c r="B777" s="46" t="s">
        <v>168</v>
      </c>
      <c r="C777" s="14"/>
      <c r="D777" s="40" t="s">
        <v>195</v>
      </c>
      <c r="E777" s="42"/>
      <c r="F777" s="42" t="s">
        <v>84</v>
      </c>
      <c r="G777" s="42"/>
      <c r="H777" s="10"/>
      <c r="I777" s="16"/>
      <c r="J777" s="9">
        <f>J776</f>
        <v>1.9</v>
      </c>
      <c r="K777" s="9">
        <f>2.5-2</f>
        <v>0.5</v>
      </c>
      <c r="L777" s="9"/>
      <c r="M777" s="9"/>
      <c r="N777" s="9"/>
      <c r="O777" s="9"/>
      <c r="P777" s="9"/>
      <c r="Q777" s="9"/>
      <c r="R777" s="9"/>
      <c r="S777" s="23">
        <f t="shared" si="14"/>
        <v>0.95</v>
      </c>
      <c r="T777" s="24"/>
      <c r="U777" s="8"/>
    </row>
    <row r="778" spans="1:21" x14ac:dyDescent="0.25">
      <c r="A778" s="12" t="s">
        <v>188</v>
      </c>
      <c r="B778" s="46" t="s">
        <v>168</v>
      </c>
      <c r="C778" s="14"/>
      <c r="D778" s="40" t="s">
        <v>195</v>
      </c>
      <c r="E778" s="42"/>
      <c r="F778" s="42"/>
      <c r="G778" s="42" t="s">
        <v>82</v>
      </c>
      <c r="H778" s="10"/>
      <c r="I778" s="16"/>
      <c r="J778" s="9">
        <f>J775</f>
        <v>6.9</v>
      </c>
      <c r="K778" s="9">
        <f>2.5-2</f>
        <v>0.5</v>
      </c>
      <c r="L778" s="9"/>
      <c r="M778" s="9"/>
      <c r="N778" s="9"/>
      <c r="O778" s="9"/>
      <c r="P778" s="9"/>
      <c r="Q778" s="9"/>
      <c r="R778" s="9"/>
      <c r="S778" s="23">
        <f t="shared" ref="S778:S825" si="15">IF(AND(ISBLANK(E778),ISBLANK(F778),ISBLANK(G778),ISBLANK(H778)),"",IF(J778*K778-L778-M778-N778-O778+P778+Q778+R778=0,"",J778*K778-L778-M778-N778-O778+P778+Q778+R778))</f>
        <v>3.45</v>
      </c>
      <c r="T778" s="24"/>
      <c r="U778" s="8"/>
    </row>
    <row r="779" spans="1:21" x14ac:dyDescent="0.25">
      <c r="A779" s="12" t="s">
        <v>188</v>
      </c>
      <c r="B779" s="46" t="s">
        <v>169</v>
      </c>
      <c r="C779" s="14"/>
      <c r="D779" s="40"/>
      <c r="E779" s="42"/>
      <c r="F779" s="42"/>
      <c r="G779" s="42" t="s">
        <v>82</v>
      </c>
      <c r="H779" s="10"/>
      <c r="I779" s="16"/>
      <c r="J779" s="9">
        <f>18.89-J780-J781</f>
        <v>15.790000000000001</v>
      </c>
      <c r="K779" s="9">
        <v>2.5</v>
      </c>
      <c r="L779" s="9"/>
      <c r="M779" s="9">
        <f>1.55*2.425+1.3*2.5+1.1*2</f>
        <v>9.2087500000000002</v>
      </c>
      <c r="N779" s="9"/>
      <c r="O779" s="9"/>
      <c r="P779" s="9"/>
      <c r="Q779" s="9"/>
      <c r="R779" s="9">
        <f>(1.7*2+1)*0.2</f>
        <v>0.88000000000000012</v>
      </c>
      <c r="S779" s="23">
        <f t="shared" si="15"/>
        <v>31.146249999999998</v>
      </c>
      <c r="T779" s="24"/>
      <c r="U779" s="8"/>
    </row>
    <row r="780" spans="1:21" x14ac:dyDescent="0.25">
      <c r="A780" s="12" t="s">
        <v>188</v>
      </c>
      <c r="B780" s="46" t="s">
        <v>169</v>
      </c>
      <c r="C780" s="14"/>
      <c r="D780" s="40"/>
      <c r="E780" s="42"/>
      <c r="F780" s="42" t="s">
        <v>84</v>
      </c>
      <c r="G780" s="42"/>
      <c r="H780" s="10"/>
      <c r="I780" s="16"/>
      <c r="J780" s="9">
        <f>2.7+0.2</f>
        <v>2.9000000000000004</v>
      </c>
      <c r="K780" s="9">
        <v>2.5</v>
      </c>
      <c r="L780" s="9"/>
      <c r="M780" s="9">
        <f>2.5*2.5</f>
        <v>6.25</v>
      </c>
      <c r="N780" s="9"/>
      <c r="O780" s="9"/>
      <c r="P780" s="9"/>
      <c r="Q780" s="9"/>
      <c r="R780" s="9">
        <f>2.7*0.2</f>
        <v>0.54</v>
      </c>
      <c r="S780" s="23">
        <f t="shared" si="15"/>
        <v>1.5400000000000009</v>
      </c>
      <c r="T780" s="24"/>
      <c r="U780" s="8"/>
    </row>
    <row r="781" spans="1:21" x14ac:dyDescent="0.25">
      <c r="A781" s="12" t="s">
        <v>188</v>
      </c>
      <c r="B781" s="46" t="s">
        <v>169</v>
      </c>
      <c r="C781" s="14"/>
      <c r="D781" s="40"/>
      <c r="E781" s="42"/>
      <c r="F781" s="42" t="s">
        <v>85</v>
      </c>
      <c r="G781" s="42"/>
      <c r="H781" s="10"/>
      <c r="I781" s="16"/>
      <c r="J781" s="9">
        <v>0.2</v>
      </c>
      <c r="K781" s="9">
        <v>2.5</v>
      </c>
      <c r="L781" s="9"/>
      <c r="M781" s="9"/>
      <c r="N781" s="9"/>
      <c r="O781" s="9"/>
      <c r="P781" s="9"/>
      <c r="Q781" s="9"/>
      <c r="R781" s="9"/>
      <c r="S781" s="23">
        <f t="shared" si="15"/>
        <v>0.5</v>
      </c>
      <c r="T781" s="24"/>
      <c r="U781" s="8"/>
    </row>
    <row r="782" spans="1:21" x14ac:dyDescent="0.25">
      <c r="A782" s="12" t="s">
        <v>188</v>
      </c>
      <c r="B782" s="46" t="s">
        <v>170</v>
      </c>
      <c r="C782" s="14"/>
      <c r="D782" s="40"/>
      <c r="E782" s="42"/>
      <c r="F782" s="42" t="s">
        <v>84</v>
      </c>
      <c r="G782" s="42"/>
      <c r="H782" s="10"/>
      <c r="I782" s="16"/>
      <c r="J782" s="9">
        <f>25.68-J783</f>
        <v>20.274999999999999</v>
      </c>
      <c r="K782" s="9">
        <v>2.75</v>
      </c>
      <c r="L782" s="9">
        <f>2.04*2+0.54*2.5</f>
        <v>5.43</v>
      </c>
      <c r="M782" s="9"/>
      <c r="N782" s="9"/>
      <c r="O782" s="9">
        <f>(1.75+0.25)*0.25</f>
        <v>0.5</v>
      </c>
      <c r="P782" s="9"/>
      <c r="Q782" s="9"/>
      <c r="R782" s="9"/>
      <c r="S782" s="23">
        <f t="shared" si="15"/>
        <v>49.826249999999995</v>
      </c>
      <c r="T782" s="24"/>
      <c r="U782" s="8"/>
    </row>
    <row r="783" spans="1:21" x14ac:dyDescent="0.25">
      <c r="A783" s="12" t="s">
        <v>188</v>
      </c>
      <c r="B783" s="46" t="s">
        <v>170</v>
      </c>
      <c r="C783" s="14"/>
      <c r="D783" s="40"/>
      <c r="E783" s="42"/>
      <c r="F783" s="42"/>
      <c r="G783" s="42" t="s">
        <v>82</v>
      </c>
      <c r="H783" s="10"/>
      <c r="I783" s="16"/>
      <c r="J783" s="9">
        <f>1.755+1.76-0.25+2.14</f>
        <v>5.4049999999999994</v>
      </c>
      <c r="K783" s="9">
        <v>2.75</v>
      </c>
      <c r="L783" s="9"/>
      <c r="M783" s="9">
        <f>1.1*2+1*2</f>
        <v>4.2</v>
      </c>
      <c r="N783" s="9"/>
      <c r="O783" s="9">
        <f>(1.755+1.75-0.25)*0.25</f>
        <v>0.81374999999999997</v>
      </c>
      <c r="P783" s="9"/>
      <c r="Q783" s="9"/>
      <c r="R783" s="9"/>
      <c r="S783" s="23">
        <f t="shared" si="15"/>
        <v>9.8499999999999961</v>
      </c>
      <c r="T783" s="24"/>
      <c r="U783" s="8"/>
    </row>
    <row r="784" spans="1:21" x14ac:dyDescent="0.25">
      <c r="A784" s="12" t="s">
        <v>188</v>
      </c>
      <c r="B784" s="46" t="s">
        <v>171</v>
      </c>
      <c r="C784" s="14"/>
      <c r="D784" s="40" t="s">
        <v>195</v>
      </c>
      <c r="E784" s="42" t="s">
        <v>86</v>
      </c>
      <c r="F784" s="42"/>
      <c r="G784" s="42"/>
      <c r="H784" s="10"/>
      <c r="I784" s="16" t="s">
        <v>89</v>
      </c>
      <c r="J784" s="9">
        <f>2.5*2+1.9</f>
        <v>6.9</v>
      </c>
      <c r="K784" s="9">
        <v>2</v>
      </c>
      <c r="L784" s="9"/>
      <c r="M784" s="9">
        <f>1*2</f>
        <v>2</v>
      </c>
      <c r="N784" s="9"/>
      <c r="O784" s="9"/>
      <c r="P784" s="9"/>
      <c r="Q784" s="9"/>
      <c r="R784" s="9"/>
      <c r="S784" s="23">
        <f t="shared" si="15"/>
        <v>11.8</v>
      </c>
      <c r="T784" s="24"/>
      <c r="U784" s="8"/>
    </row>
    <row r="785" spans="1:21" x14ac:dyDescent="0.25">
      <c r="A785" s="12" t="s">
        <v>188</v>
      </c>
      <c r="B785" s="46" t="s">
        <v>171</v>
      </c>
      <c r="C785" s="14"/>
      <c r="D785" s="40" t="s">
        <v>195</v>
      </c>
      <c r="E785" s="42" t="s">
        <v>86</v>
      </c>
      <c r="F785" s="42"/>
      <c r="G785" s="42"/>
      <c r="H785" s="10"/>
      <c r="I785" s="16" t="s">
        <v>147</v>
      </c>
      <c r="J785" s="9">
        <v>1.9</v>
      </c>
      <c r="K785" s="9">
        <v>2</v>
      </c>
      <c r="L785" s="9"/>
      <c r="M785" s="9"/>
      <c r="N785" s="9"/>
      <c r="O785" s="9"/>
      <c r="P785" s="9"/>
      <c r="Q785" s="9"/>
      <c r="R785" s="9"/>
      <c r="S785" s="23">
        <f t="shared" si="15"/>
        <v>3.8</v>
      </c>
      <c r="T785" s="24"/>
      <c r="U785" s="8"/>
    </row>
    <row r="786" spans="1:21" x14ac:dyDescent="0.25">
      <c r="A786" s="12" t="s">
        <v>188</v>
      </c>
      <c r="B786" s="46" t="s">
        <v>171</v>
      </c>
      <c r="C786" s="14"/>
      <c r="D786" s="40" t="s">
        <v>195</v>
      </c>
      <c r="E786" s="42"/>
      <c r="F786" s="42" t="s">
        <v>84</v>
      </c>
      <c r="G786" s="42"/>
      <c r="H786" s="10"/>
      <c r="I786" s="16"/>
      <c r="J786" s="9">
        <f>J785</f>
        <v>1.9</v>
      </c>
      <c r="K786" s="9">
        <f>2.5-2</f>
        <v>0.5</v>
      </c>
      <c r="L786" s="9"/>
      <c r="M786" s="9"/>
      <c r="N786" s="9"/>
      <c r="O786" s="9"/>
      <c r="P786" s="9"/>
      <c r="Q786" s="9"/>
      <c r="R786" s="9"/>
      <c r="S786" s="23">
        <f t="shared" si="15"/>
        <v>0.95</v>
      </c>
      <c r="T786" s="24"/>
      <c r="U786" s="8"/>
    </row>
    <row r="787" spans="1:21" x14ac:dyDescent="0.25">
      <c r="A787" s="12" t="s">
        <v>188</v>
      </c>
      <c r="B787" s="46" t="s">
        <v>171</v>
      </c>
      <c r="C787" s="14"/>
      <c r="D787" s="40" t="s">
        <v>195</v>
      </c>
      <c r="E787" s="42"/>
      <c r="F787" s="42"/>
      <c r="G787" s="42" t="s">
        <v>82</v>
      </c>
      <c r="H787" s="10"/>
      <c r="I787" s="16"/>
      <c r="J787" s="9">
        <f>J784</f>
        <v>6.9</v>
      </c>
      <c r="K787" s="9">
        <f>2.5-2</f>
        <v>0.5</v>
      </c>
      <c r="L787" s="9"/>
      <c r="M787" s="9"/>
      <c r="N787" s="9"/>
      <c r="O787" s="9"/>
      <c r="P787" s="9"/>
      <c r="Q787" s="9"/>
      <c r="R787" s="9"/>
      <c r="S787" s="23">
        <f t="shared" si="15"/>
        <v>3.45</v>
      </c>
      <c r="T787" s="24"/>
      <c r="U787" s="8"/>
    </row>
    <row r="788" spans="1:21" x14ac:dyDescent="0.25">
      <c r="A788" s="12" t="s">
        <v>188</v>
      </c>
      <c r="B788" s="46" t="s">
        <v>172</v>
      </c>
      <c r="C788" s="14"/>
      <c r="D788" s="40"/>
      <c r="E788" s="42"/>
      <c r="F788" s="42" t="s">
        <v>84</v>
      </c>
      <c r="G788" s="42"/>
      <c r="H788" s="10"/>
      <c r="I788" s="16"/>
      <c r="J788" s="9">
        <f>4.6+2.185+0.25</f>
        <v>7.0350000000000001</v>
      </c>
      <c r="K788" s="9">
        <v>2.75</v>
      </c>
      <c r="L788" s="9">
        <f>2.04*2</f>
        <v>4.08</v>
      </c>
      <c r="M788" s="9"/>
      <c r="N788" s="9"/>
      <c r="O788" s="9">
        <f>(0.25)*0.25</f>
        <v>6.25E-2</v>
      </c>
      <c r="P788" s="9"/>
      <c r="Q788" s="9"/>
      <c r="R788" s="9"/>
      <c r="S788" s="23">
        <f t="shared" si="15"/>
        <v>15.203750000000001</v>
      </c>
      <c r="T788" s="24"/>
      <c r="U788" s="8"/>
    </row>
    <row r="789" spans="1:21" x14ac:dyDescent="0.25">
      <c r="A789" s="12" t="s">
        <v>188</v>
      </c>
      <c r="B789" s="46" t="s">
        <v>172</v>
      </c>
      <c r="C789" s="14"/>
      <c r="D789" s="40"/>
      <c r="E789" s="42"/>
      <c r="F789" s="42"/>
      <c r="G789" s="42" t="s">
        <v>82</v>
      </c>
      <c r="H789" s="10"/>
      <c r="I789" s="16"/>
      <c r="J789" s="9">
        <f>22.69-J788</f>
        <v>15.655000000000001</v>
      </c>
      <c r="K789" s="9">
        <v>2.75</v>
      </c>
      <c r="L789" s="9"/>
      <c r="M789" s="9">
        <f>1.1*2+1*2</f>
        <v>4.2</v>
      </c>
      <c r="N789" s="9"/>
      <c r="O789" s="9">
        <f>(1.91+1.76*2-0.25)*0.25</f>
        <v>1.2949999999999999</v>
      </c>
      <c r="P789" s="9"/>
      <c r="Q789" s="9"/>
      <c r="R789" s="9"/>
      <c r="S789" s="23">
        <f t="shared" si="15"/>
        <v>37.556249999999999</v>
      </c>
      <c r="T789" s="24"/>
      <c r="U789" s="8"/>
    </row>
    <row r="790" spans="1:21" x14ac:dyDescent="0.25">
      <c r="A790" s="12" t="s">
        <v>188</v>
      </c>
      <c r="B790" s="46" t="s">
        <v>173</v>
      </c>
      <c r="C790" s="14"/>
      <c r="D790" s="40" t="s">
        <v>195</v>
      </c>
      <c r="E790" s="42" t="s">
        <v>86</v>
      </c>
      <c r="F790" s="42"/>
      <c r="G790" s="42"/>
      <c r="H790" s="10"/>
      <c r="I790" s="16" t="s">
        <v>89</v>
      </c>
      <c r="J790" s="9">
        <f>2.5*2+1.9</f>
        <v>6.9</v>
      </c>
      <c r="K790" s="9">
        <v>2</v>
      </c>
      <c r="L790" s="9"/>
      <c r="M790" s="9">
        <f>1*2</f>
        <v>2</v>
      </c>
      <c r="N790" s="9"/>
      <c r="O790" s="9"/>
      <c r="P790" s="9"/>
      <c r="Q790" s="9"/>
      <c r="R790" s="9"/>
      <c r="S790" s="23">
        <f t="shared" si="15"/>
        <v>11.8</v>
      </c>
      <c r="T790" s="24"/>
      <c r="U790" s="8"/>
    </row>
    <row r="791" spans="1:21" x14ac:dyDescent="0.25">
      <c r="A791" s="12" t="s">
        <v>188</v>
      </c>
      <c r="B791" s="46" t="s">
        <v>173</v>
      </c>
      <c r="C791" s="14"/>
      <c r="D791" s="40" t="s">
        <v>195</v>
      </c>
      <c r="E791" s="42" t="s">
        <v>86</v>
      </c>
      <c r="F791" s="42"/>
      <c r="G791" s="42"/>
      <c r="H791" s="10"/>
      <c r="I791" s="16" t="s">
        <v>147</v>
      </c>
      <c r="J791" s="9">
        <v>1.9</v>
      </c>
      <c r="K791" s="9">
        <v>2</v>
      </c>
      <c r="L791" s="9"/>
      <c r="M791" s="9"/>
      <c r="N791" s="9"/>
      <c r="O791" s="9"/>
      <c r="P791" s="9"/>
      <c r="Q791" s="9"/>
      <c r="R791" s="9"/>
      <c r="S791" s="23">
        <f t="shared" si="15"/>
        <v>3.8</v>
      </c>
      <c r="T791" s="24"/>
      <c r="U791" s="8"/>
    </row>
    <row r="792" spans="1:21" x14ac:dyDescent="0.25">
      <c r="A792" s="12" t="s">
        <v>188</v>
      </c>
      <c r="B792" s="46" t="s">
        <v>173</v>
      </c>
      <c r="C792" s="14"/>
      <c r="D792" s="40" t="s">
        <v>195</v>
      </c>
      <c r="E792" s="42"/>
      <c r="F792" s="42" t="s">
        <v>84</v>
      </c>
      <c r="G792" s="42"/>
      <c r="H792" s="10"/>
      <c r="I792" s="16"/>
      <c r="J792" s="9">
        <f>J791</f>
        <v>1.9</v>
      </c>
      <c r="K792" s="9">
        <f>2.5-2</f>
        <v>0.5</v>
      </c>
      <c r="L792" s="9"/>
      <c r="M792" s="9"/>
      <c r="N792" s="9"/>
      <c r="O792" s="9"/>
      <c r="P792" s="9"/>
      <c r="Q792" s="9"/>
      <c r="R792" s="9"/>
      <c r="S792" s="23">
        <f t="shared" si="15"/>
        <v>0.95</v>
      </c>
      <c r="T792" s="24"/>
      <c r="U792" s="8"/>
    </row>
    <row r="793" spans="1:21" x14ac:dyDescent="0.25">
      <c r="A793" s="12" t="s">
        <v>188</v>
      </c>
      <c r="B793" s="46" t="s">
        <v>173</v>
      </c>
      <c r="C793" s="14"/>
      <c r="D793" s="40" t="s">
        <v>195</v>
      </c>
      <c r="E793" s="42"/>
      <c r="F793" s="42"/>
      <c r="G793" s="42" t="s">
        <v>82</v>
      </c>
      <c r="H793" s="10"/>
      <c r="I793" s="16"/>
      <c r="J793" s="9">
        <f>J790</f>
        <v>6.9</v>
      </c>
      <c r="K793" s="9">
        <f>2.5-2</f>
        <v>0.5</v>
      </c>
      <c r="L793" s="9"/>
      <c r="M793" s="9"/>
      <c r="N793" s="9"/>
      <c r="O793" s="9"/>
      <c r="P793" s="9"/>
      <c r="Q793" s="9"/>
      <c r="R793" s="9"/>
      <c r="S793" s="23">
        <f t="shared" si="15"/>
        <v>3.45</v>
      </c>
      <c r="T793" s="24"/>
      <c r="U793" s="8"/>
    </row>
    <row r="794" spans="1:21" x14ac:dyDescent="0.25">
      <c r="A794" s="12" t="s">
        <v>188</v>
      </c>
      <c r="B794" s="46" t="s">
        <v>174</v>
      </c>
      <c r="C794" s="14"/>
      <c r="D794" s="40"/>
      <c r="E794" s="42"/>
      <c r="F794" s="42" t="s">
        <v>84</v>
      </c>
      <c r="G794" s="42"/>
      <c r="H794" s="10"/>
      <c r="I794" s="16"/>
      <c r="J794" s="9">
        <f>4.095+2.13+0.25</f>
        <v>6.4749999999999996</v>
      </c>
      <c r="K794" s="9">
        <v>2.75</v>
      </c>
      <c r="L794" s="9">
        <f>2.04*2</f>
        <v>4.08</v>
      </c>
      <c r="M794" s="9"/>
      <c r="N794" s="9"/>
      <c r="O794" s="9">
        <f>(0.25)*0.25</f>
        <v>6.25E-2</v>
      </c>
      <c r="P794" s="9"/>
      <c r="Q794" s="9"/>
      <c r="R794" s="9"/>
      <c r="S794" s="23">
        <f t="shared" si="15"/>
        <v>13.663749999999999</v>
      </c>
      <c r="T794" s="24"/>
      <c r="U794" s="8"/>
    </row>
    <row r="795" spans="1:21" x14ac:dyDescent="0.25">
      <c r="A795" s="12" t="s">
        <v>188</v>
      </c>
      <c r="B795" s="46" t="s">
        <v>174</v>
      </c>
      <c r="C795" s="14"/>
      <c r="D795" s="40"/>
      <c r="E795" s="42"/>
      <c r="F795" s="42"/>
      <c r="G795" s="42" t="s">
        <v>82</v>
      </c>
      <c r="H795" s="10"/>
      <c r="I795" s="16"/>
      <c r="J795" s="9">
        <f>21.68-J794</f>
        <v>15.205</v>
      </c>
      <c r="K795" s="9">
        <v>2.75</v>
      </c>
      <c r="L795" s="9"/>
      <c r="M795" s="9">
        <f>1.1*2+1*2</f>
        <v>4.2</v>
      </c>
      <c r="N795" s="9"/>
      <c r="O795" s="9">
        <f>(1.96+1.76*2-0.25)*0.25</f>
        <v>1.3075000000000001</v>
      </c>
      <c r="P795" s="9"/>
      <c r="Q795" s="9"/>
      <c r="R795" s="9"/>
      <c r="S795" s="23">
        <f t="shared" si="15"/>
        <v>36.306249999999999</v>
      </c>
      <c r="T795" s="24"/>
      <c r="U795" s="8"/>
    </row>
    <row r="796" spans="1:21" x14ac:dyDescent="0.25">
      <c r="A796" s="12" t="s">
        <v>188</v>
      </c>
      <c r="B796" s="46" t="s">
        <v>175</v>
      </c>
      <c r="C796" s="14"/>
      <c r="D796" s="40" t="s">
        <v>195</v>
      </c>
      <c r="E796" s="42" t="s">
        <v>86</v>
      </c>
      <c r="F796" s="42"/>
      <c r="G796" s="42"/>
      <c r="H796" s="10"/>
      <c r="I796" s="16" t="s">
        <v>89</v>
      </c>
      <c r="J796" s="9">
        <f>2.5*2+1.9</f>
        <v>6.9</v>
      </c>
      <c r="K796" s="9">
        <v>2</v>
      </c>
      <c r="L796" s="9"/>
      <c r="M796" s="9">
        <f>1*2</f>
        <v>2</v>
      </c>
      <c r="N796" s="9"/>
      <c r="O796" s="9"/>
      <c r="P796" s="9"/>
      <c r="Q796" s="9"/>
      <c r="R796" s="9"/>
      <c r="S796" s="23">
        <f t="shared" si="15"/>
        <v>11.8</v>
      </c>
      <c r="T796" s="24"/>
      <c r="U796" s="8"/>
    </row>
    <row r="797" spans="1:21" x14ac:dyDescent="0.25">
      <c r="A797" s="12" t="s">
        <v>188</v>
      </c>
      <c r="B797" s="46" t="s">
        <v>175</v>
      </c>
      <c r="C797" s="14"/>
      <c r="D797" s="40" t="s">
        <v>195</v>
      </c>
      <c r="E797" s="42" t="s">
        <v>86</v>
      </c>
      <c r="F797" s="42"/>
      <c r="G797" s="42"/>
      <c r="H797" s="10"/>
      <c r="I797" s="16" t="s">
        <v>147</v>
      </c>
      <c r="J797" s="9">
        <v>1.9</v>
      </c>
      <c r="K797" s="9">
        <v>2</v>
      </c>
      <c r="L797" s="9"/>
      <c r="M797" s="9"/>
      <c r="N797" s="9"/>
      <c r="O797" s="9"/>
      <c r="P797" s="9"/>
      <c r="Q797" s="9"/>
      <c r="R797" s="9"/>
      <c r="S797" s="23">
        <f t="shared" si="15"/>
        <v>3.8</v>
      </c>
      <c r="T797" s="24"/>
      <c r="U797" s="8"/>
    </row>
    <row r="798" spans="1:21" x14ac:dyDescent="0.25">
      <c r="A798" s="12" t="s">
        <v>188</v>
      </c>
      <c r="B798" s="46" t="s">
        <v>175</v>
      </c>
      <c r="C798" s="14"/>
      <c r="D798" s="40" t="s">
        <v>195</v>
      </c>
      <c r="E798" s="42"/>
      <c r="F798" s="42" t="s">
        <v>84</v>
      </c>
      <c r="G798" s="42"/>
      <c r="H798" s="10"/>
      <c r="I798" s="16"/>
      <c r="J798" s="9">
        <f>J797</f>
        <v>1.9</v>
      </c>
      <c r="K798" s="9">
        <f>2.5-2</f>
        <v>0.5</v>
      </c>
      <c r="L798" s="9"/>
      <c r="M798" s="9"/>
      <c r="N798" s="9"/>
      <c r="O798" s="9"/>
      <c r="P798" s="9"/>
      <c r="Q798" s="9"/>
      <c r="R798" s="9"/>
      <c r="S798" s="23">
        <f t="shared" si="15"/>
        <v>0.95</v>
      </c>
      <c r="T798" s="24"/>
      <c r="U798" s="8"/>
    </row>
    <row r="799" spans="1:21" x14ac:dyDescent="0.25">
      <c r="A799" s="12" t="s">
        <v>188</v>
      </c>
      <c r="B799" s="46" t="s">
        <v>175</v>
      </c>
      <c r="C799" s="14"/>
      <c r="D799" s="40" t="s">
        <v>195</v>
      </c>
      <c r="E799" s="42"/>
      <c r="F799" s="42"/>
      <c r="G799" s="42" t="s">
        <v>82</v>
      </c>
      <c r="H799" s="10"/>
      <c r="I799" s="16"/>
      <c r="J799" s="9">
        <f>J796</f>
        <v>6.9</v>
      </c>
      <c r="K799" s="9">
        <f>2.5-2</f>
        <v>0.5</v>
      </c>
      <c r="L799" s="9"/>
      <c r="M799" s="9"/>
      <c r="N799" s="9"/>
      <c r="O799" s="9"/>
      <c r="P799" s="9"/>
      <c r="Q799" s="9"/>
      <c r="R799" s="9"/>
      <c r="S799" s="23">
        <f t="shared" si="15"/>
        <v>3.45</v>
      </c>
      <c r="T799" s="24"/>
      <c r="U799" s="8"/>
    </row>
    <row r="800" spans="1:21" x14ac:dyDescent="0.25">
      <c r="A800" s="12" t="s">
        <v>188</v>
      </c>
      <c r="B800" s="46" t="s">
        <v>176</v>
      </c>
      <c r="C800" s="14"/>
      <c r="D800" s="40"/>
      <c r="E800" s="42"/>
      <c r="F800" s="42" t="s">
        <v>84</v>
      </c>
      <c r="G800" s="42"/>
      <c r="H800" s="10"/>
      <c r="I800" s="16"/>
      <c r="J800" s="9">
        <f>21.68-J801</f>
        <v>13.265000000000001</v>
      </c>
      <c r="K800" s="9">
        <v>2.75</v>
      </c>
      <c r="L800" s="9">
        <f>2.04*2</f>
        <v>4.08</v>
      </c>
      <c r="M800" s="9"/>
      <c r="N800" s="9"/>
      <c r="O800" s="9">
        <f>(1.76+0.25)*0.25</f>
        <v>0.50249999999999995</v>
      </c>
      <c r="P800" s="9"/>
      <c r="Q800" s="9"/>
      <c r="R800" s="9"/>
      <c r="S800" s="23">
        <f t="shared" si="15"/>
        <v>31.896250000000006</v>
      </c>
      <c r="T800" s="24"/>
      <c r="U800" s="8"/>
    </row>
    <row r="801" spans="1:21" x14ac:dyDescent="0.25">
      <c r="A801" s="12" t="s">
        <v>188</v>
      </c>
      <c r="B801" s="46" t="s">
        <v>176</v>
      </c>
      <c r="C801" s="14"/>
      <c r="D801" s="40"/>
      <c r="E801" s="42"/>
      <c r="F801" s="42"/>
      <c r="G801" s="42" t="s">
        <v>82</v>
      </c>
      <c r="H801" s="10"/>
      <c r="I801" s="16"/>
      <c r="J801" s="9">
        <f>4.985+1.76-0.25+1.92</f>
        <v>8.4149999999999991</v>
      </c>
      <c r="K801" s="9">
        <v>2.75</v>
      </c>
      <c r="L801" s="9"/>
      <c r="M801" s="9">
        <f>1.1*2+1*2</f>
        <v>4.2</v>
      </c>
      <c r="N801" s="9"/>
      <c r="O801" s="9">
        <f>(1.92+1.76-0.25)*0.25</f>
        <v>0.85749999999999993</v>
      </c>
      <c r="P801" s="9"/>
      <c r="Q801" s="9"/>
      <c r="R801" s="9"/>
      <c r="S801" s="23">
        <f t="shared" si="15"/>
        <v>18.083750000000002</v>
      </c>
      <c r="T801" s="24"/>
      <c r="U801" s="8"/>
    </row>
    <row r="802" spans="1:21" x14ac:dyDescent="0.25">
      <c r="A802" s="12" t="s">
        <v>188</v>
      </c>
      <c r="B802" s="46" t="s">
        <v>177</v>
      </c>
      <c r="C802" s="14"/>
      <c r="D802" s="40" t="s">
        <v>195</v>
      </c>
      <c r="E802" s="42" t="s">
        <v>86</v>
      </c>
      <c r="F802" s="42"/>
      <c r="G802" s="42"/>
      <c r="H802" s="10"/>
      <c r="I802" s="16" t="s">
        <v>89</v>
      </c>
      <c r="J802" s="9">
        <f>2.5*2+1.9</f>
        <v>6.9</v>
      </c>
      <c r="K802" s="9">
        <v>2</v>
      </c>
      <c r="L802" s="9"/>
      <c r="M802" s="9">
        <f>1*2</f>
        <v>2</v>
      </c>
      <c r="N802" s="9"/>
      <c r="O802" s="9"/>
      <c r="P802" s="9"/>
      <c r="Q802" s="9"/>
      <c r="R802" s="9"/>
      <c r="S802" s="23">
        <f t="shared" si="15"/>
        <v>11.8</v>
      </c>
      <c r="T802" s="24"/>
      <c r="U802" s="8"/>
    </row>
    <row r="803" spans="1:21" x14ac:dyDescent="0.25">
      <c r="A803" s="12" t="s">
        <v>188</v>
      </c>
      <c r="B803" s="46" t="s">
        <v>177</v>
      </c>
      <c r="C803" s="14"/>
      <c r="D803" s="40" t="s">
        <v>195</v>
      </c>
      <c r="E803" s="42" t="s">
        <v>86</v>
      </c>
      <c r="F803" s="42"/>
      <c r="G803" s="42"/>
      <c r="H803" s="10"/>
      <c r="I803" s="16" t="s">
        <v>147</v>
      </c>
      <c r="J803" s="9">
        <v>1.9</v>
      </c>
      <c r="K803" s="9">
        <v>2</v>
      </c>
      <c r="L803" s="9"/>
      <c r="M803" s="9"/>
      <c r="N803" s="9"/>
      <c r="O803" s="9"/>
      <c r="P803" s="9"/>
      <c r="Q803" s="9"/>
      <c r="R803" s="9"/>
      <c r="S803" s="23">
        <f t="shared" si="15"/>
        <v>3.8</v>
      </c>
      <c r="T803" s="24"/>
      <c r="U803" s="8"/>
    </row>
    <row r="804" spans="1:21" x14ac:dyDescent="0.25">
      <c r="A804" s="12" t="s">
        <v>188</v>
      </c>
      <c r="B804" s="46" t="s">
        <v>177</v>
      </c>
      <c r="C804" s="14"/>
      <c r="D804" s="40" t="s">
        <v>195</v>
      </c>
      <c r="E804" s="42"/>
      <c r="F804" s="42" t="s">
        <v>84</v>
      </c>
      <c r="G804" s="42"/>
      <c r="H804" s="10"/>
      <c r="I804" s="16"/>
      <c r="J804" s="9">
        <f>J803</f>
        <v>1.9</v>
      </c>
      <c r="K804" s="9">
        <f>2.5-2</f>
        <v>0.5</v>
      </c>
      <c r="L804" s="9"/>
      <c r="M804" s="9"/>
      <c r="N804" s="9"/>
      <c r="O804" s="9"/>
      <c r="P804" s="9"/>
      <c r="Q804" s="9"/>
      <c r="R804" s="9"/>
      <c r="S804" s="23">
        <f t="shared" si="15"/>
        <v>0.95</v>
      </c>
      <c r="T804" s="24"/>
      <c r="U804" s="8"/>
    </row>
    <row r="805" spans="1:21" x14ac:dyDescent="0.25">
      <c r="A805" s="12" t="s">
        <v>188</v>
      </c>
      <c r="B805" s="46" t="s">
        <v>177</v>
      </c>
      <c r="C805" s="14"/>
      <c r="D805" s="40" t="s">
        <v>195</v>
      </c>
      <c r="E805" s="42"/>
      <c r="F805" s="42"/>
      <c r="G805" s="42" t="s">
        <v>82</v>
      </c>
      <c r="H805" s="10"/>
      <c r="I805" s="16"/>
      <c r="J805" s="9">
        <f>J802</f>
        <v>6.9</v>
      </c>
      <c r="K805" s="9">
        <f>2.5-2</f>
        <v>0.5</v>
      </c>
      <c r="L805" s="9"/>
      <c r="M805" s="9"/>
      <c r="N805" s="9"/>
      <c r="O805" s="9"/>
      <c r="P805" s="9"/>
      <c r="Q805" s="9"/>
      <c r="R805" s="9"/>
      <c r="S805" s="23">
        <f t="shared" si="15"/>
        <v>3.45</v>
      </c>
      <c r="T805" s="24"/>
      <c r="U805" s="8"/>
    </row>
    <row r="806" spans="1:21" x14ac:dyDescent="0.25">
      <c r="A806" s="12" t="s">
        <v>188</v>
      </c>
      <c r="B806" s="13" t="s">
        <v>125</v>
      </c>
      <c r="C806" s="14"/>
      <c r="D806" s="40"/>
      <c r="E806" s="42"/>
      <c r="F806" s="42" t="s">
        <v>85</v>
      </c>
      <c r="G806" s="42"/>
      <c r="H806" s="10"/>
      <c r="I806" s="16" t="s">
        <v>189</v>
      </c>
      <c r="J806" s="9">
        <v>5.0999999999999996</v>
      </c>
      <c r="K806" s="9">
        <v>2.75</v>
      </c>
      <c r="L806" s="9">
        <f>0.6*2.5</f>
        <v>1.5</v>
      </c>
      <c r="M806" s="9">
        <f>2*2.5</f>
        <v>5</v>
      </c>
      <c r="N806" s="9"/>
      <c r="O806" s="9"/>
      <c r="P806" s="9"/>
      <c r="Q806" s="9"/>
      <c r="R806" s="9"/>
      <c r="S806" s="23">
        <f t="shared" si="15"/>
        <v>7.5249999999999986</v>
      </c>
      <c r="T806" s="24"/>
      <c r="U806" s="8"/>
    </row>
    <row r="807" spans="1:21" x14ac:dyDescent="0.25">
      <c r="A807" s="12" t="s">
        <v>188</v>
      </c>
      <c r="B807" s="13" t="s">
        <v>125</v>
      </c>
      <c r="C807" s="14"/>
      <c r="D807" s="40"/>
      <c r="E807" s="42"/>
      <c r="F807" s="42" t="s">
        <v>84</v>
      </c>
      <c r="G807" s="42"/>
      <c r="H807" s="10"/>
      <c r="I807" s="16" t="s">
        <v>189</v>
      </c>
      <c r="J807" s="9">
        <f>1.91+4.55+0.25</f>
        <v>6.71</v>
      </c>
      <c r="K807" s="9">
        <v>2.75</v>
      </c>
      <c r="L807" s="9"/>
      <c r="M807" s="9">
        <f>1.2*2.18+1.6*2.18</f>
        <v>6.104000000000001</v>
      </c>
      <c r="N807" s="9"/>
      <c r="O807" s="9"/>
      <c r="P807" s="9"/>
      <c r="Q807" s="9"/>
      <c r="R807" s="9"/>
      <c r="S807" s="23">
        <f t="shared" si="15"/>
        <v>12.3485</v>
      </c>
      <c r="T807" s="24"/>
      <c r="U807" s="8"/>
    </row>
    <row r="808" spans="1:21" x14ac:dyDescent="0.25">
      <c r="A808" s="12" t="s">
        <v>188</v>
      </c>
      <c r="B808" s="13" t="s">
        <v>125</v>
      </c>
      <c r="C808" s="14"/>
      <c r="D808" s="40"/>
      <c r="E808" s="42"/>
      <c r="F808" s="42"/>
      <c r="G808" s="42" t="s">
        <v>82</v>
      </c>
      <c r="H808" s="10"/>
      <c r="I808" s="16" t="s">
        <v>189</v>
      </c>
      <c r="J808" s="9">
        <f>4.29</f>
        <v>4.29</v>
      </c>
      <c r="K808" s="9">
        <v>2.75</v>
      </c>
      <c r="L808" s="9"/>
      <c r="M808" s="9"/>
      <c r="N808" s="9"/>
      <c r="O808" s="9"/>
      <c r="P808" s="9"/>
      <c r="Q808" s="9"/>
      <c r="R808" s="9">
        <f>3.19*0.25</f>
        <v>0.79749999999999999</v>
      </c>
      <c r="S808" s="23">
        <f t="shared" si="15"/>
        <v>12.594999999999999</v>
      </c>
      <c r="T808" s="24"/>
      <c r="U808" s="8"/>
    </row>
    <row r="809" spans="1:21" x14ac:dyDescent="0.25">
      <c r="A809" s="12" t="s">
        <v>188</v>
      </c>
      <c r="B809" s="13" t="s">
        <v>132</v>
      </c>
      <c r="C809" s="14"/>
      <c r="D809" s="40"/>
      <c r="E809" s="42"/>
      <c r="F809" s="42"/>
      <c r="G809" s="42" t="s">
        <v>82</v>
      </c>
      <c r="H809" s="10"/>
      <c r="I809" s="16" t="s">
        <v>190</v>
      </c>
      <c r="J809" s="9">
        <v>2.4</v>
      </c>
      <c r="K809" s="9">
        <v>2.5</v>
      </c>
      <c r="L809" s="9"/>
      <c r="M809" s="9">
        <f>1.3*2.5</f>
        <v>3.25</v>
      </c>
      <c r="N809" s="9"/>
      <c r="O809" s="9"/>
      <c r="P809" s="9"/>
      <c r="Q809" s="9"/>
      <c r="R809" s="9"/>
      <c r="S809" s="23">
        <f t="shared" si="15"/>
        <v>2.75</v>
      </c>
      <c r="T809" s="24"/>
      <c r="U809" s="8"/>
    </row>
    <row r="810" spans="1:21" x14ac:dyDescent="0.25">
      <c r="A810" s="12" t="s">
        <v>188</v>
      </c>
      <c r="B810" s="13" t="s">
        <v>132</v>
      </c>
      <c r="C810" s="14"/>
      <c r="D810" s="40"/>
      <c r="E810" s="42"/>
      <c r="F810" s="42" t="s">
        <v>84</v>
      </c>
      <c r="G810" s="42"/>
      <c r="H810" s="10"/>
      <c r="I810" s="16" t="s">
        <v>190</v>
      </c>
      <c r="J810" s="9">
        <f>1.65*2-J811</f>
        <v>2.98</v>
      </c>
      <c r="K810" s="9">
        <v>2.5</v>
      </c>
      <c r="L810" s="9"/>
      <c r="M810" s="9"/>
      <c r="N810" s="9"/>
      <c r="O810" s="9"/>
      <c r="P810" s="9"/>
      <c r="Q810" s="9"/>
      <c r="R810" s="9"/>
      <c r="S810" s="23">
        <f t="shared" si="15"/>
        <v>7.45</v>
      </c>
      <c r="T810" s="24"/>
      <c r="U810" s="8"/>
    </row>
    <row r="811" spans="1:21" x14ac:dyDescent="0.25">
      <c r="A811" s="12" t="s">
        <v>188</v>
      </c>
      <c r="B811" s="13" t="s">
        <v>132</v>
      </c>
      <c r="C811" s="14"/>
      <c r="D811" s="40"/>
      <c r="E811" s="42"/>
      <c r="F811" s="42" t="s">
        <v>85</v>
      </c>
      <c r="G811" s="42"/>
      <c r="H811" s="10"/>
      <c r="I811" s="16" t="s">
        <v>190</v>
      </c>
      <c r="J811" s="9">
        <v>0.32</v>
      </c>
      <c r="K811" s="9">
        <v>2.5</v>
      </c>
      <c r="L811" s="9"/>
      <c r="M811" s="9"/>
      <c r="N811" s="9"/>
      <c r="O811" s="9"/>
      <c r="P811" s="9"/>
      <c r="Q811" s="9"/>
      <c r="R811" s="9"/>
      <c r="S811" s="23">
        <f t="shared" si="15"/>
        <v>0.8</v>
      </c>
      <c r="T811" s="24"/>
      <c r="U811" s="8"/>
    </row>
    <row r="812" spans="1:21" x14ac:dyDescent="0.25">
      <c r="A812" s="12" t="s">
        <v>188</v>
      </c>
      <c r="B812" s="13" t="s">
        <v>182</v>
      </c>
      <c r="C812" s="14"/>
      <c r="D812" s="40"/>
      <c r="E812" s="42"/>
      <c r="F812" s="42"/>
      <c r="G812" s="42" t="s">
        <v>82</v>
      </c>
      <c r="H812" s="10"/>
      <c r="I812" s="16" t="s">
        <v>190</v>
      </c>
      <c r="J812" s="9">
        <v>2.41</v>
      </c>
      <c r="K812" s="9">
        <v>2.5</v>
      </c>
      <c r="L812" s="9"/>
      <c r="M812" s="9">
        <f>1.3*2.425</f>
        <v>3.1524999999999999</v>
      </c>
      <c r="N812" s="9"/>
      <c r="O812" s="9"/>
      <c r="P812" s="9"/>
      <c r="Q812" s="9"/>
      <c r="R812" s="9"/>
      <c r="S812" s="23">
        <f t="shared" si="15"/>
        <v>2.8725000000000005</v>
      </c>
      <c r="T812" s="24"/>
      <c r="U812" s="8"/>
    </row>
    <row r="813" spans="1:21" x14ac:dyDescent="0.25">
      <c r="A813" s="12" t="s">
        <v>188</v>
      </c>
      <c r="B813" s="13" t="s">
        <v>182</v>
      </c>
      <c r="C813" s="14"/>
      <c r="D813" s="40"/>
      <c r="E813" s="42"/>
      <c r="F813" s="42" t="s">
        <v>84</v>
      </c>
      <c r="G813" s="42"/>
      <c r="H813" s="10"/>
      <c r="I813" s="16" t="s">
        <v>190</v>
      </c>
      <c r="J813" s="9">
        <f>1.65*2-0.32</f>
        <v>2.98</v>
      </c>
      <c r="K813" s="9">
        <v>2.5</v>
      </c>
      <c r="L813" s="9"/>
      <c r="M813" s="9"/>
      <c r="N813" s="9"/>
      <c r="O813" s="9"/>
      <c r="P813" s="9"/>
      <c r="Q813" s="9"/>
      <c r="R813" s="9"/>
      <c r="S813" s="23">
        <f t="shared" si="15"/>
        <v>7.45</v>
      </c>
      <c r="T813" s="24"/>
      <c r="U813" s="8"/>
    </row>
    <row r="814" spans="1:21" x14ac:dyDescent="0.25">
      <c r="A814" s="12" t="s">
        <v>188</v>
      </c>
      <c r="B814" s="13" t="s">
        <v>182</v>
      </c>
      <c r="C814" s="14"/>
      <c r="D814" s="40"/>
      <c r="E814" s="42"/>
      <c r="F814" s="42" t="s">
        <v>85</v>
      </c>
      <c r="G814" s="42"/>
      <c r="H814" s="10"/>
      <c r="I814" s="16" t="s">
        <v>190</v>
      </c>
      <c r="J814" s="9">
        <v>0.32</v>
      </c>
      <c r="K814" s="9">
        <v>2.5</v>
      </c>
      <c r="L814" s="9"/>
      <c r="M814" s="9"/>
      <c r="N814" s="9"/>
      <c r="O814" s="9"/>
      <c r="P814" s="9"/>
      <c r="Q814" s="9"/>
      <c r="R814" s="9"/>
      <c r="S814" s="23">
        <f t="shared" si="15"/>
        <v>0.8</v>
      </c>
      <c r="T814" s="24"/>
      <c r="U814" s="8"/>
    </row>
    <row r="815" spans="1:21" x14ac:dyDescent="0.25">
      <c r="A815" s="12" t="s">
        <v>188</v>
      </c>
      <c r="B815" s="13"/>
      <c r="C815" s="14"/>
      <c r="D815" s="48" t="s">
        <v>202</v>
      </c>
      <c r="E815" s="42"/>
      <c r="F815" s="42"/>
      <c r="G815" s="42"/>
      <c r="H815" s="10"/>
      <c r="I815" s="16"/>
      <c r="J815" s="9"/>
      <c r="K815" s="9"/>
      <c r="L815" s="9"/>
      <c r="M815" s="9"/>
      <c r="N815" s="9"/>
      <c r="O815" s="9"/>
      <c r="P815" s="9"/>
      <c r="Q815" s="9"/>
      <c r="R815" s="9"/>
      <c r="S815" s="23" t="str">
        <f t="shared" si="15"/>
        <v/>
      </c>
      <c r="T815" s="24"/>
      <c r="U815" s="8"/>
    </row>
    <row r="816" spans="1:21" x14ac:dyDescent="0.25">
      <c r="A816" s="12" t="s">
        <v>188</v>
      </c>
      <c r="B816" s="13" t="s">
        <v>37</v>
      </c>
      <c r="C816" s="14"/>
      <c r="D816" s="40"/>
      <c r="E816" s="42"/>
      <c r="F816" s="42"/>
      <c r="G816" s="42"/>
      <c r="H816" s="10" t="s">
        <v>204</v>
      </c>
      <c r="I816" s="16" t="s">
        <v>210</v>
      </c>
      <c r="J816" s="9">
        <f>1.2+0.8+0.8</f>
        <v>2.8</v>
      </c>
      <c r="K816" s="9">
        <v>1.6</v>
      </c>
      <c r="L816" s="9"/>
      <c r="M816" s="9"/>
      <c r="N816" s="9"/>
      <c r="O816" s="9"/>
      <c r="P816" s="9"/>
      <c r="Q816" s="9"/>
      <c r="R816" s="9"/>
      <c r="S816" s="23">
        <f t="shared" si="15"/>
        <v>4.4799999999999995</v>
      </c>
      <c r="T816" s="24"/>
      <c r="U816" s="8"/>
    </row>
    <row r="817" spans="1:21" x14ac:dyDescent="0.25">
      <c r="A817" s="12" t="s">
        <v>188</v>
      </c>
      <c r="B817" s="13" t="s">
        <v>69</v>
      </c>
      <c r="C817" s="14"/>
      <c r="D817" s="40"/>
      <c r="E817" s="42"/>
      <c r="F817" s="42"/>
      <c r="G817" s="42"/>
      <c r="H817" s="10" t="s">
        <v>204</v>
      </c>
      <c r="I817" s="16" t="s">
        <v>210</v>
      </c>
      <c r="J817" s="9">
        <f>0.8*2</f>
        <v>1.6</v>
      </c>
      <c r="K817" s="9">
        <v>0.8</v>
      </c>
      <c r="L817" s="9"/>
      <c r="M817" s="9"/>
      <c r="N817" s="9"/>
      <c r="O817" s="9"/>
      <c r="P817" s="9"/>
      <c r="Q817" s="9"/>
      <c r="R817" s="9"/>
      <c r="S817" s="23">
        <f t="shared" si="15"/>
        <v>1.2800000000000002</v>
      </c>
      <c r="T817" s="24"/>
      <c r="U817" s="8"/>
    </row>
    <row r="818" spans="1:21" x14ac:dyDescent="0.25">
      <c r="A818" s="12" t="s">
        <v>188</v>
      </c>
      <c r="B818" s="13" t="s">
        <v>40</v>
      </c>
      <c r="C818" s="14"/>
      <c r="D818" s="40"/>
      <c r="E818" s="42"/>
      <c r="F818" s="42"/>
      <c r="G818" s="42"/>
      <c r="H818" s="10" t="s">
        <v>204</v>
      </c>
      <c r="I818" s="16" t="s">
        <v>209</v>
      </c>
      <c r="J818" s="9">
        <f>0.8+0.6</f>
        <v>1.4</v>
      </c>
      <c r="K818" s="9">
        <v>1.6</v>
      </c>
      <c r="L818" s="9"/>
      <c r="M818" s="9"/>
      <c r="N818" s="9"/>
      <c r="O818" s="9"/>
      <c r="P818" s="9"/>
      <c r="Q818" s="9"/>
      <c r="R818" s="9"/>
      <c r="S818" s="23">
        <f t="shared" si="15"/>
        <v>2.2399999999999998</v>
      </c>
      <c r="T818" s="24"/>
      <c r="U818" s="8"/>
    </row>
    <row r="819" spans="1:21" x14ac:dyDescent="0.25">
      <c r="A819" s="12" t="s">
        <v>188</v>
      </c>
      <c r="B819" s="13" t="s">
        <v>40</v>
      </c>
      <c r="C819" s="14"/>
      <c r="D819" s="40"/>
      <c r="E819" s="42"/>
      <c r="F819" s="42"/>
      <c r="G819" s="42"/>
      <c r="H819" s="10" t="s">
        <v>204</v>
      </c>
      <c r="I819" s="16" t="s">
        <v>210</v>
      </c>
      <c r="J819" s="9">
        <v>0.8</v>
      </c>
      <c r="K819" s="9">
        <v>1.6</v>
      </c>
      <c r="L819" s="9"/>
      <c r="M819" s="9"/>
      <c r="N819" s="9"/>
      <c r="O819" s="9"/>
      <c r="P819" s="9"/>
      <c r="Q819" s="9"/>
      <c r="R819" s="9"/>
      <c r="S819" s="23">
        <f t="shared" si="15"/>
        <v>1.2800000000000002</v>
      </c>
      <c r="T819" s="24"/>
      <c r="U819" s="8"/>
    </row>
    <row r="820" spans="1:21" x14ac:dyDescent="0.25">
      <c r="A820" s="12" t="s">
        <v>188</v>
      </c>
      <c r="B820" s="13" t="s">
        <v>41</v>
      </c>
      <c r="C820" s="14"/>
      <c r="D820" s="40"/>
      <c r="E820" s="42"/>
      <c r="F820" s="42"/>
      <c r="G820" s="42"/>
      <c r="H820" s="10" t="s">
        <v>204</v>
      </c>
      <c r="I820" s="16" t="s">
        <v>203</v>
      </c>
      <c r="J820" s="9">
        <f>0.8+0.7</f>
        <v>1.5</v>
      </c>
      <c r="K820" s="9">
        <v>1.6</v>
      </c>
      <c r="L820" s="9"/>
      <c r="M820" s="9"/>
      <c r="N820" s="9"/>
      <c r="O820" s="9"/>
      <c r="P820" s="9"/>
      <c r="Q820" s="9"/>
      <c r="R820" s="9"/>
      <c r="S820" s="23">
        <f t="shared" si="15"/>
        <v>2.4000000000000004</v>
      </c>
      <c r="T820" s="24"/>
      <c r="U820" s="8"/>
    </row>
    <row r="821" spans="1:21" x14ac:dyDescent="0.25">
      <c r="A821" s="12" t="s">
        <v>188</v>
      </c>
      <c r="B821" s="13" t="s">
        <v>41</v>
      </c>
      <c r="C821" s="14"/>
      <c r="D821" s="40"/>
      <c r="E821" s="42"/>
      <c r="F821" s="42"/>
      <c r="G821" s="42"/>
      <c r="H821" s="10" t="s">
        <v>204</v>
      </c>
      <c r="I821" s="16" t="s">
        <v>211</v>
      </c>
      <c r="J821" s="9">
        <v>1.1499999999999999</v>
      </c>
      <c r="K821" s="9">
        <v>1.6</v>
      </c>
      <c r="L821" s="9"/>
      <c r="M821" s="9"/>
      <c r="N821" s="9"/>
      <c r="O821" s="9"/>
      <c r="P821" s="9"/>
      <c r="Q821" s="9"/>
      <c r="R821" s="9"/>
      <c r="S821" s="23">
        <f t="shared" si="15"/>
        <v>1.8399999999999999</v>
      </c>
      <c r="T821" s="24"/>
      <c r="U821" s="8"/>
    </row>
    <row r="822" spans="1:21" x14ac:dyDescent="0.25">
      <c r="A822" s="12" t="s">
        <v>188</v>
      </c>
      <c r="B822" s="13" t="s">
        <v>41</v>
      </c>
      <c r="C822" s="14"/>
      <c r="D822" s="40"/>
      <c r="E822" s="42"/>
      <c r="F822" s="42"/>
      <c r="G822" s="42"/>
      <c r="H822" s="10" t="s">
        <v>204</v>
      </c>
      <c r="I822" s="16" t="s">
        <v>207</v>
      </c>
      <c r="J822" s="9">
        <f>1.5+1.5</f>
        <v>3</v>
      </c>
      <c r="K822" s="9">
        <v>2</v>
      </c>
      <c r="L822" s="9"/>
      <c r="M822" s="9"/>
      <c r="N822" s="9"/>
      <c r="O822" s="9"/>
      <c r="P822" s="9"/>
      <c r="Q822" s="9"/>
      <c r="R822" s="9"/>
      <c r="S822" s="23">
        <f t="shared" si="15"/>
        <v>6</v>
      </c>
      <c r="T822" s="24"/>
      <c r="U822" s="8"/>
    </row>
    <row r="823" spans="1:21" x14ac:dyDescent="0.25">
      <c r="A823" s="12" t="s">
        <v>188</v>
      </c>
      <c r="B823" s="13"/>
      <c r="C823" s="14" t="s">
        <v>212</v>
      </c>
      <c r="D823" s="40"/>
      <c r="E823" s="42"/>
      <c r="F823" s="42"/>
      <c r="G823" s="42"/>
      <c r="H823" s="10" t="s">
        <v>204</v>
      </c>
      <c r="I823" s="16" t="s">
        <v>203</v>
      </c>
      <c r="J823" s="9">
        <f>0.8*30</f>
        <v>24</v>
      </c>
      <c r="K823" s="9">
        <v>1.6</v>
      </c>
      <c r="L823" s="9"/>
      <c r="M823" s="9"/>
      <c r="N823" s="9"/>
      <c r="O823" s="9"/>
      <c r="P823" s="9"/>
      <c r="Q823" s="9"/>
      <c r="R823" s="9"/>
      <c r="S823" s="23">
        <f t="shared" si="15"/>
        <v>38.400000000000006</v>
      </c>
      <c r="T823" s="24"/>
      <c r="U823" s="8"/>
    </row>
    <row r="824" spans="1:21" x14ac:dyDescent="0.25">
      <c r="A824" s="12" t="s">
        <v>188</v>
      </c>
      <c r="B824" s="13"/>
      <c r="C824" s="14" t="s">
        <v>212</v>
      </c>
      <c r="D824" s="40"/>
      <c r="E824" s="42"/>
      <c r="F824" s="42"/>
      <c r="G824" s="42"/>
      <c r="H824" s="10" t="s">
        <v>204</v>
      </c>
      <c r="I824" s="16" t="s">
        <v>207</v>
      </c>
      <c r="J824" s="9">
        <f>(1+1)*30</f>
        <v>60</v>
      </c>
      <c r="K824" s="9">
        <v>2</v>
      </c>
      <c r="L824" s="9"/>
      <c r="M824" s="9"/>
      <c r="N824" s="9"/>
      <c r="O824" s="9"/>
      <c r="P824" s="9"/>
      <c r="Q824" s="9"/>
      <c r="R824" s="9"/>
      <c r="S824" s="23">
        <f t="shared" si="15"/>
        <v>120</v>
      </c>
      <c r="T824" s="24"/>
      <c r="U824" s="8"/>
    </row>
    <row r="825" spans="1:21" x14ac:dyDescent="0.25">
      <c r="A825" s="17"/>
      <c r="B825" s="18"/>
      <c r="C825" s="19"/>
      <c r="D825" s="41"/>
      <c r="E825" s="30"/>
      <c r="F825" s="30"/>
      <c r="G825" s="30"/>
      <c r="H825" s="10"/>
      <c r="I825" s="6"/>
      <c r="J825" s="9"/>
      <c r="K825" s="9"/>
      <c r="L825" s="9"/>
      <c r="M825" s="9"/>
      <c r="N825" s="9"/>
      <c r="O825" s="9"/>
      <c r="P825" s="9"/>
      <c r="Q825" s="9"/>
      <c r="R825" s="9"/>
      <c r="S825" s="23" t="str">
        <f t="shared" si="15"/>
        <v/>
      </c>
      <c r="T825" s="24"/>
      <c r="U825" s="8"/>
    </row>
    <row r="826" spans="1:21" x14ac:dyDescent="0.25">
      <c r="A826" s="20"/>
      <c r="B826" s="21"/>
      <c r="C826" s="22"/>
      <c r="D826" s="22"/>
      <c r="E826" s="22"/>
      <c r="F826" s="22"/>
      <c r="G826" s="22"/>
      <c r="H826" s="3"/>
      <c r="I826" s="4" t="s">
        <v>3</v>
      </c>
      <c r="J826" s="5">
        <f>SUBTOTAL(9,J10:J825)</f>
        <v>5312.7199999999875</v>
      </c>
      <c r="K826" s="5"/>
      <c r="L826" s="5"/>
      <c r="M826" s="5"/>
      <c r="N826" s="5"/>
      <c r="O826" s="5"/>
      <c r="P826" s="5"/>
      <c r="Q826" s="5"/>
      <c r="R826" s="7"/>
      <c r="S826" s="5">
        <f>SUBTOTAL(9,S10:S825)</f>
        <v>9747.9899600000026</v>
      </c>
      <c r="T826" s="7"/>
      <c r="U826" s="7">
        <f>SUBTOTAL(9,U10:U825)</f>
        <v>0</v>
      </c>
    </row>
    <row r="827" spans="1:21" x14ac:dyDescent="0.25">
      <c r="A827" s="2"/>
      <c r="B827" s="2"/>
      <c r="C827" s="2"/>
      <c r="D827" s="2"/>
      <c r="E827" s="2"/>
      <c r="F827" s="2"/>
      <c r="G827" s="2"/>
      <c r="H827" s="2"/>
      <c r="I827" s="2"/>
    </row>
  </sheetData>
  <autoFilter ref="A2:U825" xr:uid="{A6C30564-A8C4-49C8-A4ED-AB8B78A9E90F}"/>
  <mergeCells count="27">
    <mergeCell ref="A3:I3"/>
    <mergeCell ref="E5:E9"/>
    <mergeCell ref="T3:T7"/>
    <mergeCell ref="J4:K4"/>
    <mergeCell ref="L4:O4"/>
    <mergeCell ref="P4:R4"/>
    <mergeCell ref="R5:R8"/>
    <mergeCell ref="L5:L8"/>
    <mergeCell ref="M5:M8"/>
    <mergeCell ref="N5:N8"/>
    <mergeCell ref="O5:O8"/>
    <mergeCell ref="P5:P8"/>
    <mergeCell ref="S4:S8"/>
    <mergeCell ref="J3:R3"/>
    <mergeCell ref="A5:A9"/>
    <mergeCell ref="Q5:Q8"/>
    <mergeCell ref="B5:B9"/>
    <mergeCell ref="C5:C9"/>
    <mergeCell ref="F5:F9"/>
    <mergeCell ref="G5:G9"/>
    <mergeCell ref="J5:J8"/>
    <mergeCell ref="K5:K8"/>
    <mergeCell ref="I4:I9"/>
    <mergeCell ref="E4:H4"/>
    <mergeCell ref="H5:H9"/>
    <mergeCell ref="D5:D9"/>
    <mergeCell ref="A4:D4"/>
  </mergeCells>
  <phoneticPr fontId="9" type="noConversion"/>
  <conditionalFormatting sqref="E10:H30 E53:H53 E51:E52 H51:H52 E64:H64 E54:F54 H54 F61:H61 E62:E63 H62:H63 E74:H74 H65:H66 E65:E68 G67:H68 E69:F71 H69:H71 E72 G72:H72 E73:F73 H73 E75:E81 E82:H101 E134:H135 E155:H155 E168:H168 E193:H196 E263:H264 E273:H273 E274:F275 H274:H275 E276:H276 E277:E280 H277:H280 E285:E286 E291:E292 E297:E298 E305:H305 E303:F303 H303 E304 G304:H304 E306:E307 E342:E343 E383:H384 E385:F385 H385 E387 G387:H387 E386:H386 E104:H125 E419:E420 E469:H469 E467:E468 E525 G525:H525 E825:H825 E536:H548 E550:H554 E687:H687 E213:H228 E243:H260 G528:G535 E528:E535">
    <cfRule type="containsText" dxfId="3666" priority="3721" operator="containsText" text="o5">
      <formula>NOT(ISERROR(SEARCH("o5",E10)))</formula>
    </cfRule>
    <cfRule type="containsText" dxfId="3665" priority="3722" operator="containsText" text="o4">
      <formula>NOT(ISERROR(SEARCH("o4",E10)))</formula>
    </cfRule>
    <cfRule type="containsText" dxfId="3664" priority="3723" operator="containsText" text="o3">
      <formula>NOT(ISERROR(SEARCH("o3",E10)))</formula>
    </cfRule>
    <cfRule type="containsText" dxfId="3663" priority="3724" operator="containsText" text="o2">
      <formula>NOT(ISERROR(SEARCH("o2",E10)))</formula>
    </cfRule>
    <cfRule type="containsText" dxfId="3662" priority="3725" operator="containsText" text="o1b">
      <formula>NOT(ISERROR(SEARCH("o1b",E10)))</formula>
    </cfRule>
    <cfRule type="containsText" dxfId="3661" priority="3726" operator="containsText" text="o1a">
      <formula>NOT(ISERROR(SEARCH("o1a",E10)))</formula>
    </cfRule>
  </conditionalFormatting>
  <conditionalFormatting sqref="E31:H34">
    <cfRule type="containsText" dxfId="3660" priority="3715" operator="containsText" text="o5">
      <formula>NOT(ISERROR(SEARCH("o5",E31)))</formula>
    </cfRule>
    <cfRule type="containsText" dxfId="3659" priority="3716" operator="containsText" text="o4">
      <formula>NOT(ISERROR(SEARCH("o4",E31)))</formula>
    </cfRule>
    <cfRule type="containsText" dxfId="3658" priority="3717" operator="containsText" text="o3">
      <formula>NOT(ISERROR(SEARCH("o3",E31)))</formula>
    </cfRule>
    <cfRule type="containsText" dxfId="3657" priority="3718" operator="containsText" text="o2">
      <formula>NOT(ISERROR(SEARCH("o2",E31)))</formula>
    </cfRule>
    <cfRule type="containsText" dxfId="3656" priority="3719" operator="containsText" text="o1b">
      <formula>NOT(ISERROR(SEARCH("o1b",E31)))</formula>
    </cfRule>
    <cfRule type="containsText" dxfId="3655" priority="3720" operator="containsText" text="o1a">
      <formula>NOT(ISERROR(SEARCH("o1a",E31)))</formula>
    </cfRule>
  </conditionalFormatting>
  <conditionalFormatting sqref="E35:H38">
    <cfRule type="containsText" dxfId="3654" priority="3709" operator="containsText" text="o5">
      <formula>NOT(ISERROR(SEARCH("o5",E35)))</formula>
    </cfRule>
    <cfRule type="containsText" dxfId="3653" priority="3710" operator="containsText" text="o4">
      <formula>NOT(ISERROR(SEARCH("o4",E35)))</formula>
    </cfRule>
    <cfRule type="containsText" dxfId="3652" priority="3711" operator="containsText" text="o3">
      <formula>NOT(ISERROR(SEARCH("o3",E35)))</formula>
    </cfRule>
    <cfRule type="containsText" dxfId="3651" priority="3712" operator="containsText" text="o2">
      <formula>NOT(ISERROR(SEARCH("o2",E35)))</formula>
    </cfRule>
    <cfRule type="containsText" dxfId="3650" priority="3713" operator="containsText" text="o1b">
      <formula>NOT(ISERROR(SEARCH("o1b",E35)))</formula>
    </cfRule>
    <cfRule type="containsText" dxfId="3649" priority="3714" operator="containsText" text="o1a">
      <formula>NOT(ISERROR(SEARCH("o1a",E35)))</formula>
    </cfRule>
  </conditionalFormatting>
  <conditionalFormatting sqref="E39:H42">
    <cfRule type="containsText" dxfId="3648" priority="3703" operator="containsText" text="o5">
      <formula>NOT(ISERROR(SEARCH("o5",E39)))</formula>
    </cfRule>
    <cfRule type="containsText" dxfId="3647" priority="3704" operator="containsText" text="o4">
      <formula>NOT(ISERROR(SEARCH("o4",E39)))</formula>
    </cfRule>
    <cfRule type="containsText" dxfId="3646" priority="3705" operator="containsText" text="o3">
      <formula>NOT(ISERROR(SEARCH("o3",E39)))</formula>
    </cfRule>
    <cfRule type="containsText" dxfId="3645" priority="3706" operator="containsText" text="o2">
      <formula>NOT(ISERROR(SEARCH("o2",E39)))</formula>
    </cfRule>
    <cfRule type="containsText" dxfId="3644" priority="3707" operator="containsText" text="o1b">
      <formula>NOT(ISERROR(SEARCH("o1b",E39)))</formula>
    </cfRule>
    <cfRule type="containsText" dxfId="3643" priority="3708" operator="containsText" text="o1a">
      <formula>NOT(ISERROR(SEARCH("o1a",E39)))</formula>
    </cfRule>
  </conditionalFormatting>
  <conditionalFormatting sqref="E43:H46">
    <cfRule type="containsText" dxfId="3642" priority="3697" operator="containsText" text="o5">
      <formula>NOT(ISERROR(SEARCH("o5",E43)))</formula>
    </cfRule>
    <cfRule type="containsText" dxfId="3641" priority="3698" operator="containsText" text="o4">
      <formula>NOT(ISERROR(SEARCH("o4",E43)))</formula>
    </cfRule>
    <cfRule type="containsText" dxfId="3640" priority="3699" operator="containsText" text="o3">
      <formula>NOT(ISERROR(SEARCH("o3",E43)))</formula>
    </cfRule>
    <cfRule type="containsText" dxfId="3639" priority="3700" operator="containsText" text="o2">
      <formula>NOT(ISERROR(SEARCH("o2",E43)))</formula>
    </cfRule>
    <cfRule type="containsText" dxfId="3638" priority="3701" operator="containsText" text="o1b">
      <formula>NOT(ISERROR(SEARCH("o1b",E43)))</formula>
    </cfRule>
    <cfRule type="containsText" dxfId="3637" priority="3702" operator="containsText" text="o1a">
      <formula>NOT(ISERROR(SEARCH("o1a",E43)))</formula>
    </cfRule>
  </conditionalFormatting>
  <conditionalFormatting sqref="E47:H50">
    <cfRule type="containsText" dxfId="3636" priority="3691" operator="containsText" text="o5">
      <formula>NOT(ISERROR(SEARCH("o5",E47)))</formula>
    </cfRule>
    <cfRule type="containsText" dxfId="3635" priority="3692" operator="containsText" text="o4">
      <formula>NOT(ISERROR(SEARCH("o4",E47)))</formula>
    </cfRule>
    <cfRule type="containsText" dxfId="3634" priority="3693" operator="containsText" text="o3">
      <formula>NOT(ISERROR(SEARCH("o3",E47)))</formula>
    </cfRule>
    <cfRule type="containsText" dxfId="3633" priority="3694" operator="containsText" text="o2">
      <formula>NOT(ISERROR(SEARCH("o2",E47)))</formula>
    </cfRule>
    <cfRule type="containsText" dxfId="3632" priority="3695" operator="containsText" text="o1b">
      <formula>NOT(ISERROR(SEARCH("o1b",E47)))</formula>
    </cfRule>
    <cfRule type="containsText" dxfId="3631" priority="3696" operator="containsText" text="o1a">
      <formula>NOT(ISERROR(SEARCH("o1a",E47)))</formula>
    </cfRule>
  </conditionalFormatting>
  <conditionalFormatting sqref="F51:G52">
    <cfRule type="containsText" dxfId="3630" priority="3685" operator="containsText" text="o5">
      <formula>NOT(ISERROR(SEARCH("o5",F51)))</formula>
    </cfRule>
    <cfRule type="containsText" dxfId="3629" priority="3686" operator="containsText" text="o4">
      <formula>NOT(ISERROR(SEARCH("o4",F51)))</formula>
    </cfRule>
    <cfRule type="containsText" dxfId="3628" priority="3687" operator="containsText" text="o3">
      <formula>NOT(ISERROR(SEARCH("o3",F51)))</formula>
    </cfRule>
    <cfRule type="containsText" dxfId="3627" priority="3688" operator="containsText" text="o2">
      <formula>NOT(ISERROR(SEARCH("o2",F51)))</formula>
    </cfRule>
    <cfRule type="containsText" dxfId="3626" priority="3689" operator="containsText" text="o1b">
      <formula>NOT(ISERROR(SEARCH("o1b",F51)))</formula>
    </cfRule>
    <cfRule type="containsText" dxfId="3625" priority="3690" operator="containsText" text="o1a">
      <formula>NOT(ISERROR(SEARCH("o1a",F51)))</formula>
    </cfRule>
  </conditionalFormatting>
  <conditionalFormatting sqref="G54">
    <cfRule type="containsText" dxfId="3624" priority="3679" operator="containsText" text="o5">
      <formula>NOT(ISERROR(SEARCH("o5",G54)))</formula>
    </cfRule>
    <cfRule type="containsText" dxfId="3623" priority="3680" operator="containsText" text="o4">
      <formula>NOT(ISERROR(SEARCH("o4",G54)))</formula>
    </cfRule>
    <cfRule type="containsText" dxfId="3622" priority="3681" operator="containsText" text="o3">
      <formula>NOT(ISERROR(SEARCH("o3",G54)))</formula>
    </cfRule>
    <cfRule type="containsText" dxfId="3621" priority="3682" operator="containsText" text="o2">
      <formula>NOT(ISERROR(SEARCH("o2",G54)))</formula>
    </cfRule>
    <cfRule type="containsText" dxfId="3620" priority="3683" operator="containsText" text="o1b">
      <formula>NOT(ISERROR(SEARCH("o1b",G54)))</formula>
    </cfRule>
    <cfRule type="containsText" dxfId="3619" priority="3684" operator="containsText" text="o1a">
      <formula>NOT(ISERROR(SEARCH("o1a",G54)))</formula>
    </cfRule>
  </conditionalFormatting>
  <conditionalFormatting sqref="E55:H58">
    <cfRule type="containsText" dxfId="3618" priority="3673" operator="containsText" text="o5">
      <formula>NOT(ISERROR(SEARCH("o5",E55)))</formula>
    </cfRule>
    <cfRule type="containsText" dxfId="3617" priority="3674" operator="containsText" text="o4">
      <formula>NOT(ISERROR(SEARCH("o4",E55)))</formula>
    </cfRule>
    <cfRule type="containsText" dxfId="3616" priority="3675" operator="containsText" text="o3">
      <formula>NOT(ISERROR(SEARCH("o3",E55)))</formula>
    </cfRule>
    <cfRule type="containsText" dxfId="3615" priority="3676" operator="containsText" text="o2">
      <formula>NOT(ISERROR(SEARCH("o2",E55)))</formula>
    </cfRule>
    <cfRule type="containsText" dxfId="3614" priority="3677" operator="containsText" text="o1b">
      <formula>NOT(ISERROR(SEARCH("o1b",E55)))</formula>
    </cfRule>
    <cfRule type="containsText" dxfId="3613" priority="3678" operator="containsText" text="o1a">
      <formula>NOT(ISERROR(SEARCH("o1a",E55)))</formula>
    </cfRule>
  </conditionalFormatting>
  <conditionalFormatting sqref="E59:H60">
    <cfRule type="containsText" dxfId="3612" priority="3667" operator="containsText" text="o5">
      <formula>NOT(ISERROR(SEARCH("o5",E59)))</formula>
    </cfRule>
    <cfRule type="containsText" dxfId="3611" priority="3668" operator="containsText" text="o4">
      <formula>NOT(ISERROR(SEARCH("o4",E59)))</formula>
    </cfRule>
    <cfRule type="containsText" dxfId="3610" priority="3669" operator="containsText" text="o3">
      <formula>NOT(ISERROR(SEARCH("o3",E59)))</formula>
    </cfRule>
    <cfRule type="containsText" dxfId="3609" priority="3670" operator="containsText" text="o2">
      <formula>NOT(ISERROR(SEARCH("o2",E59)))</formula>
    </cfRule>
    <cfRule type="containsText" dxfId="3608" priority="3671" operator="containsText" text="o1b">
      <formula>NOT(ISERROR(SEARCH("o1b",E59)))</formula>
    </cfRule>
    <cfRule type="containsText" dxfId="3607" priority="3672" operator="containsText" text="o1a">
      <formula>NOT(ISERROR(SEARCH("o1a",E59)))</formula>
    </cfRule>
  </conditionalFormatting>
  <conditionalFormatting sqref="E61">
    <cfRule type="containsText" dxfId="3606" priority="3661" operator="containsText" text="o5">
      <formula>NOT(ISERROR(SEARCH("o5",E61)))</formula>
    </cfRule>
    <cfRule type="containsText" dxfId="3605" priority="3662" operator="containsText" text="o4">
      <formula>NOT(ISERROR(SEARCH("o4",E61)))</formula>
    </cfRule>
    <cfRule type="containsText" dxfId="3604" priority="3663" operator="containsText" text="o3">
      <formula>NOT(ISERROR(SEARCH("o3",E61)))</formula>
    </cfRule>
    <cfRule type="containsText" dxfId="3603" priority="3664" operator="containsText" text="o2">
      <formula>NOT(ISERROR(SEARCH("o2",E61)))</formula>
    </cfRule>
    <cfRule type="containsText" dxfId="3602" priority="3665" operator="containsText" text="o1b">
      <formula>NOT(ISERROR(SEARCH("o1b",E61)))</formula>
    </cfRule>
    <cfRule type="containsText" dxfId="3601" priority="3666" operator="containsText" text="o1a">
      <formula>NOT(ISERROR(SEARCH("o1a",E61)))</formula>
    </cfRule>
  </conditionalFormatting>
  <conditionalFormatting sqref="F62:G63">
    <cfRule type="containsText" dxfId="3600" priority="3655" operator="containsText" text="o5">
      <formula>NOT(ISERROR(SEARCH("o5",F62)))</formula>
    </cfRule>
    <cfRule type="containsText" dxfId="3599" priority="3656" operator="containsText" text="o4">
      <formula>NOT(ISERROR(SEARCH("o4",F62)))</formula>
    </cfRule>
    <cfRule type="containsText" dxfId="3598" priority="3657" operator="containsText" text="o3">
      <formula>NOT(ISERROR(SEARCH("o3",F62)))</formula>
    </cfRule>
    <cfRule type="containsText" dxfId="3597" priority="3658" operator="containsText" text="o2">
      <formula>NOT(ISERROR(SEARCH("o2",F62)))</formula>
    </cfRule>
    <cfRule type="containsText" dxfId="3596" priority="3659" operator="containsText" text="o1b">
      <formula>NOT(ISERROR(SEARCH("o1b",F62)))</formula>
    </cfRule>
    <cfRule type="containsText" dxfId="3595" priority="3660" operator="containsText" text="o1a">
      <formula>NOT(ISERROR(SEARCH("o1a",F62)))</formula>
    </cfRule>
  </conditionalFormatting>
  <conditionalFormatting sqref="F65:G66">
    <cfRule type="containsText" dxfId="3594" priority="3649" operator="containsText" text="o5">
      <formula>NOT(ISERROR(SEARCH("o5",F65)))</formula>
    </cfRule>
    <cfRule type="containsText" dxfId="3593" priority="3650" operator="containsText" text="o4">
      <formula>NOT(ISERROR(SEARCH("o4",F65)))</formula>
    </cfRule>
    <cfRule type="containsText" dxfId="3592" priority="3651" operator="containsText" text="o3">
      <formula>NOT(ISERROR(SEARCH("o3",F65)))</formula>
    </cfRule>
    <cfRule type="containsText" dxfId="3591" priority="3652" operator="containsText" text="o2">
      <formula>NOT(ISERROR(SEARCH("o2",F65)))</formula>
    </cfRule>
    <cfRule type="containsText" dxfId="3590" priority="3653" operator="containsText" text="o1b">
      <formula>NOT(ISERROR(SEARCH("o1b",F65)))</formula>
    </cfRule>
    <cfRule type="containsText" dxfId="3589" priority="3654" operator="containsText" text="o1a">
      <formula>NOT(ISERROR(SEARCH("o1a",F65)))</formula>
    </cfRule>
  </conditionalFormatting>
  <conditionalFormatting sqref="F67">
    <cfRule type="containsText" dxfId="3588" priority="3643" operator="containsText" text="o5">
      <formula>NOT(ISERROR(SEARCH("o5",F67)))</formula>
    </cfRule>
    <cfRule type="containsText" dxfId="3587" priority="3644" operator="containsText" text="o4">
      <formula>NOT(ISERROR(SEARCH("o4",F67)))</formula>
    </cfRule>
    <cfRule type="containsText" dxfId="3586" priority="3645" operator="containsText" text="o3">
      <formula>NOT(ISERROR(SEARCH("o3",F67)))</formula>
    </cfRule>
    <cfRule type="containsText" dxfId="3585" priority="3646" operator="containsText" text="o2">
      <formula>NOT(ISERROR(SEARCH("o2",F67)))</formula>
    </cfRule>
    <cfRule type="containsText" dxfId="3584" priority="3647" operator="containsText" text="o1b">
      <formula>NOT(ISERROR(SEARCH("o1b",F67)))</formula>
    </cfRule>
    <cfRule type="containsText" dxfId="3583" priority="3648" operator="containsText" text="o1a">
      <formula>NOT(ISERROR(SEARCH("o1a",F67)))</formula>
    </cfRule>
  </conditionalFormatting>
  <conditionalFormatting sqref="F68">
    <cfRule type="containsText" dxfId="3582" priority="3637" operator="containsText" text="o5">
      <formula>NOT(ISERROR(SEARCH("o5",F68)))</formula>
    </cfRule>
    <cfRule type="containsText" dxfId="3581" priority="3638" operator="containsText" text="o4">
      <formula>NOT(ISERROR(SEARCH("o4",F68)))</formula>
    </cfRule>
    <cfRule type="containsText" dxfId="3580" priority="3639" operator="containsText" text="o3">
      <formula>NOT(ISERROR(SEARCH("o3",F68)))</formula>
    </cfRule>
    <cfRule type="containsText" dxfId="3579" priority="3640" operator="containsText" text="o2">
      <formula>NOT(ISERROR(SEARCH("o2",F68)))</formula>
    </cfRule>
    <cfRule type="containsText" dxfId="3578" priority="3641" operator="containsText" text="o1b">
      <formula>NOT(ISERROR(SEARCH("o1b",F68)))</formula>
    </cfRule>
    <cfRule type="containsText" dxfId="3577" priority="3642" operator="containsText" text="o1a">
      <formula>NOT(ISERROR(SEARCH("o1a",F68)))</formula>
    </cfRule>
  </conditionalFormatting>
  <conditionalFormatting sqref="G69:G71">
    <cfRule type="containsText" dxfId="3576" priority="3631" operator="containsText" text="o5">
      <formula>NOT(ISERROR(SEARCH("o5",G69)))</formula>
    </cfRule>
    <cfRule type="containsText" dxfId="3575" priority="3632" operator="containsText" text="o4">
      <formula>NOT(ISERROR(SEARCH("o4",G69)))</formula>
    </cfRule>
    <cfRule type="containsText" dxfId="3574" priority="3633" operator="containsText" text="o3">
      <formula>NOT(ISERROR(SEARCH("o3",G69)))</formula>
    </cfRule>
    <cfRule type="containsText" dxfId="3573" priority="3634" operator="containsText" text="o2">
      <formula>NOT(ISERROR(SEARCH("o2",G69)))</formula>
    </cfRule>
    <cfRule type="containsText" dxfId="3572" priority="3635" operator="containsText" text="o1b">
      <formula>NOT(ISERROR(SEARCH("o1b",G69)))</formula>
    </cfRule>
    <cfRule type="containsText" dxfId="3571" priority="3636" operator="containsText" text="o1a">
      <formula>NOT(ISERROR(SEARCH("o1a",G69)))</formula>
    </cfRule>
  </conditionalFormatting>
  <conditionalFormatting sqref="F72">
    <cfRule type="containsText" dxfId="3570" priority="3625" operator="containsText" text="o5">
      <formula>NOT(ISERROR(SEARCH("o5",F72)))</formula>
    </cfRule>
    <cfRule type="containsText" dxfId="3569" priority="3626" operator="containsText" text="o4">
      <formula>NOT(ISERROR(SEARCH("o4",F72)))</formula>
    </cfRule>
    <cfRule type="containsText" dxfId="3568" priority="3627" operator="containsText" text="o3">
      <formula>NOT(ISERROR(SEARCH("o3",F72)))</formula>
    </cfRule>
    <cfRule type="containsText" dxfId="3567" priority="3628" operator="containsText" text="o2">
      <formula>NOT(ISERROR(SEARCH("o2",F72)))</formula>
    </cfRule>
    <cfRule type="containsText" dxfId="3566" priority="3629" operator="containsText" text="o1b">
      <formula>NOT(ISERROR(SEARCH("o1b",F72)))</formula>
    </cfRule>
    <cfRule type="containsText" dxfId="3565" priority="3630" operator="containsText" text="o1a">
      <formula>NOT(ISERROR(SEARCH("o1a",F72)))</formula>
    </cfRule>
  </conditionalFormatting>
  <conditionalFormatting sqref="G73">
    <cfRule type="containsText" dxfId="3564" priority="3619" operator="containsText" text="o5">
      <formula>NOT(ISERROR(SEARCH("o5",G73)))</formula>
    </cfRule>
    <cfRule type="containsText" dxfId="3563" priority="3620" operator="containsText" text="o4">
      <formula>NOT(ISERROR(SEARCH("o4",G73)))</formula>
    </cfRule>
    <cfRule type="containsText" dxfId="3562" priority="3621" operator="containsText" text="o3">
      <formula>NOT(ISERROR(SEARCH("o3",G73)))</formula>
    </cfRule>
    <cfRule type="containsText" dxfId="3561" priority="3622" operator="containsText" text="o2">
      <formula>NOT(ISERROR(SEARCH("o2",G73)))</formula>
    </cfRule>
    <cfRule type="containsText" dxfId="3560" priority="3623" operator="containsText" text="o1b">
      <formula>NOT(ISERROR(SEARCH("o1b",G73)))</formula>
    </cfRule>
    <cfRule type="containsText" dxfId="3559" priority="3624" operator="containsText" text="o1a">
      <formula>NOT(ISERROR(SEARCH("o1a",G73)))</formula>
    </cfRule>
  </conditionalFormatting>
  <conditionalFormatting sqref="F77:H77 G75:H75 F76 H76">
    <cfRule type="containsText" dxfId="3558" priority="3613" operator="containsText" text="o5">
      <formula>NOT(ISERROR(SEARCH("o5",F75)))</formula>
    </cfRule>
    <cfRule type="containsText" dxfId="3557" priority="3614" operator="containsText" text="o4">
      <formula>NOT(ISERROR(SEARCH("o4",F75)))</formula>
    </cfRule>
    <cfRule type="containsText" dxfId="3556" priority="3615" operator="containsText" text="o3">
      <formula>NOT(ISERROR(SEARCH("o3",F75)))</formula>
    </cfRule>
    <cfRule type="containsText" dxfId="3555" priority="3616" operator="containsText" text="o2">
      <formula>NOT(ISERROR(SEARCH("o2",F75)))</formula>
    </cfRule>
    <cfRule type="containsText" dxfId="3554" priority="3617" operator="containsText" text="o1b">
      <formula>NOT(ISERROR(SEARCH("o1b",F75)))</formula>
    </cfRule>
    <cfRule type="containsText" dxfId="3553" priority="3618" operator="containsText" text="o1a">
      <formula>NOT(ISERROR(SEARCH("o1a",F75)))</formula>
    </cfRule>
  </conditionalFormatting>
  <conditionalFormatting sqref="F75">
    <cfRule type="containsText" dxfId="3552" priority="3607" operator="containsText" text="o5">
      <formula>NOT(ISERROR(SEARCH("o5",F75)))</formula>
    </cfRule>
    <cfRule type="containsText" dxfId="3551" priority="3608" operator="containsText" text="o4">
      <formula>NOT(ISERROR(SEARCH("o4",F75)))</formula>
    </cfRule>
    <cfRule type="containsText" dxfId="3550" priority="3609" operator="containsText" text="o3">
      <formula>NOT(ISERROR(SEARCH("o3",F75)))</formula>
    </cfRule>
    <cfRule type="containsText" dxfId="3549" priority="3610" operator="containsText" text="o2">
      <formula>NOT(ISERROR(SEARCH("o2",F75)))</formula>
    </cfRule>
    <cfRule type="containsText" dxfId="3548" priority="3611" operator="containsText" text="o1b">
      <formula>NOT(ISERROR(SEARCH("o1b",F75)))</formula>
    </cfRule>
    <cfRule type="containsText" dxfId="3547" priority="3612" operator="containsText" text="o1a">
      <formula>NOT(ISERROR(SEARCH("o1a",F75)))</formula>
    </cfRule>
  </conditionalFormatting>
  <conditionalFormatting sqref="G76">
    <cfRule type="containsText" dxfId="3546" priority="3601" operator="containsText" text="o5">
      <formula>NOT(ISERROR(SEARCH("o5",G76)))</formula>
    </cfRule>
    <cfRule type="containsText" dxfId="3545" priority="3602" operator="containsText" text="o4">
      <formula>NOT(ISERROR(SEARCH("o4",G76)))</formula>
    </cfRule>
    <cfRule type="containsText" dxfId="3544" priority="3603" operator="containsText" text="o3">
      <formula>NOT(ISERROR(SEARCH("o3",G76)))</formula>
    </cfRule>
    <cfRule type="containsText" dxfId="3543" priority="3604" operator="containsText" text="o2">
      <formula>NOT(ISERROR(SEARCH("o2",G76)))</formula>
    </cfRule>
    <cfRule type="containsText" dxfId="3542" priority="3605" operator="containsText" text="o1b">
      <formula>NOT(ISERROR(SEARCH("o1b",G76)))</formula>
    </cfRule>
    <cfRule type="containsText" dxfId="3541" priority="3606" operator="containsText" text="o1a">
      <formula>NOT(ISERROR(SEARCH("o1a",G76)))</formula>
    </cfRule>
  </conditionalFormatting>
  <conditionalFormatting sqref="G78:H78 F79 H79 F80:H81">
    <cfRule type="containsText" dxfId="3540" priority="3595" operator="containsText" text="o5">
      <formula>NOT(ISERROR(SEARCH("o5",F78)))</formula>
    </cfRule>
    <cfRule type="containsText" dxfId="3539" priority="3596" operator="containsText" text="o4">
      <formula>NOT(ISERROR(SEARCH("o4",F78)))</formula>
    </cfRule>
    <cfRule type="containsText" dxfId="3538" priority="3597" operator="containsText" text="o3">
      <formula>NOT(ISERROR(SEARCH("o3",F78)))</formula>
    </cfRule>
    <cfRule type="containsText" dxfId="3537" priority="3598" operator="containsText" text="o2">
      <formula>NOT(ISERROR(SEARCH("o2",F78)))</formula>
    </cfRule>
    <cfRule type="containsText" dxfId="3536" priority="3599" operator="containsText" text="o1b">
      <formula>NOT(ISERROR(SEARCH("o1b",F78)))</formula>
    </cfRule>
    <cfRule type="containsText" dxfId="3535" priority="3600" operator="containsText" text="o1a">
      <formula>NOT(ISERROR(SEARCH("o1a",F78)))</formula>
    </cfRule>
  </conditionalFormatting>
  <conditionalFormatting sqref="F78">
    <cfRule type="containsText" dxfId="3534" priority="3589" operator="containsText" text="o5">
      <formula>NOT(ISERROR(SEARCH("o5",F78)))</formula>
    </cfRule>
    <cfRule type="containsText" dxfId="3533" priority="3590" operator="containsText" text="o4">
      <formula>NOT(ISERROR(SEARCH("o4",F78)))</formula>
    </cfRule>
    <cfRule type="containsText" dxfId="3532" priority="3591" operator="containsText" text="o3">
      <formula>NOT(ISERROR(SEARCH("o3",F78)))</formula>
    </cfRule>
    <cfRule type="containsText" dxfId="3531" priority="3592" operator="containsText" text="o2">
      <formula>NOT(ISERROR(SEARCH("o2",F78)))</formula>
    </cfRule>
    <cfRule type="containsText" dxfId="3530" priority="3593" operator="containsText" text="o1b">
      <formula>NOT(ISERROR(SEARCH("o1b",F78)))</formula>
    </cfRule>
    <cfRule type="containsText" dxfId="3529" priority="3594" operator="containsText" text="o1a">
      <formula>NOT(ISERROR(SEARCH("o1a",F78)))</formula>
    </cfRule>
  </conditionalFormatting>
  <conditionalFormatting sqref="G79">
    <cfRule type="containsText" dxfId="3528" priority="3583" operator="containsText" text="o5">
      <formula>NOT(ISERROR(SEARCH("o5",G79)))</formula>
    </cfRule>
    <cfRule type="containsText" dxfId="3527" priority="3584" operator="containsText" text="o4">
      <formula>NOT(ISERROR(SEARCH("o4",G79)))</formula>
    </cfRule>
    <cfRule type="containsText" dxfId="3526" priority="3585" operator="containsText" text="o3">
      <formula>NOT(ISERROR(SEARCH("o3",G79)))</formula>
    </cfRule>
    <cfRule type="containsText" dxfId="3525" priority="3586" operator="containsText" text="o2">
      <formula>NOT(ISERROR(SEARCH("o2",G79)))</formula>
    </cfRule>
    <cfRule type="containsText" dxfId="3524" priority="3587" operator="containsText" text="o1b">
      <formula>NOT(ISERROR(SEARCH("o1b",G79)))</formula>
    </cfRule>
    <cfRule type="containsText" dxfId="3523" priority="3588" operator="containsText" text="o1a">
      <formula>NOT(ISERROR(SEARCH("o1a",G79)))</formula>
    </cfRule>
  </conditionalFormatting>
  <conditionalFormatting sqref="E150:H150 E136:E139 H136:H139 E142:E143 H142:H143 E146:E147 H146:H147 E153:H154 E151:E152 H151:H152">
    <cfRule type="containsText" dxfId="3522" priority="3577" operator="containsText" text="o5">
      <formula>NOT(ISERROR(SEARCH("o5",E136)))</formula>
    </cfRule>
    <cfRule type="containsText" dxfId="3521" priority="3578" operator="containsText" text="o4">
      <formula>NOT(ISERROR(SEARCH("o4",E136)))</formula>
    </cfRule>
    <cfRule type="containsText" dxfId="3520" priority="3579" operator="containsText" text="o3">
      <formula>NOT(ISERROR(SEARCH("o3",E136)))</formula>
    </cfRule>
    <cfRule type="containsText" dxfId="3519" priority="3580" operator="containsText" text="o2">
      <formula>NOT(ISERROR(SEARCH("o2",E136)))</formula>
    </cfRule>
    <cfRule type="containsText" dxfId="3518" priority="3581" operator="containsText" text="o1b">
      <formula>NOT(ISERROR(SEARCH("o1b",E136)))</formula>
    </cfRule>
    <cfRule type="containsText" dxfId="3517" priority="3582" operator="containsText" text="o1a">
      <formula>NOT(ISERROR(SEARCH("o1a",E136)))</formula>
    </cfRule>
  </conditionalFormatting>
  <conditionalFormatting sqref="E126:H129">
    <cfRule type="containsText" dxfId="3516" priority="3571" operator="containsText" text="o5">
      <formula>NOT(ISERROR(SEARCH("o5",E126)))</formula>
    </cfRule>
    <cfRule type="containsText" dxfId="3515" priority="3572" operator="containsText" text="o4">
      <formula>NOT(ISERROR(SEARCH("o4",E126)))</formula>
    </cfRule>
    <cfRule type="containsText" dxfId="3514" priority="3573" operator="containsText" text="o3">
      <formula>NOT(ISERROR(SEARCH("o3",E126)))</formula>
    </cfRule>
    <cfRule type="containsText" dxfId="3513" priority="3574" operator="containsText" text="o2">
      <formula>NOT(ISERROR(SEARCH("o2",E126)))</formula>
    </cfRule>
    <cfRule type="containsText" dxfId="3512" priority="3575" operator="containsText" text="o1b">
      <formula>NOT(ISERROR(SEARCH("o1b",E126)))</formula>
    </cfRule>
    <cfRule type="containsText" dxfId="3511" priority="3576" operator="containsText" text="o1a">
      <formula>NOT(ISERROR(SEARCH("o1a",E126)))</formula>
    </cfRule>
  </conditionalFormatting>
  <conditionalFormatting sqref="E130:H133">
    <cfRule type="containsText" dxfId="3510" priority="3565" operator="containsText" text="o5">
      <formula>NOT(ISERROR(SEARCH("o5",E130)))</formula>
    </cfRule>
    <cfRule type="containsText" dxfId="3509" priority="3566" operator="containsText" text="o4">
      <formula>NOT(ISERROR(SEARCH("o4",E130)))</formula>
    </cfRule>
    <cfRule type="containsText" dxfId="3508" priority="3567" operator="containsText" text="o3">
      <formula>NOT(ISERROR(SEARCH("o3",E130)))</formula>
    </cfRule>
    <cfRule type="containsText" dxfId="3507" priority="3568" operator="containsText" text="o2">
      <formula>NOT(ISERROR(SEARCH("o2",E130)))</formula>
    </cfRule>
    <cfRule type="containsText" dxfId="3506" priority="3569" operator="containsText" text="o1b">
      <formula>NOT(ISERROR(SEARCH("o1b",E130)))</formula>
    </cfRule>
    <cfRule type="containsText" dxfId="3505" priority="3570" operator="containsText" text="o1a">
      <formula>NOT(ISERROR(SEARCH("o1a",E130)))</formula>
    </cfRule>
  </conditionalFormatting>
  <conditionalFormatting sqref="F136:G137">
    <cfRule type="containsText" dxfId="3504" priority="3553" operator="containsText" text="o5">
      <formula>NOT(ISERROR(SEARCH("o5",F136)))</formula>
    </cfRule>
    <cfRule type="containsText" dxfId="3503" priority="3554" operator="containsText" text="o4">
      <formula>NOT(ISERROR(SEARCH("o4",F136)))</formula>
    </cfRule>
    <cfRule type="containsText" dxfId="3502" priority="3555" operator="containsText" text="o3">
      <formula>NOT(ISERROR(SEARCH("o3",F136)))</formula>
    </cfRule>
    <cfRule type="containsText" dxfId="3501" priority="3556" operator="containsText" text="o2">
      <formula>NOT(ISERROR(SEARCH("o2",F136)))</formula>
    </cfRule>
    <cfRule type="containsText" dxfId="3500" priority="3557" operator="containsText" text="o1b">
      <formula>NOT(ISERROR(SEARCH("o1b",F136)))</formula>
    </cfRule>
    <cfRule type="containsText" dxfId="3499" priority="3558" operator="containsText" text="o1a">
      <formula>NOT(ISERROR(SEARCH("o1a",F136)))</formula>
    </cfRule>
  </conditionalFormatting>
  <conditionalFormatting sqref="F138:G139">
    <cfRule type="containsText" dxfId="3498" priority="3547" operator="containsText" text="o5">
      <formula>NOT(ISERROR(SEARCH("o5",F138)))</formula>
    </cfRule>
    <cfRule type="containsText" dxfId="3497" priority="3548" operator="containsText" text="o4">
      <formula>NOT(ISERROR(SEARCH("o4",F138)))</formula>
    </cfRule>
    <cfRule type="containsText" dxfId="3496" priority="3549" operator="containsText" text="o3">
      <formula>NOT(ISERROR(SEARCH("o3",F138)))</formula>
    </cfRule>
    <cfRule type="containsText" dxfId="3495" priority="3550" operator="containsText" text="o2">
      <formula>NOT(ISERROR(SEARCH("o2",F138)))</formula>
    </cfRule>
    <cfRule type="containsText" dxfId="3494" priority="3551" operator="containsText" text="o1b">
      <formula>NOT(ISERROR(SEARCH("o1b",F138)))</formula>
    </cfRule>
    <cfRule type="containsText" dxfId="3493" priority="3552" operator="containsText" text="o1a">
      <formula>NOT(ISERROR(SEARCH("o1a",F138)))</formula>
    </cfRule>
  </conditionalFormatting>
  <conditionalFormatting sqref="E140:H141">
    <cfRule type="containsText" dxfId="3492" priority="3541" operator="containsText" text="o5">
      <formula>NOT(ISERROR(SEARCH("o5",E140)))</formula>
    </cfRule>
    <cfRule type="containsText" dxfId="3491" priority="3542" operator="containsText" text="o4">
      <formula>NOT(ISERROR(SEARCH("o4",E140)))</formula>
    </cfRule>
    <cfRule type="containsText" dxfId="3490" priority="3543" operator="containsText" text="o3">
      <formula>NOT(ISERROR(SEARCH("o3",E140)))</formula>
    </cfRule>
    <cfRule type="containsText" dxfId="3489" priority="3544" operator="containsText" text="o2">
      <formula>NOT(ISERROR(SEARCH("o2",E140)))</formula>
    </cfRule>
    <cfRule type="containsText" dxfId="3488" priority="3545" operator="containsText" text="o1b">
      <formula>NOT(ISERROR(SEARCH("o1b",E140)))</formula>
    </cfRule>
    <cfRule type="containsText" dxfId="3487" priority="3546" operator="containsText" text="o1a">
      <formula>NOT(ISERROR(SEARCH("o1a",E140)))</formula>
    </cfRule>
  </conditionalFormatting>
  <conditionalFormatting sqref="F142:G143">
    <cfRule type="containsText" dxfId="3486" priority="3535" operator="containsText" text="o5">
      <formula>NOT(ISERROR(SEARCH("o5",F142)))</formula>
    </cfRule>
    <cfRule type="containsText" dxfId="3485" priority="3536" operator="containsText" text="o4">
      <formula>NOT(ISERROR(SEARCH("o4",F142)))</formula>
    </cfRule>
    <cfRule type="containsText" dxfId="3484" priority="3537" operator="containsText" text="o3">
      <formula>NOT(ISERROR(SEARCH("o3",F142)))</formula>
    </cfRule>
    <cfRule type="containsText" dxfId="3483" priority="3538" operator="containsText" text="o2">
      <formula>NOT(ISERROR(SEARCH("o2",F142)))</formula>
    </cfRule>
    <cfRule type="containsText" dxfId="3482" priority="3539" operator="containsText" text="o1b">
      <formula>NOT(ISERROR(SEARCH("o1b",F142)))</formula>
    </cfRule>
    <cfRule type="containsText" dxfId="3481" priority="3540" operator="containsText" text="o1a">
      <formula>NOT(ISERROR(SEARCH("o1a",F142)))</formula>
    </cfRule>
  </conditionalFormatting>
  <conditionalFormatting sqref="E144:H145">
    <cfRule type="containsText" dxfId="3480" priority="3529" operator="containsText" text="o5">
      <formula>NOT(ISERROR(SEARCH("o5",E144)))</formula>
    </cfRule>
    <cfRule type="containsText" dxfId="3479" priority="3530" operator="containsText" text="o4">
      <formula>NOT(ISERROR(SEARCH("o4",E144)))</formula>
    </cfRule>
    <cfRule type="containsText" dxfId="3478" priority="3531" operator="containsText" text="o3">
      <formula>NOT(ISERROR(SEARCH("o3",E144)))</formula>
    </cfRule>
    <cfRule type="containsText" dxfId="3477" priority="3532" operator="containsText" text="o2">
      <formula>NOT(ISERROR(SEARCH("o2",E144)))</formula>
    </cfRule>
    <cfRule type="containsText" dxfId="3476" priority="3533" operator="containsText" text="o1b">
      <formula>NOT(ISERROR(SEARCH("o1b",E144)))</formula>
    </cfRule>
    <cfRule type="containsText" dxfId="3475" priority="3534" operator="containsText" text="o1a">
      <formula>NOT(ISERROR(SEARCH("o1a",E144)))</formula>
    </cfRule>
  </conditionalFormatting>
  <conditionalFormatting sqref="F146:G147">
    <cfRule type="containsText" dxfId="3474" priority="3523" operator="containsText" text="o5">
      <formula>NOT(ISERROR(SEARCH("o5",F146)))</formula>
    </cfRule>
    <cfRule type="containsText" dxfId="3473" priority="3524" operator="containsText" text="o4">
      <formula>NOT(ISERROR(SEARCH("o4",F146)))</formula>
    </cfRule>
    <cfRule type="containsText" dxfId="3472" priority="3525" operator="containsText" text="o3">
      <formula>NOT(ISERROR(SEARCH("o3",F146)))</formula>
    </cfRule>
    <cfRule type="containsText" dxfId="3471" priority="3526" operator="containsText" text="o2">
      <formula>NOT(ISERROR(SEARCH("o2",F146)))</formula>
    </cfRule>
    <cfRule type="containsText" dxfId="3470" priority="3527" operator="containsText" text="o1b">
      <formula>NOT(ISERROR(SEARCH("o1b",F146)))</formula>
    </cfRule>
    <cfRule type="containsText" dxfId="3469" priority="3528" operator="containsText" text="o1a">
      <formula>NOT(ISERROR(SEARCH("o1a",F146)))</formula>
    </cfRule>
  </conditionalFormatting>
  <conditionalFormatting sqref="E148:H149">
    <cfRule type="containsText" dxfId="3468" priority="3517" operator="containsText" text="o5">
      <formula>NOT(ISERROR(SEARCH("o5",E148)))</formula>
    </cfRule>
    <cfRule type="containsText" dxfId="3467" priority="3518" operator="containsText" text="o4">
      <formula>NOT(ISERROR(SEARCH("o4",E148)))</formula>
    </cfRule>
    <cfRule type="containsText" dxfId="3466" priority="3519" operator="containsText" text="o3">
      <formula>NOT(ISERROR(SEARCH("o3",E148)))</formula>
    </cfRule>
    <cfRule type="containsText" dxfId="3465" priority="3520" operator="containsText" text="o2">
      <formula>NOT(ISERROR(SEARCH("o2",E148)))</formula>
    </cfRule>
    <cfRule type="containsText" dxfId="3464" priority="3521" operator="containsText" text="o1b">
      <formula>NOT(ISERROR(SEARCH("o1b",E148)))</formula>
    </cfRule>
    <cfRule type="containsText" dxfId="3463" priority="3522" operator="containsText" text="o1a">
      <formula>NOT(ISERROR(SEARCH("o1a",E148)))</formula>
    </cfRule>
  </conditionalFormatting>
  <conditionalFormatting sqref="F151:G152">
    <cfRule type="containsText" dxfId="3462" priority="3511" operator="containsText" text="o5">
      <formula>NOT(ISERROR(SEARCH("o5",F151)))</formula>
    </cfRule>
    <cfRule type="containsText" dxfId="3461" priority="3512" operator="containsText" text="o4">
      <formula>NOT(ISERROR(SEARCH("o4",F151)))</formula>
    </cfRule>
    <cfRule type="containsText" dxfId="3460" priority="3513" operator="containsText" text="o3">
      <formula>NOT(ISERROR(SEARCH("o3",F151)))</formula>
    </cfRule>
    <cfRule type="containsText" dxfId="3459" priority="3514" operator="containsText" text="o2">
      <formula>NOT(ISERROR(SEARCH("o2",F151)))</formula>
    </cfRule>
    <cfRule type="containsText" dxfId="3458" priority="3515" operator="containsText" text="o1b">
      <formula>NOT(ISERROR(SEARCH("o1b",F151)))</formula>
    </cfRule>
    <cfRule type="containsText" dxfId="3457" priority="3516" operator="containsText" text="o1a">
      <formula>NOT(ISERROR(SEARCH("o1a",F151)))</formula>
    </cfRule>
  </conditionalFormatting>
  <conditionalFormatting sqref="E166:E167 E156:E157 H156:H157 E160:E163 H160:H163 H166:H167">
    <cfRule type="containsText" dxfId="3456" priority="3505" operator="containsText" text="o5">
      <formula>NOT(ISERROR(SEARCH("o5",E156)))</formula>
    </cfRule>
    <cfRule type="containsText" dxfId="3455" priority="3506" operator="containsText" text="o4">
      <formula>NOT(ISERROR(SEARCH("o4",E156)))</formula>
    </cfRule>
    <cfRule type="containsText" dxfId="3454" priority="3507" operator="containsText" text="o3">
      <formula>NOT(ISERROR(SEARCH("o3",E156)))</formula>
    </cfRule>
    <cfRule type="containsText" dxfId="3453" priority="3508" operator="containsText" text="o2">
      <formula>NOT(ISERROR(SEARCH("o2",E156)))</formula>
    </cfRule>
    <cfRule type="containsText" dxfId="3452" priority="3509" operator="containsText" text="o1b">
      <formula>NOT(ISERROR(SEARCH("o1b",E156)))</formula>
    </cfRule>
    <cfRule type="containsText" dxfId="3451" priority="3510" operator="containsText" text="o1a">
      <formula>NOT(ISERROR(SEARCH("o1a",E156)))</formula>
    </cfRule>
  </conditionalFormatting>
  <conditionalFormatting sqref="F156:G157">
    <cfRule type="containsText" dxfId="3450" priority="3499" operator="containsText" text="o5">
      <formula>NOT(ISERROR(SEARCH("o5",F156)))</formula>
    </cfRule>
    <cfRule type="containsText" dxfId="3449" priority="3500" operator="containsText" text="o4">
      <formula>NOT(ISERROR(SEARCH("o4",F156)))</formula>
    </cfRule>
    <cfRule type="containsText" dxfId="3448" priority="3501" operator="containsText" text="o3">
      <formula>NOT(ISERROR(SEARCH("o3",F156)))</formula>
    </cfRule>
    <cfRule type="containsText" dxfId="3447" priority="3502" operator="containsText" text="o2">
      <formula>NOT(ISERROR(SEARCH("o2",F156)))</formula>
    </cfRule>
    <cfRule type="containsText" dxfId="3446" priority="3503" operator="containsText" text="o1b">
      <formula>NOT(ISERROR(SEARCH("o1b",F156)))</formula>
    </cfRule>
    <cfRule type="containsText" dxfId="3445" priority="3504" operator="containsText" text="o1a">
      <formula>NOT(ISERROR(SEARCH("o1a",F156)))</formula>
    </cfRule>
  </conditionalFormatting>
  <conditionalFormatting sqref="E158:H159">
    <cfRule type="containsText" dxfId="3444" priority="3493" operator="containsText" text="o5">
      <formula>NOT(ISERROR(SEARCH("o5",E158)))</formula>
    </cfRule>
    <cfRule type="containsText" dxfId="3443" priority="3494" operator="containsText" text="o4">
      <formula>NOT(ISERROR(SEARCH("o4",E158)))</formula>
    </cfRule>
    <cfRule type="containsText" dxfId="3442" priority="3495" operator="containsText" text="o3">
      <formula>NOT(ISERROR(SEARCH("o3",E158)))</formula>
    </cfRule>
    <cfRule type="containsText" dxfId="3441" priority="3496" operator="containsText" text="o2">
      <formula>NOT(ISERROR(SEARCH("o2",E158)))</formula>
    </cfRule>
    <cfRule type="containsText" dxfId="3440" priority="3497" operator="containsText" text="o1b">
      <formula>NOT(ISERROR(SEARCH("o1b",E158)))</formula>
    </cfRule>
    <cfRule type="containsText" dxfId="3439" priority="3498" operator="containsText" text="o1a">
      <formula>NOT(ISERROR(SEARCH("o1a",E158)))</formula>
    </cfRule>
  </conditionalFormatting>
  <conditionalFormatting sqref="F160:G161">
    <cfRule type="containsText" dxfId="3438" priority="3487" operator="containsText" text="o5">
      <formula>NOT(ISERROR(SEARCH("o5",F160)))</formula>
    </cfRule>
    <cfRule type="containsText" dxfId="3437" priority="3488" operator="containsText" text="o4">
      <formula>NOT(ISERROR(SEARCH("o4",F160)))</formula>
    </cfRule>
    <cfRule type="containsText" dxfId="3436" priority="3489" operator="containsText" text="o3">
      <formula>NOT(ISERROR(SEARCH("o3",F160)))</formula>
    </cfRule>
    <cfRule type="containsText" dxfId="3435" priority="3490" operator="containsText" text="o2">
      <formula>NOT(ISERROR(SEARCH("o2",F160)))</formula>
    </cfRule>
    <cfRule type="containsText" dxfId="3434" priority="3491" operator="containsText" text="o1b">
      <formula>NOT(ISERROR(SEARCH("o1b",F160)))</formula>
    </cfRule>
    <cfRule type="containsText" dxfId="3433" priority="3492" operator="containsText" text="o1a">
      <formula>NOT(ISERROR(SEARCH("o1a",F160)))</formula>
    </cfRule>
  </conditionalFormatting>
  <conditionalFormatting sqref="F162:G163">
    <cfRule type="containsText" dxfId="3432" priority="3481" operator="containsText" text="o5">
      <formula>NOT(ISERROR(SEARCH("o5",F162)))</formula>
    </cfRule>
    <cfRule type="containsText" dxfId="3431" priority="3482" operator="containsText" text="o4">
      <formula>NOT(ISERROR(SEARCH("o4",F162)))</formula>
    </cfRule>
    <cfRule type="containsText" dxfId="3430" priority="3483" operator="containsText" text="o3">
      <formula>NOT(ISERROR(SEARCH("o3",F162)))</formula>
    </cfRule>
    <cfRule type="containsText" dxfId="3429" priority="3484" operator="containsText" text="o2">
      <formula>NOT(ISERROR(SEARCH("o2",F162)))</formula>
    </cfRule>
    <cfRule type="containsText" dxfId="3428" priority="3485" operator="containsText" text="o1b">
      <formula>NOT(ISERROR(SEARCH("o1b",F162)))</formula>
    </cfRule>
    <cfRule type="containsText" dxfId="3427" priority="3486" operator="containsText" text="o1a">
      <formula>NOT(ISERROR(SEARCH("o1a",F162)))</formula>
    </cfRule>
  </conditionalFormatting>
  <conditionalFormatting sqref="E164:H165">
    <cfRule type="containsText" dxfId="3426" priority="3475" operator="containsText" text="o5">
      <formula>NOT(ISERROR(SEARCH("o5",E164)))</formula>
    </cfRule>
    <cfRule type="containsText" dxfId="3425" priority="3476" operator="containsText" text="o4">
      <formula>NOT(ISERROR(SEARCH("o4",E164)))</formula>
    </cfRule>
    <cfRule type="containsText" dxfId="3424" priority="3477" operator="containsText" text="o3">
      <formula>NOT(ISERROR(SEARCH("o3",E164)))</formula>
    </cfRule>
    <cfRule type="containsText" dxfId="3423" priority="3478" operator="containsText" text="o2">
      <formula>NOT(ISERROR(SEARCH("o2",E164)))</formula>
    </cfRule>
    <cfRule type="containsText" dxfId="3422" priority="3479" operator="containsText" text="o1b">
      <formula>NOT(ISERROR(SEARCH("o1b",E164)))</formula>
    </cfRule>
    <cfRule type="containsText" dxfId="3421" priority="3480" operator="containsText" text="o1a">
      <formula>NOT(ISERROR(SEARCH("o1a",E164)))</formula>
    </cfRule>
  </conditionalFormatting>
  <conditionalFormatting sqref="F166:G167">
    <cfRule type="containsText" dxfId="3420" priority="3469" operator="containsText" text="o5">
      <formula>NOT(ISERROR(SEARCH("o5",F166)))</formula>
    </cfRule>
    <cfRule type="containsText" dxfId="3419" priority="3470" operator="containsText" text="o4">
      <formula>NOT(ISERROR(SEARCH("o4",F166)))</formula>
    </cfRule>
    <cfRule type="containsText" dxfId="3418" priority="3471" operator="containsText" text="o3">
      <formula>NOT(ISERROR(SEARCH("o3",F166)))</formula>
    </cfRule>
    <cfRule type="containsText" dxfId="3417" priority="3472" operator="containsText" text="o2">
      <formula>NOT(ISERROR(SEARCH("o2",F166)))</formula>
    </cfRule>
    <cfRule type="containsText" dxfId="3416" priority="3473" operator="containsText" text="o1b">
      <formula>NOT(ISERROR(SEARCH("o1b",F166)))</formula>
    </cfRule>
    <cfRule type="containsText" dxfId="3415" priority="3474" operator="containsText" text="o1a">
      <formula>NOT(ISERROR(SEARCH("o1a",F166)))</formula>
    </cfRule>
  </conditionalFormatting>
  <conditionalFormatting sqref="E172:H175 E171 E169:H170 E178:H181 E184:H188 E190:H192">
    <cfRule type="containsText" dxfId="3414" priority="3463" operator="containsText" text="o5">
      <formula>NOT(ISERROR(SEARCH("o5",E169)))</formula>
    </cfRule>
    <cfRule type="containsText" dxfId="3413" priority="3464" operator="containsText" text="o4">
      <formula>NOT(ISERROR(SEARCH("o4",E169)))</formula>
    </cfRule>
    <cfRule type="containsText" dxfId="3412" priority="3465" operator="containsText" text="o3">
      <formula>NOT(ISERROR(SEARCH("o3",E169)))</formula>
    </cfRule>
    <cfRule type="containsText" dxfId="3411" priority="3466" operator="containsText" text="o2">
      <formula>NOT(ISERROR(SEARCH("o2",E169)))</formula>
    </cfRule>
    <cfRule type="containsText" dxfId="3410" priority="3467" operator="containsText" text="o1b">
      <formula>NOT(ISERROR(SEARCH("o1b",E169)))</formula>
    </cfRule>
    <cfRule type="containsText" dxfId="3409" priority="3468" operator="containsText" text="o1a">
      <formula>NOT(ISERROR(SEARCH("o1a",E169)))</formula>
    </cfRule>
  </conditionalFormatting>
  <conditionalFormatting sqref="F171:H171">
    <cfRule type="containsText" dxfId="3408" priority="3457" operator="containsText" text="o5">
      <formula>NOT(ISERROR(SEARCH("o5",F171)))</formula>
    </cfRule>
    <cfRule type="containsText" dxfId="3407" priority="3458" operator="containsText" text="o4">
      <formula>NOT(ISERROR(SEARCH("o4",F171)))</formula>
    </cfRule>
    <cfRule type="containsText" dxfId="3406" priority="3459" operator="containsText" text="o3">
      <formula>NOT(ISERROR(SEARCH("o3",F171)))</formula>
    </cfRule>
    <cfRule type="containsText" dxfId="3405" priority="3460" operator="containsText" text="o2">
      <formula>NOT(ISERROR(SEARCH("o2",F171)))</formula>
    </cfRule>
    <cfRule type="containsText" dxfId="3404" priority="3461" operator="containsText" text="o1b">
      <formula>NOT(ISERROR(SEARCH("o1b",F171)))</formula>
    </cfRule>
    <cfRule type="containsText" dxfId="3403" priority="3462" operator="containsText" text="o1a">
      <formula>NOT(ISERROR(SEARCH("o1a",F171)))</formula>
    </cfRule>
  </conditionalFormatting>
  <conditionalFormatting sqref="E176:H177">
    <cfRule type="containsText" dxfId="3402" priority="3451" operator="containsText" text="o5">
      <formula>NOT(ISERROR(SEARCH("o5",E176)))</formula>
    </cfRule>
    <cfRule type="containsText" dxfId="3401" priority="3452" operator="containsText" text="o4">
      <formula>NOT(ISERROR(SEARCH("o4",E176)))</formula>
    </cfRule>
    <cfRule type="containsText" dxfId="3400" priority="3453" operator="containsText" text="o3">
      <formula>NOT(ISERROR(SEARCH("o3",E176)))</formula>
    </cfRule>
    <cfRule type="containsText" dxfId="3399" priority="3454" operator="containsText" text="o2">
      <formula>NOT(ISERROR(SEARCH("o2",E176)))</formula>
    </cfRule>
    <cfRule type="containsText" dxfId="3398" priority="3455" operator="containsText" text="o1b">
      <formula>NOT(ISERROR(SEARCH("o1b",E176)))</formula>
    </cfRule>
    <cfRule type="containsText" dxfId="3397" priority="3456" operator="containsText" text="o1a">
      <formula>NOT(ISERROR(SEARCH("o1a",E176)))</formula>
    </cfRule>
  </conditionalFormatting>
  <conditionalFormatting sqref="E182:H183">
    <cfRule type="containsText" dxfId="3396" priority="3445" operator="containsText" text="o5">
      <formula>NOT(ISERROR(SEARCH("o5",E182)))</formula>
    </cfRule>
    <cfRule type="containsText" dxfId="3395" priority="3446" operator="containsText" text="o4">
      <formula>NOT(ISERROR(SEARCH("o4",E182)))</formula>
    </cfRule>
    <cfRule type="containsText" dxfId="3394" priority="3447" operator="containsText" text="o3">
      <formula>NOT(ISERROR(SEARCH("o3",E182)))</formula>
    </cfRule>
    <cfRule type="containsText" dxfId="3393" priority="3448" operator="containsText" text="o2">
      <formula>NOT(ISERROR(SEARCH("o2",E182)))</formula>
    </cfRule>
    <cfRule type="containsText" dxfId="3392" priority="3449" operator="containsText" text="o1b">
      <formula>NOT(ISERROR(SEARCH("o1b",E182)))</formula>
    </cfRule>
    <cfRule type="containsText" dxfId="3391" priority="3450" operator="containsText" text="o1a">
      <formula>NOT(ISERROR(SEARCH("o1a",E182)))</formula>
    </cfRule>
  </conditionalFormatting>
  <conditionalFormatting sqref="E189:H189">
    <cfRule type="containsText" dxfId="3390" priority="3439" operator="containsText" text="o5">
      <formula>NOT(ISERROR(SEARCH("o5",E189)))</formula>
    </cfRule>
    <cfRule type="containsText" dxfId="3389" priority="3440" operator="containsText" text="o4">
      <formula>NOT(ISERROR(SEARCH("o4",E189)))</formula>
    </cfRule>
    <cfRule type="containsText" dxfId="3388" priority="3441" operator="containsText" text="o3">
      <formula>NOT(ISERROR(SEARCH("o3",E189)))</formula>
    </cfRule>
    <cfRule type="containsText" dxfId="3387" priority="3442" operator="containsText" text="o2">
      <formula>NOT(ISERROR(SEARCH("o2",E189)))</formula>
    </cfRule>
    <cfRule type="containsText" dxfId="3386" priority="3443" operator="containsText" text="o1b">
      <formula>NOT(ISERROR(SEARCH("o1b",E189)))</formula>
    </cfRule>
    <cfRule type="containsText" dxfId="3385" priority="3444" operator="containsText" text="o1a">
      <formula>NOT(ISERROR(SEARCH("o1a",E189)))</formula>
    </cfRule>
  </conditionalFormatting>
  <conditionalFormatting sqref="E197:H197 E198:F198 H198 E199:H199 E200:F201 H200:H201 E202:H203 E204:F204 H204">
    <cfRule type="containsText" dxfId="3384" priority="3433" operator="containsText" text="o5">
      <formula>NOT(ISERROR(SEARCH("o5",E197)))</formula>
    </cfRule>
    <cfRule type="containsText" dxfId="3383" priority="3434" operator="containsText" text="o4">
      <formula>NOT(ISERROR(SEARCH("o4",E197)))</formula>
    </cfRule>
    <cfRule type="containsText" dxfId="3382" priority="3435" operator="containsText" text="o3">
      <formula>NOT(ISERROR(SEARCH("o3",E197)))</formula>
    </cfRule>
    <cfRule type="containsText" dxfId="3381" priority="3436" operator="containsText" text="o2">
      <formula>NOT(ISERROR(SEARCH("o2",E197)))</formula>
    </cfRule>
    <cfRule type="containsText" dxfId="3380" priority="3437" operator="containsText" text="o1b">
      <formula>NOT(ISERROR(SEARCH("o1b",E197)))</formula>
    </cfRule>
    <cfRule type="containsText" dxfId="3379" priority="3438" operator="containsText" text="o1a">
      <formula>NOT(ISERROR(SEARCH("o1a",E197)))</formula>
    </cfRule>
  </conditionalFormatting>
  <conditionalFormatting sqref="G198">
    <cfRule type="containsText" dxfId="3378" priority="3427" operator="containsText" text="o5">
      <formula>NOT(ISERROR(SEARCH("o5",G198)))</formula>
    </cfRule>
    <cfRule type="containsText" dxfId="3377" priority="3428" operator="containsText" text="o4">
      <formula>NOT(ISERROR(SEARCH("o4",G198)))</formula>
    </cfRule>
    <cfRule type="containsText" dxfId="3376" priority="3429" operator="containsText" text="o3">
      <formula>NOT(ISERROR(SEARCH("o3",G198)))</formula>
    </cfRule>
    <cfRule type="containsText" dxfId="3375" priority="3430" operator="containsText" text="o2">
      <formula>NOT(ISERROR(SEARCH("o2",G198)))</formula>
    </cfRule>
    <cfRule type="containsText" dxfId="3374" priority="3431" operator="containsText" text="o1b">
      <formula>NOT(ISERROR(SEARCH("o1b",G198)))</formula>
    </cfRule>
    <cfRule type="containsText" dxfId="3373" priority="3432" operator="containsText" text="o1a">
      <formula>NOT(ISERROR(SEARCH("o1a",G198)))</formula>
    </cfRule>
  </conditionalFormatting>
  <conditionalFormatting sqref="G200">
    <cfRule type="containsText" dxfId="3372" priority="3421" operator="containsText" text="o5">
      <formula>NOT(ISERROR(SEARCH("o5",G200)))</formula>
    </cfRule>
    <cfRule type="containsText" dxfId="3371" priority="3422" operator="containsText" text="o4">
      <formula>NOT(ISERROR(SEARCH("o4",G200)))</formula>
    </cfRule>
    <cfRule type="containsText" dxfId="3370" priority="3423" operator="containsText" text="o3">
      <formula>NOT(ISERROR(SEARCH("o3",G200)))</formula>
    </cfRule>
    <cfRule type="containsText" dxfId="3369" priority="3424" operator="containsText" text="o2">
      <formula>NOT(ISERROR(SEARCH("o2",G200)))</formula>
    </cfRule>
    <cfRule type="containsText" dxfId="3368" priority="3425" operator="containsText" text="o1b">
      <formula>NOT(ISERROR(SEARCH("o1b",G200)))</formula>
    </cfRule>
    <cfRule type="containsText" dxfId="3367" priority="3426" operator="containsText" text="o1a">
      <formula>NOT(ISERROR(SEARCH("o1a",G200)))</formula>
    </cfRule>
  </conditionalFormatting>
  <conditionalFormatting sqref="G201">
    <cfRule type="containsText" dxfId="3366" priority="3415" operator="containsText" text="o5">
      <formula>NOT(ISERROR(SEARCH("o5",G201)))</formula>
    </cfRule>
    <cfRule type="containsText" dxfId="3365" priority="3416" operator="containsText" text="o4">
      <formula>NOT(ISERROR(SEARCH("o4",G201)))</formula>
    </cfRule>
    <cfRule type="containsText" dxfId="3364" priority="3417" operator="containsText" text="o3">
      <formula>NOT(ISERROR(SEARCH("o3",G201)))</formula>
    </cfRule>
    <cfRule type="containsText" dxfId="3363" priority="3418" operator="containsText" text="o2">
      <formula>NOT(ISERROR(SEARCH("o2",G201)))</formula>
    </cfRule>
    <cfRule type="containsText" dxfId="3362" priority="3419" operator="containsText" text="o1b">
      <formula>NOT(ISERROR(SEARCH("o1b",G201)))</formula>
    </cfRule>
    <cfRule type="containsText" dxfId="3361" priority="3420" operator="containsText" text="o1a">
      <formula>NOT(ISERROR(SEARCH("o1a",G201)))</formula>
    </cfRule>
  </conditionalFormatting>
  <conditionalFormatting sqref="G204">
    <cfRule type="containsText" dxfId="3360" priority="3409" operator="containsText" text="o5">
      <formula>NOT(ISERROR(SEARCH("o5",G204)))</formula>
    </cfRule>
    <cfRule type="containsText" dxfId="3359" priority="3410" operator="containsText" text="o4">
      <formula>NOT(ISERROR(SEARCH("o4",G204)))</formula>
    </cfRule>
    <cfRule type="containsText" dxfId="3358" priority="3411" operator="containsText" text="o3">
      <formula>NOT(ISERROR(SEARCH("o3",G204)))</formula>
    </cfRule>
    <cfRule type="containsText" dxfId="3357" priority="3412" operator="containsText" text="o2">
      <formula>NOT(ISERROR(SEARCH("o2",G204)))</formula>
    </cfRule>
    <cfRule type="containsText" dxfId="3356" priority="3413" operator="containsText" text="o1b">
      <formula>NOT(ISERROR(SEARCH("o1b",G204)))</formula>
    </cfRule>
    <cfRule type="containsText" dxfId="3355" priority="3414" operator="containsText" text="o1a">
      <formula>NOT(ISERROR(SEARCH("o1a",G204)))</formula>
    </cfRule>
  </conditionalFormatting>
  <conditionalFormatting sqref="E205:H205 E206:F206 H206 E207:H209 E210 E211:H212">
    <cfRule type="containsText" dxfId="3354" priority="3403" operator="containsText" text="o5">
      <formula>NOT(ISERROR(SEARCH("o5",E205)))</formula>
    </cfRule>
    <cfRule type="containsText" dxfId="3353" priority="3404" operator="containsText" text="o4">
      <formula>NOT(ISERROR(SEARCH("o4",E205)))</formula>
    </cfRule>
    <cfRule type="containsText" dxfId="3352" priority="3405" operator="containsText" text="o3">
      <formula>NOT(ISERROR(SEARCH("o3",E205)))</formula>
    </cfRule>
    <cfRule type="containsText" dxfId="3351" priority="3406" operator="containsText" text="o2">
      <formula>NOT(ISERROR(SEARCH("o2",E205)))</formula>
    </cfRule>
    <cfRule type="containsText" dxfId="3350" priority="3407" operator="containsText" text="o1b">
      <formula>NOT(ISERROR(SEARCH("o1b",E205)))</formula>
    </cfRule>
    <cfRule type="containsText" dxfId="3349" priority="3408" operator="containsText" text="o1a">
      <formula>NOT(ISERROR(SEARCH("o1a",E205)))</formula>
    </cfRule>
  </conditionalFormatting>
  <conditionalFormatting sqref="G206">
    <cfRule type="containsText" dxfId="3348" priority="3397" operator="containsText" text="o5">
      <formula>NOT(ISERROR(SEARCH("o5",G206)))</formula>
    </cfRule>
    <cfRule type="containsText" dxfId="3347" priority="3398" operator="containsText" text="o4">
      <formula>NOT(ISERROR(SEARCH("o4",G206)))</formula>
    </cfRule>
    <cfRule type="containsText" dxfId="3346" priority="3399" operator="containsText" text="o3">
      <formula>NOT(ISERROR(SEARCH("o3",G206)))</formula>
    </cfRule>
    <cfRule type="containsText" dxfId="3345" priority="3400" operator="containsText" text="o2">
      <formula>NOT(ISERROR(SEARCH("o2",G206)))</formula>
    </cfRule>
    <cfRule type="containsText" dxfId="3344" priority="3401" operator="containsText" text="o1b">
      <formula>NOT(ISERROR(SEARCH("o1b",G206)))</formula>
    </cfRule>
    <cfRule type="containsText" dxfId="3343" priority="3402" operator="containsText" text="o1a">
      <formula>NOT(ISERROR(SEARCH("o1a",G206)))</formula>
    </cfRule>
  </conditionalFormatting>
  <conditionalFormatting sqref="F210:H210">
    <cfRule type="containsText" dxfId="3342" priority="3391" operator="containsText" text="o5">
      <formula>NOT(ISERROR(SEARCH("o5",F210)))</formula>
    </cfRule>
    <cfRule type="containsText" dxfId="3341" priority="3392" operator="containsText" text="o4">
      <formula>NOT(ISERROR(SEARCH("o4",F210)))</formula>
    </cfRule>
    <cfRule type="containsText" dxfId="3340" priority="3393" operator="containsText" text="o3">
      <formula>NOT(ISERROR(SEARCH("o3",F210)))</formula>
    </cfRule>
    <cfRule type="containsText" dxfId="3339" priority="3394" operator="containsText" text="o2">
      <formula>NOT(ISERROR(SEARCH("o2",F210)))</formula>
    </cfRule>
    <cfRule type="containsText" dxfId="3338" priority="3395" operator="containsText" text="o1b">
      <formula>NOT(ISERROR(SEARCH("o1b",F210)))</formula>
    </cfRule>
    <cfRule type="containsText" dxfId="3337" priority="3396" operator="containsText" text="o1a">
      <formula>NOT(ISERROR(SEARCH("o1a",F210)))</formula>
    </cfRule>
  </conditionalFormatting>
  <conditionalFormatting sqref="E261:H262">
    <cfRule type="containsText" dxfId="3336" priority="3379" operator="containsText" text="o5">
      <formula>NOT(ISERROR(SEARCH("o5",E261)))</formula>
    </cfRule>
    <cfRule type="containsText" dxfId="3335" priority="3380" operator="containsText" text="o4">
      <formula>NOT(ISERROR(SEARCH("o4",E261)))</formula>
    </cfRule>
    <cfRule type="containsText" dxfId="3334" priority="3381" operator="containsText" text="o3">
      <formula>NOT(ISERROR(SEARCH("o3",E261)))</formula>
    </cfRule>
    <cfRule type="containsText" dxfId="3333" priority="3382" operator="containsText" text="o2">
      <formula>NOT(ISERROR(SEARCH("o2",E261)))</formula>
    </cfRule>
    <cfRule type="containsText" dxfId="3332" priority="3383" operator="containsText" text="o1b">
      <formula>NOT(ISERROR(SEARCH("o1b",E261)))</formula>
    </cfRule>
    <cfRule type="containsText" dxfId="3331" priority="3384" operator="containsText" text="o1a">
      <formula>NOT(ISERROR(SEARCH("o1a",E261)))</formula>
    </cfRule>
  </conditionalFormatting>
  <conditionalFormatting sqref="E267:H268">
    <cfRule type="containsText" dxfId="3330" priority="3373" operator="containsText" text="o5">
      <formula>NOT(ISERROR(SEARCH("o5",E267)))</formula>
    </cfRule>
    <cfRule type="containsText" dxfId="3329" priority="3374" operator="containsText" text="o4">
      <formula>NOT(ISERROR(SEARCH("o4",E267)))</formula>
    </cfRule>
    <cfRule type="containsText" dxfId="3328" priority="3375" operator="containsText" text="o3">
      <formula>NOT(ISERROR(SEARCH("o3",E267)))</formula>
    </cfRule>
    <cfRule type="containsText" dxfId="3327" priority="3376" operator="containsText" text="o2">
      <formula>NOT(ISERROR(SEARCH("o2",E267)))</formula>
    </cfRule>
    <cfRule type="containsText" dxfId="3326" priority="3377" operator="containsText" text="o1b">
      <formula>NOT(ISERROR(SEARCH("o1b",E267)))</formula>
    </cfRule>
    <cfRule type="containsText" dxfId="3325" priority="3378" operator="containsText" text="o1a">
      <formula>NOT(ISERROR(SEARCH("o1a",E267)))</formula>
    </cfRule>
  </conditionalFormatting>
  <conditionalFormatting sqref="E265:H266">
    <cfRule type="containsText" dxfId="3324" priority="3367" operator="containsText" text="o5">
      <formula>NOT(ISERROR(SEARCH("o5",E265)))</formula>
    </cfRule>
    <cfRule type="containsText" dxfId="3323" priority="3368" operator="containsText" text="o4">
      <formula>NOT(ISERROR(SEARCH("o4",E265)))</formula>
    </cfRule>
    <cfRule type="containsText" dxfId="3322" priority="3369" operator="containsText" text="o3">
      <formula>NOT(ISERROR(SEARCH("o3",E265)))</formula>
    </cfRule>
    <cfRule type="containsText" dxfId="3321" priority="3370" operator="containsText" text="o2">
      <formula>NOT(ISERROR(SEARCH("o2",E265)))</formula>
    </cfRule>
    <cfRule type="containsText" dxfId="3320" priority="3371" operator="containsText" text="o1b">
      <formula>NOT(ISERROR(SEARCH("o1b",E265)))</formula>
    </cfRule>
    <cfRule type="containsText" dxfId="3319" priority="3372" operator="containsText" text="o1a">
      <formula>NOT(ISERROR(SEARCH("o1a",E265)))</formula>
    </cfRule>
  </conditionalFormatting>
  <conditionalFormatting sqref="E271:H272">
    <cfRule type="containsText" dxfId="3318" priority="3361" operator="containsText" text="o5">
      <formula>NOT(ISERROR(SEARCH("o5",E271)))</formula>
    </cfRule>
    <cfRule type="containsText" dxfId="3317" priority="3362" operator="containsText" text="o4">
      <formula>NOT(ISERROR(SEARCH("o4",E271)))</formula>
    </cfRule>
    <cfRule type="containsText" dxfId="3316" priority="3363" operator="containsText" text="o3">
      <formula>NOT(ISERROR(SEARCH("o3",E271)))</formula>
    </cfRule>
    <cfRule type="containsText" dxfId="3315" priority="3364" operator="containsText" text="o2">
      <formula>NOT(ISERROR(SEARCH("o2",E271)))</formula>
    </cfRule>
    <cfRule type="containsText" dxfId="3314" priority="3365" operator="containsText" text="o1b">
      <formula>NOT(ISERROR(SEARCH("o1b",E271)))</formula>
    </cfRule>
    <cfRule type="containsText" dxfId="3313" priority="3366" operator="containsText" text="o1a">
      <formula>NOT(ISERROR(SEARCH("o1a",E271)))</formula>
    </cfRule>
  </conditionalFormatting>
  <conditionalFormatting sqref="E269:H270">
    <cfRule type="containsText" dxfId="3312" priority="3355" operator="containsText" text="o5">
      <formula>NOT(ISERROR(SEARCH("o5",E269)))</formula>
    </cfRule>
    <cfRule type="containsText" dxfId="3311" priority="3356" operator="containsText" text="o4">
      <formula>NOT(ISERROR(SEARCH("o4",E269)))</formula>
    </cfRule>
    <cfRule type="containsText" dxfId="3310" priority="3357" operator="containsText" text="o3">
      <formula>NOT(ISERROR(SEARCH("o3",E269)))</formula>
    </cfRule>
    <cfRule type="containsText" dxfId="3309" priority="3358" operator="containsText" text="o2">
      <formula>NOT(ISERROR(SEARCH("o2",E269)))</formula>
    </cfRule>
    <cfRule type="containsText" dxfId="3308" priority="3359" operator="containsText" text="o1b">
      <formula>NOT(ISERROR(SEARCH("o1b",E269)))</formula>
    </cfRule>
    <cfRule type="containsText" dxfId="3307" priority="3360" operator="containsText" text="o1a">
      <formula>NOT(ISERROR(SEARCH("o1a",E269)))</formula>
    </cfRule>
  </conditionalFormatting>
  <conditionalFormatting sqref="G274">
    <cfRule type="containsText" dxfId="3306" priority="3349" operator="containsText" text="o5">
      <formula>NOT(ISERROR(SEARCH("o5",G274)))</formula>
    </cfRule>
    <cfRule type="containsText" dxfId="3305" priority="3350" operator="containsText" text="o4">
      <formula>NOT(ISERROR(SEARCH("o4",G274)))</formula>
    </cfRule>
    <cfRule type="containsText" dxfId="3304" priority="3351" operator="containsText" text="o3">
      <formula>NOT(ISERROR(SEARCH("o3",G274)))</formula>
    </cfRule>
    <cfRule type="containsText" dxfId="3303" priority="3352" operator="containsText" text="o2">
      <formula>NOT(ISERROR(SEARCH("o2",G274)))</formula>
    </cfRule>
    <cfRule type="containsText" dxfId="3302" priority="3353" operator="containsText" text="o1b">
      <formula>NOT(ISERROR(SEARCH("o1b",G274)))</formula>
    </cfRule>
    <cfRule type="containsText" dxfId="3301" priority="3354" operator="containsText" text="o1a">
      <formula>NOT(ISERROR(SEARCH("o1a",G274)))</formula>
    </cfRule>
  </conditionalFormatting>
  <conditionalFormatting sqref="G275">
    <cfRule type="containsText" dxfId="3300" priority="3343" operator="containsText" text="o5">
      <formula>NOT(ISERROR(SEARCH("o5",G275)))</formula>
    </cfRule>
    <cfRule type="containsText" dxfId="3299" priority="3344" operator="containsText" text="o4">
      <formula>NOT(ISERROR(SEARCH("o4",G275)))</formula>
    </cfRule>
    <cfRule type="containsText" dxfId="3298" priority="3345" operator="containsText" text="o3">
      <formula>NOT(ISERROR(SEARCH("o3",G275)))</formula>
    </cfRule>
    <cfRule type="containsText" dxfId="3297" priority="3346" operator="containsText" text="o2">
      <formula>NOT(ISERROR(SEARCH("o2",G275)))</formula>
    </cfRule>
    <cfRule type="containsText" dxfId="3296" priority="3347" operator="containsText" text="o1b">
      <formula>NOT(ISERROR(SEARCH("o1b",G275)))</formula>
    </cfRule>
    <cfRule type="containsText" dxfId="3295" priority="3348" operator="containsText" text="o1a">
      <formula>NOT(ISERROR(SEARCH("o1a",G275)))</formula>
    </cfRule>
  </conditionalFormatting>
  <conditionalFormatting sqref="F277:G277 F278">
    <cfRule type="containsText" dxfId="3294" priority="3337" operator="containsText" text="o5">
      <formula>NOT(ISERROR(SEARCH("o5",F277)))</formula>
    </cfRule>
    <cfRule type="containsText" dxfId="3293" priority="3338" operator="containsText" text="o4">
      <formula>NOT(ISERROR(SEARCH("o4",F277)))</formula>
    </cfRule>
    <cfRule type="containsText" dxfId="3292" priority="3339" operator="containsText" text="o3">
      <formula>NOT(ISERROR(SEARCH("o3",F277)))</formula>
    </cfRule>
    <cfRule type="containsText" dxfId="3291" priority="3340" operator="containsText" text="o2">
      <formula>NOT(ISERROR(SEARCH("o2",F277)))</formula>
    </cfRule>
    <cfRule type="containsText" dxfId="3290" priority="3341" operator="containsText" text="o1b">
      <formula>NOT(ISERROR(SEARCH("o1b",F277)))</formula>
    </cfRule>
    <cfRule type="containsText" dxfId="3289" priority="3342" operator="containsText" text="o1a">
      <formula>NOT(ISERROR(SEARCH("o1a",F277)))</formula>
    </cfRule>
  </conditionalFormatting>
  <conditionalFormatting sqref="G278">
    <cfRule type="containsText" dxfId="3288" priority="3331" operator="containsText" text="o5">
      <formula>NOT(ISERROR(SEARCH("o5",G278)))</formula>
    </cfRule>
    <cfRule type="containsText" dxfId="3287" priority="3332" operator="containsText" text="o4">
      <formula>NOT(ISERROR(SEARCH("o4",G278)))</formula>
    </cfRule>
    <cfRule type="containsText" dxfId="3286" priority="3333" operator="containsText" text="o3">
      <formula>NOT(ISERROR(SEARCH("o3",G278)))</formula>
    </cfRule>
    <cfRule type="containsText" dxfId="3285" priority="3334" operator="containsText" text="o2">
      <formula>NOT(ISERROR(SEARCH("o2",G278)))</formula>
    </cfRule>
    <cfRule type="containsText" dxfId="3284" priority="3335" operator="containsText" text="o1b">
      <formula>NOT(ISERROR(SEARCH("o1b",G278)))</formula>
    </cfRule>
    <cfRule type="containsText" dxfId="3283" priority="3336" operator="containsText" text="o1a">
      <formula>NOT(ISERROR(SEARCH("o1a",G278)))</formula>
    </cfRule>
  </conditionalFormatting>
  <conditionalFormatting sqref="F279:G279 F280">
    <cfRule type="containsText" dxfId="3282" priority="3325" operator="containsText" text="o5">
      <formula>NOT(ISERROR(SEARCH("o5",F279)))</formula>
    </cfRule>
    <cfRule type="containsText" dxfId="3281" priority="3326" operator="containsText" text="o4">
      <formula>NOT(ISERROR(SEARCH("o4",F279)))</formula>
    </cfRule>
    <cfRule type="containsText" dxfId="3280" priority="3327" operator="containsText" text="o3">
      <formula>NOT(ISERROR(SEARCH("o3",F279)))</formula>
    </cfRule>
    <cfRule type="containsText" dxfId="3279" priority="3328" operator="containsText" text="o2">
      <formula>NOT(ISERROR(SEARCH("o2",F279)))</formula>
    </cfRule>
    <cfRule type="containsText" dxfId="3278" priority="3329" operator="containsText" text="o1b">
      <formula>NOT(ISERROR(SEARCH("o1b",F279)))</formula>
    </cfRule>
    <cfRule type="containsText" dxfId="3277" priority="3330" operator="containsText" text="o1a">
      <formula>NOT(ISERROR(SEARCH("o1a",F279)))</formula>
    </cfRule>
  </conditionalFormatting>
  <conditionalFormatting sqref="G280">
    <cfRule type="containsText" dxfId="3276" priority="3319" operator="containsText" text="o5">
      <formula>NOT(ISERROR(SEARCH("o5",G280)))</formula>
    </cfRule>
    <cfRule type="containsText" dxfId="3275" priority="3320" operator="containsText" text="o4">
      <formula>NOT(ISERROR(SEARCH("o4",G280)))</formula>
    </cfRule>
    <cfRule type="containsText" dxfId="3274" priority="3321" operator="containsText" text="o3">
      <formula>NOT(ISERROR(SEARCH("o3",G280)))</formula>
    </cfRule>
    <cfRule type="containsText" dxfId="3273" priority="3322" operator="containsText" text="o2">
      <formula>NOT(ISERROR(SEARCH("o2",G280)))</formula>
    </cfRule>
    <cfRule type="containsText" dxfId="3272" priority="3323" operator="containsText" text="o1b">
      <formula>NOT(ISERROR(SEARCH("o1b",G280)))</formula>
    </cfRule>
    <cfRule type="containsText" dxfId="3271" priority="3324" operator="containsText" text="o1a">
      <formula>NOT(ISERROR(SEARCH("o1a",G280)))</formula>
    </cfRule>
  </conditionalFormatting>
  <conditionalFormatting sqref="E281:F281 H281 E282:H282 E283:E284 H283:H284">
    <cfRule type="containsText" dxfId="3270" priority="3313" operator="containsText" text="o5">
      <formula>NOT(ISERROR(SEARCH("o5",E281)))</formula>
    </cfRule>
    <cfRule type="containsText" dxfId="3269" priority="3314" operator="containsText" text="o4">
      <formula>NOT(ISERROR(SEARCH("o4",E281)))</formula>
    </cfRule>
    <cfRule type="containsText" dxfId="3268" priority="3315" operator="containsText" text="o3">
      <formula>NOT(ISERROR(SEARCH("o3",E281)))</formula>
    </cfRule>
    <cfRule type="containsText" dxfId="3267" priority="3316" operator="containsText" text="o2">
      <formula>NOT(ISERROR(SEARCH("o2",E281)))</formula>
    </cfRule>
    <cfRule type="containsText" dxfId="3266" priority="3317" operator="containsText" text="o1b">
      <formula>NOT(ISERROR(SEARCH("o1b",E281)))</formula>
    </cfRule>
    <cfRule type="containsText" dxfId="3265" priority="3318" operator="containsText" text="o1a">
      <formula>NOT(ISERROR(SEARCH("o1a",E281)))</formula>
    </cfRule>
  </conditionalFormatting>
  <conditionalFormatting sqref="G281">
    <cfRule type="containsText" dxfId="3264" priority="3307" operator="containsText" text="o5">
      <formula>NOT(ISERROR(SEARCH("o5",G281)))</formula>
    </cfRule>
    <cfRule type="containsText" dxfId="3263" priority="3308" operator="containsText" text="o4">
      <formula>NOT(ISERROR(SEARCH("o4",G281)))</formula>
    </cfRule>
    <cfRule type="containsText" dxfId="3262" priority="3309" operator="containsText" text="o3">
      <formula>NOT(ISERROR(SEARCH("o3",G281)))</formula>
    </cfRule>
    <cfRule type="containsText" dxfId="3261" priority="3310" operator="containsText" text="o2">
      <formula>NOT(ISERROR(SEARCH("o2",G281)))</formula>
    </cfRule>
    <cfRule type="containsText" dxfId="3260" priority="3311" operator="containsText" text="o1b">
      <formula>NOT(ISERROR(SEARCH("o1b",G281)))</formula>
    </cfRule>
    <cfRule type="containsText" dxfId="3259" priority="3312" operator="containsText" text="o1a">
      <formula>NOT(ISERROR(SEARCH("o1a",G281)))</formula>
    </cfRule>
  </conditionalFormatting>
  <conditionalFormatting sqref="F283:G283 F284">
    <cfRule type="containsText" dxfId="3258" priority="3301" operator="containsText" text="o5">
      <formula>NOT(ISERROR(SEARCH("o5",F283)))</formula>
    </cfRule>
    <cfRule type="containsText" dxfId="3257" priority="3302" operator="containsText" text="o4">
      <formula>NOT(ISERROR(SEARCH("o4",F283)))</formula>
    </cfRule>
    <cfRule type="containsText" dxfId="3256" priority="3303" operator="containsText" text="o3">
      <formula>NOT(ISERROR(SEARCH("o3",F283)))</formula>
    </cfRule>
    <cfRule type="containsText" dxfId="3255" priority="3304" operator="containsText" text="o2">
      <formula>NOT(ISERROR(SEARCH("o2",F283)))</formula>
    </cfRule>
    <cfRule type="containsText" dxfId="3254" priority="3305" operator="containsText" text="o1b">
      <formula>NOT(ISERROR(SEARCH("o1b",F283)))</formula>
    </cfRule>
    <cfRule type="containsText" dxfId="3253" priority="3306" operator="containsText" text="o1a">
      <formula>NOT(ISERROR(SEARCH("o1a",F283)))</formula>
    </cfRule>
  </conditionalFormatting>
  <conditionalFormatting sqref="G284">
    <cfRule type="containsText" dxfId="3252" priority="3295" operator="containsText" text="o5">
      <formula>NOT(ISERROR(SEARCH("o5",G284)))</formula>
    </cfRule>
    <cfRule type="containsText" dxfId="3251" priority="3296" operator="containsText" text="o4">
      <formula>NOT(ISERROR(SEARCH("o4",G284)))</formula>
    </cfRule>
    <cfRule type="containsText" dxfId="3250" priority="3297" operator="containsText" text="o3">
      <formula>NOT(ISERROR(SEARCH("o3",G284)))</formula>
    </cfRule>
    <cfRule type="containsText" dxfId="3249" priority="3298" operator="containsText" text="o2">
      <formula>NOT(ISERROR(SEARCH("o2",G284)))</formula>
    </cfRule>
    <cfRule type="containsText" dxfId="3248" priority="3299" operator="containsText" text="o1b">
      <formula>NOT(ISERROR(SEARCH("o1b",G284)))</formula>
    </cfRule>
    <cfRule type="containsText" dxfId="3247" priority="3300" operator="containsText" text="o1a">
      <formula>NOT(ISERROR(SEARCH("o1a",G284)))</formula>
    </cfRule>
  </conditionalFormatting>
  <conditionalFormatting sqref="H285:H286">
    <cfRule type="containsText" dxfId="3246" priority="3289" operator="containsText" text="o5">
      <formula>NOT(ISERROR(SEARCH("o5",H285)))</formula>
    </cfRule>
    <cfRule type="containsText" dxfId="3245" priority="3290" operator="containsText" text="o4">
      <formula>NOT(ISERROR(SEARCH("o4",H285)))</formula>
    </cfRule>
    <cfRule type="containsText" dxfId="3244" priority="3291" operator="containsText" text="o3">
      <formula>NOT(ISERROR(SEARCH("o3",H285)))</formula>
    </cfRule>
    <cfRule type="containsText" dxfId="3243" priority="3292" operator="containsText" text="o2">
      <formula>NOT(ISERROR(SEARCH("o2",H285)))</formula>
    </cfRule>
    <cfRule type="containsText" dxfId="3242" priority="3293" operator="containsText" text="o1b">
      <formula>NOT(ISERROR(SEARCH("o1b",H285)))</formula>
    </cfRule>
    <cfRule type="containsText" dxfId="3241" priority="3294" operator="containsText" text="o1a">
      <formula>NOT(ISERROR(SEARCH("o1a",H285)))</formula>
    </cfRule>
  </conditionalFormatting>
  <conditionalFormatting sqref="F285:G285 F286">
    <cfRule type="containsText" dxfId="3240" priority="3283" operator="containsText" text="o5">
      <formula>NOT(ISERROR(SEARCH("o5",F285)))</formula>
    </cfRule>
    <cfRule type="containsText" dxfId="3239" priority="3284" operator="containsText" text="o4">
      <formula>NOT(ISERROR(SEARCH("o4",F285)))</formula>
    </cfRule>
    <cfRule type="containsText" dxfId="3238" priority="3285" operator="containsText" text="o3">
      <formula>NOT(ISERROR(SEARCH("o3",F285)))</formula>
    </cfRule>
    <cfRule type="containsText" dxfId="3237" priority="3286" operator="containsText" text="o2">
      <formula>NOT(ISERROR(SEARCH("o2",F285)))</formula>
    </cfRule>
    <cfRule type="containsText" dxfId="3236" priority="3287" operator="containsText" text="o1b">
      <formula>NOT(ISERROR(SEARCH("o1b",F285)))</formula>
    </cfRule>
    <cfRule type="containsText" dxfId="3235" priority="3288" operator="containsText" text="o1a">
      <formula>NOT(ISERROR(SEARCH("o1a",F285)))</formula>
    </cfRule>
  </conditionalFormatting>
  <conditionalFormatting sqref="G286">
    <cfRule type="containsText" dxfId="3234" priority="3277" operator="containsText" text="o5">
      <formula>NOT(ISERROR(SEARCH("o5",G286)))</formula>
    </cfRule>
    <cfRule type="containsText" dxfId="3233" priority="3278" operator="containsText" text="o4">
      <formula>NOT(ISERROR(SEARCH("o4",G286)))</formula>
    </cfRule>
    <cfRule type="containsText" dxfId="3232" priority="3279" operator="containsText" text="o3">
      <formula>NOT(ISERROR(SEARCH("o3",G286)))</formula>
    </cfRule>
    <cfRule type="containsText" dxfId="3231" priority="3280" operator="containsText" text="o2">
      <formula>NOT(ISERROR(SEARCH("o2",G286)))</formula>
    </cfRule>
    <cfRule type="containsText" dxfId="3230" priority="3281" operator="containsText" text="o1b">
      <formula>NOT(ISERROR(SEARCH("o1b",G286)))</formula>
    </cfRule>
    <cfRule type="containsText" dxfId="3229" priority="3282" operator="containsText" text="o1a">
      <formula>NOT(ISERROR(SEARCH("o1a",G286)))</formula>
    </cfRule>
  </conditionalFormatting>
  <conditionalFormatting sqref="E287:F287 H287 E288:H288 E289:E290 H289:H290">
    <cfRule type="containsText" dxfId="3228" priority="3271" operator="containsText" text="o5">
      <formula>NOT(ISERROR(SEARCH("o5",E287)))</formula>
    </cfRule>
    <cfRule type="containsText" dxfId="3227" priority="3272" operator="containsText" text="o4">
      <formula>NOT(ISERROR(SEARCH("o4",E287)))</formula>
    </cfRule>
    <cfRule type="containsText" dxfId="3226" priority="3273" operator="containsText" text="o3">
      <formula>NOT(ISERROR(SEARCH("o3",E287)))</formula>
    </cfRule>
    <cfRule type="containsText" dxfId="3225" priority="3274" operator="containsText" text="o2">
      <formula>NOT(ISERROR(SEARCH("o2",E287)))</formula>
    </cfRule>
    <cfRule type="containsText" dxfId="3224" priority="3275" operator="containsText" text="o1b">
      <formula>NOT(ISERROR(SEARCH("o1b",E287)))</formula>
    </cfRule>
    <cfRule type="containsText" dxfId="3223" priority="3276" operator="containsText" text="o1a">
      <formula>NOT(ISERROR(SEARCH("o1a",E287)))</formula>
    </cfRule>
  </conditionalFormatting>
  <conditionalFormatting sqref="G287">
    <cfRule type="containsText" dxfId="3222" priority="3265" operator="containsText" text="o5">
      <formula>NOT(ISERROR(SEARCH("o5",G287)))</formula>
    </cfRule>
    <cfRule type="containsText" dxfId="3221" priority="3266" operator="containsText" text="o4">
      <formula>NOT(ISERROR(SEARCH("o4",G287)))</formula>
    </cfRule>
    <cfRule type="containsText" dxfId="3220" priority="3267" operator="containsText" text="o3">
      <formula>NOT(ISERROR(SEARCH("o3",G287)))</formula>
    </cfRule>
    <cfRule type="containsText" dxfId="3219" priority="3268" operator="containsText" text="o2">
      <formula>NOT(ISERROR(SEARCH("o2",G287)))</formula>
    </cfRule>
    <cfRule type="containsText" dxfId="3218" priority="3269" operator="containsText" text="o1b">
      <formula>NOT(ISERROR(SEARCH("o1b",G287)))</formula>
    </cfRule>
    <cfRule type="containsText" dxfId="3217" priority="3270" operator="containsText" text="o1a">
      <formula>NOT(ISERROR(SEARCH("o1a",G287)))</formula>
    </cfRule>
  </conditionalFormatting>
  <conditionalFormatting sqref="F289:G289 F290">
    <cfRule type="containsText" dxfId="3216" priority="3259" operator="containsText" text="o5">
      <formula>NOT(ISERROR(SEARCH("o5",F289)))</formula>
    </cfRule>
    <cfRule type="containsText" dxfId="3215" priority="3260" operator="containsText" text="o4">
      <formula>NOT(ISERROR(SEARCH("o4",F289)))</formula>
    </cfRule>
    <cfRule type="containsText" dxfId="3214" priority="3261" operator="containsText" text="o3">
      <formula>NOT(ISERROR(SEARCH("o3",F289)))</formula>
    </cfRule>
    <cfRule type="containsText" dxfId="3213" priority="3262" operator="containsText" text="o2">
      <formula>NOT(ISERROR(SEARCH("o2",F289)))</formula>
    </cfRule>
    <cfRule type="containsText" dxfId="3212" priority="3263" operator="containsText" text="o1b">
      <formula>NOT(ISERROR(SEARCH("o1b",F289)))</formula>
    </cfRule>
    <cfRule type="containsText" dxfId="3211" priority="3264" operator="containsText" text="o1a">
      <formula>NOT(ISERROR(SEARCH("o1a",F289)))</formula>
    </cfRule>
  </conditionalFormatting>
  <conditionalFormatting sqref="G290">
    <cfRule type="containsText" dxfId="3210" priority="3253" operator="containsText" text="o5">
      <formula>NOT(ISERROR(SEARCH("o5",G290)))</formula>
    </cfRule>
    <cfRule type="containsText" dxfId="3209" priority="3254" operator="containsText" text="o4">
      <formula>NOT(ISERROR(SEARCH("o4",G290)))</formula>
    </cfRule>
    <cfRule type="containsText" dxfId="3208" priority="3255" operator="containsText" text="o3">
      <formula>NOT(ISERROR(SEARCH("o3",G290)))</formula>
    </cfRule>
    <cfRule type="containsText" dxfId="3207" priority="3256" operator="containsText" text="o2">
      <formula>NOT(ISERROR(SEARCH("o2",G290)))</formula>
    </cfRule>
    <cfRule type="containsText" dxfId="3206" priority="3257" operator="containsText" text="o1b">
      <formula>NOT(ISERROR(SEARCH("o1b",G290)))</formula>
    </cfRule>
    <cfRule type="containsText" dxfId="3205" priority="3258" operator="containsText" text="o1a">
      <formula>NOT(ISERROR(SEARCH("o1a",G290)))</formula>
    </cfRule>
  </conditionalFormatting>
  <conditionalFormatting sqref="H291:H292">
    <cfRule type="containsText" dxfId="3204" priority="3247" operator="containsText" text="o5">
      <formula>NOT(ISERROR(SEARCH("o5",H291)))</formula>
    </cfRule>
    <cfRule type="containsText" dxfId="3203" priority="3248" operator="containsText" text="o4">
      <formula>NOT(ISERROR(SEARCH("o4",H291)))</formula>
    </cfRule>
    <cfRule type="containsText" dxfId="3202" priority="3249" operator="containsText" text="o3">
      <formula>NOT(ISERROR(SEARCH("o3",H291)))</formula>
    </cfRule>
    <cfRule type="containsText" dxfId="3201" priority="3250" operator="containsText" text="o2">
      <formula>NOT(ISERROR(SEARCH("o2",H291)))</formula>
    </cfRule>
    <cfRule type="containsText" dxfId="3200" priority="3251" operator="containsText" text="o1b">
      <formula>NOT(ISERROR(SEARCH("o1b",H291)))</formula>
    </cfRule>
    <cfRule type="containsText" dxfId="3199" priority="3252" operator="containsText" text="o1a">
      <formula>NOT(ISERROR(SEARCH("o1a",H291)))</formula>
    </cfRule>
  </conditionalFormatting>
  <conditionalFormatting sqref="F291:G291 F292">
    <cfRule type="containsText" dxfId="3198" priority="3241" operator="containsText" text="o5">
      <formula>NOT(ISERROR(SEARCH("o5",F291)))</formula>
    </cfRule>
    <cfRule type="containsText" dxfId="3197" priority="3242" operator="containsText" text="o4">
      <formula>NOT(ISERROR(SEARCH("o4",F291)))</formula>
    </cfRule>
    <cfRule type="containsText" dxfId="3196" priority="3243" operator="containsText" text="o3">
      <formula>NOT(ISERROR(SEARCH("o3",F291)))</formula>
    </cfRule>
    <cfRule type="containsText" dxfId="3195" priority="3244" operator="containsText" text="o2">
      <formula>NOT(ISERROR(SEARCH("o2",F291)))</formula>
    </cfRule>
    <cfRule type="containsText" dxfId="3194" priority="3245" operator="containsText" text="o1b">
      <formula>NOT(ISERROR(SEARCH("o1b",F291)))</formula>
    </cfRule>
    <cfRule type="containsText" dxfId="3193" priority="3246" operator="containsText" text="o1a">
      <formula>NOT(ISERROR(SEARCH("o1a",F291)))</formula>
    </cfRule>
  </conditionalFormatting>
  <conditionalFormatting sqref="G292">
    <cfRule type="containsText" dxfId="3192" priority="3235" operator="containsText" text="o5">
      <formula>NOT(ISERROR(SEARCH("o5",G292)))</formula>
    </cfRule>
    <cfRule type="containsText" dxfId="3191" priority="3236" operator="containsText" text="o4">
      <formula>NOT(ISERROR(SEARCH("o4",G292)))</formula>
    </cfRule>
    <cfRule type="containsText" dxfId="3190" priority="3237" operator="containsText" text="o3">
      <formula>NOT(ISERROR(SEARCH("o3",G292)))</formula>
    </cfRule>
    <cfRule type="containsText" dxfId="3189" priority="3238" operator="containsText" text="o2">
      <formula>NOT(ISERROR(SEARCH("o2",G292)))</formula>
    </cfRule>
    <cfRule type="containsText" dxfId="3188" priority="3239" operator="containsText" text="o1b">
      <formula>NOT(ISERROR(SEARCH("o1b",G292)))</formula>
    </cfRule>
    <cfRule type="containsText" dxfId="3187" priority="3240" operator="containsText" text="o1a">
      <formula>NOT(ISERROR(SEARCH("o1a",G292)))</formula>
    </cfRule>
  </conditionalFormatting>
  <conditionalFormatting sqref="E293:F293 H293 E294:H294 E295:E296 H295:H296">
    <cfRule type="containsText" dxfId="3186" priority="3229" operator="containsText" text="o5">
      <formula>NOT(ISERROR(SEARCH("o5",E293)))</formula>
    </cfRule>
    <cfRule type="containsText" dxfId="3185" priority="3230" operator="containsText" text="o4">
      <formula>NOT(ISERROR(SEARCH("o4",E293)))</formula>
    </cfRule>
    <cfRule type="containsText" dxfId="3184" priority="3231" operator="containsText" text="o3">
      <formula>NOT(ISERROR(SEARCH("o3",E293)))</formula>
    </cfRule>
    <cfRule type="containsText" dxfId="3183" priority="3232" operator="containsText" text="o2">
      <formula>NOT(ISERROR(SEARCH("o2",E293)))</formula>
    </cfRule>
    <cfRule type="containsText" dxfId="3182" priority="3233" operator="containsText" text="o1b">
      <formula>NOT(ISERROR(SEARCH("o1b",E293)))</formula>
    </cfRule>
    <cfRule type="containsText" dxfId="3181" priority="3234" operator="containsText" text="o1a">
      <formula>NOT(ISERROR(SEARCH("o1a",E293)))</formula>
    </cfRule>
  </conditionalFormatting>
  <conditionalFormatting sqref="G293">
    <cfRule type="containsText" dxfId="3180" priority="3223" operator="containsText" text="o5">
      <formula>NOT(ISERROR(SEARCH("o5",G293)))</formula>
    </cfRule>
    <cfRule type="containsText" dxfId="3179" priority="3224" operator="containsText" text="o4">
      <formula>NOT(ISERROR(SEARCH("o4",G293)))</formula>
    </cfRule>
    <cfRule type="containsText" dxfId="3178" priority="3225" operator="containsText" text="o3">
      <formula>NOT(ISERROR(SEARCH("o3",G293)))</formula>
    </cfRule>
    <cfRule type="containsText" dxfId="3177" priority="3226" operator="containsText" text="o2">
      <formula>NOT(ISERROR(SEARCH("o2",G293)))</formula>
    </cfRule>
    <cfRule type="containsText" dxfId="3176" priority="3227" operator="containsText" text="o1b">
      <formula>NOT(ISERROR(SEARCH("o1b",G293)))</formula>
    </cfRule>
    <cfRule type="containsText" dxfId="3175" priority="3228" operator="containsText" text="o1a">
      <formula>NOT(ISERROR(SEARCH("o1a",G293)))</formula>
    </cfRule>
  </conditionalFormatting>
  <conditionalFormatting sqref="F295:G295 F296">
    <cfRule type="containsText" dxfId="3174" priority="3217" operator="containsText" text="o5">
      <formula>NOT(ISERROR(SEARCH("o5",F295)))</formula>
    </cfRule>
    <cfRule type="containsText" dxfId="3173" priority="3218" operator="containsText" text="o4">
      <formula>NOT(ISERROR(SEARCH("o4",F295)))</formula>
    </cfRule>
    <cfRule type="containsText" dxfId="3172" priority="3219" operator="containsText" text="o3">
      <formula>NOT(ISERROR(SEARCH("o3",F295)))</formula>
    </cfRule>
    <cfRule type="containsText" dxfId="3171" priority="3220" operator="containsText" text="o2">
      <formula>NOT(ISERROR(SEARCH("o2",F295)))</formula>
    </cfRule>
    <cfRule type="containsText" dxfId="3170" priority="3221" operator="containsText" text="o1b">
      <formula>NOT(ISERROR(SEARCH("o1b",F295)))</formula>
    </cfRule>
    <cfRule type="containsText" dxfId="3169" priority="3222" operator="containsText" text="o1a">
      <formula>NOT(ISERROR(SEARCH("o1a",F295)))</formula>
    </cfRule>
  </conditionalFormatting>
  <conditionalFormatting sqref="G296">
    <cfRule type="containsText" dxfId="3168" priority="3211" operator="containsText" text="o5">
      <formula>NOT(ISERROR(SEARCH("o5",G296)))</formula>
    </cfRule>
    <cfRule type="containsText" dxfId="3167" priority="3212" operator="containsText" text="o4">
      <formula>NOT(ISERROR(SEARCH("o4",G296)))</formula>
    </cfRule>
    <cfRule type="containsText" dxfId="3166" priority="3213" operator="containsText" text="o3">
      <formula>NOT(ISERROR(SEARCH("o3",G296)))</formula>
    </cfRule>
    <cfRule type="containsText" dxfId="3165" priority="3214" operator="containsText" text="o2">
      <formula>NOT(ISERROR(SEARCH("o2",G296)))</formula>
    </cfRule>
    <cfRule type="containsText" dxfId="3164" priority="3215" operator="containsText" text="o1b">
      <formula>NOT(ISERROR(SEARCH("o1b",G296)))</formula>
    </cfRule>
    <cfRule type="containsText" dxfId="3163" priority="3216" operator="containsText" text="o1a">
      <formula>NOT(ISERROR(SEARCH("o1a",G296)))</formula>
    </cfRule>
  </conditionalFormatting>
  <conditionalFormatting sqref="H297:H298">
    <cfRule type="containsText" dxfId="3162" priority="3205" operator="containsText" text="o5">
      <formula>NOT(ISERROR(SEARCH("o5",H297)))</formula>
    </cfRule>
    <cfRule type="containsText" dxfId="3161" priority="3206" operator="containsText" text="o4">
      <formula>NOT(ISERROR(SEARCH("o4",H297)))</formula>
    </cfRule>
    <cfRule type="containsText" dxfId="3160" priority="3207" operator="containsText" text="o3">
      <formula>NOT(ISERROR(SEARCH("o3",H297)))</formula>
    </cfRule>
    <cfRule type="containsText" dxfId="3159" priority="3208" operator="containsText" text="o2">
      <formula>NOT(ISERROR(SEARCH("o2",H297)))</formula>
    </cfRule>
    <cfRule type="containsText" dxfId="3158" priority="3209" operator="containsText" text="o1b">
      <formula>NOT(ISERROR(SEARCH("o1b",H297)))</formula>
    </cfRule>
    <cfRule type="containsText" dxfId="3157" priority="3210" operator="containsText" text="o1a">
      <formula>NOT(ISERROR(SEARCH("o1a",H297)))</formula>
    </cfRule>
  </conditionalFormatting>
  <conditionalFormatting sqref="F297:G297 F298">
    <cfRule type="containsText" dxfId="3156" priority="3199" operator="containsText" text="o5">
      <formula>NOT(ISERROR(SEARCH("o5",F297)))</formula>
    </cfRule>
    <cfRule type="containsText" dxfId="3155" priority="3200" operator="containsText" text="o4">
      <formula>NOT(ISERROR(SEARCH("o4",F297)))</formula>
    </cfRule>
    <cfRule type="containsText" dxfId="3154" priority="3201" operator="containsText" text="o3">
      <formula>NOT(ISERROR(SEARCH("o3",F297)))</formula>
    </cfRule>
    <cfRule type="containsText" dxfId="3153" priority="3202" operator="containsText" text="o2">
      <formula>NOT(ISERROR(SEARCH("o2",F297)))</formula>
    </cfRule>
    <cfRule type="containsText" dxfId="3152" priority="3203" operator="containsText" text="o1b">
      <formula>NOT(ISERROR(SEARCH("o1b",F297)))</formula>
    </cfRule>
    <cfRule type="containsText" dxfId="3151" priority="3204" operator="containsText" text="o1a">
      <formula>NOT(ISERROR(SEARCH("o1a",F297)))</formula>
    </cfRule>
  </conditionalFormatting>
  <conditionalFormatting sqref="G298">
    <cfRule type="containsText" dxfId="3150" priority="3193" operator="containsText" text="o5">
      <formula>NOT(ISERROR(SEARCH("o5",G298)))</formula>
    </cfRule>
    <cfRule type="containsText" dxfId="3149" priority="3194" operator="containsText" text="o4">
      <formula>NOT(ISERROR(SEARCH("o4",G298)))</formula>
    </cfRule>
    <cfRule type="containsText" dxfId="3148" priority="3195" operator="containsText" text="o3">
      <formula>NOT(ISERROR(SEARCH("o3",G298)))</formula>
    </cfRule>
    <cfRule type="containsText" dxfId="3147" priority="3196" operator="containsText" text="o2">
      <formula>NOT(ISERROR(SEARCH("o2",G298)))</formula>
    </cfRule>
    <cfRule type="containsText" dxfId="3146" priority="3197" operator="containsText" text="o1b">
      <formula>NOT(ISERROR(SEARCH("o1b",G298)))</formula>
    </cfRule>
    <cfRule type="containsText" dxfId="3145" priority="3198" operator="containsText" text="o1a">
      <formula>NOT(ISERROR(SEARCH("o1a",G298)))</formula>
    </cfRule>
  </conditionalFormatting>
  <conditionalFormatting sqref="E299:F299 H299 E300:H300 E301:E302 H301:H302">
    <cfRule type="containsText" dxfId="3144" priority="3187" operator="containsText" text="o5">
      <formula>NOT(ISERROR(SEARCH("o5",E299)))</formula>
    </cfRule>
    <cfRule type="containsText" dxfId="3143" priority="3188" operator="containsText" text="o4">
      <formula>NOT(ISERROR(SEARCH("o4",E299)))</formula>
    </cfRule>
    <cfRule type="containsText" dxfId="3142" priority="3189" operator="containsText" text="o3">
      <formula>NOT(ISERROR(SEARCH("o3",E299)))</formula>
    </cfRule>
    <cfRule type="containsText" dxfId="3141" priority="3190" operator="containsText" text="o2">
      <formula>NOT(ISERROR(SEARCH("o2",E299)))</formula>
    </cfRule>
    <cfRule type="containsText" dxfId="3140" priority="3191" operator="containsText" text="o1b">
      <formula>NOT(ISERROR(SEARCH("o1b",E299)))</formula>
    </cfRule>
    <cfRule type="containsText" dxfId="3139" priority="3192" operator="containsText" text="o1a">
      <formula>NOT(ISERROR(SEARCH("o1a",E299)))</formula>
    </cfRule>
  </conditionalFormatting>
  <conditionalFormatting sqref="G299">
    <cfRule type="containsText" dxfId="3138" priority="3181" operator="containsText" text="o5">
      <formula>NOT(ISERROR(SEARCH("o5",G299)))</formula>
    </cfRule>
    <cfRule type="containsText" dxfId="3137" priority="3182" operator="containsText" text="o4">
      <formula>NOT(ISERROR(SEARCH("o4",G299)))</formula>
    </cfRule>
    <cfRule type="containsText" dxfId="3136" priority="3183" operator="containsText" text="o3">
      <formula>NOT(ISERROR(SEARCH("o3",G299)))</formula>
    </cfRule>
    <cfRule type="containsText" dxfId="3135" priority="3184" operator="containsText" text="o2">
      <formula>NOT(ISERROR(SEARCH("o2",G299)))</formula>
    </cfRule>
    <cfRule type="containsText" dxfId="3134" priority="3185" operator="containsText" text="o1b">
      <formula>NOT(ISERROR(SEARCH("o1b",G299)))</formula>
    </cfRule>
    <cfRule type="containsText" dxfId="3133" priority="3186" operator="containsText" text="o1a">
      <formula>NOT(ISERROR(SEARCH("o1a",G299)))</formula>
    </cfRule>
  </conditionalFormatting>
  <conditionalFormatting sqref="F301:G301 F302">
    <cfRule type="containsText" dxfId="3132" priority="3175" operator="containsText" text="o5">
      <formula>NOT(ISERROR(SEARCH("o5",F301)))</formula>
    </cfRule>
    <cfRule type="containsText" dxfId="3131" priority="3176" operator="containsText" text="o4">
      <formula>NOT(ISERROR(SEARCH("o4",F301)))</formula>
    </cfRule>
    <cfRule type="containsText" dxfId="3130" priority="3177" operator="containsText" text="o3">
      <formula>NOT(ISERROR(SEARCH("o3",F301)))</formula>
    </cfRule>
    <cfRule type="containsText" dxfId="3129" priority="3178" operator="containsText" text="o2">
      <formula>NOT(ISERROR(SEARCH("o2",F301)))</formula>
    </cfRule>
    <cfRule type="containsText" dxfId="3128" priority="3179" operator="containsText" text="o1b">
      <formula>NOT(ISERROR(SEARCH("o1b",F301)))</formula>
    </cfRule>
    <cfRule type="containsText" dxfId="3127" priority="3180" operator="containsText" text="o1a">
      <formula>NOT(ISERROR(SEARCH("o1a",F301)))</formula>
    </cfRule>
  </conditionalFormatting>
  <conditionalFormatting sqref="G302">
    <cfRule type="containsText" dxfId="3126" priority="3169" operator="containsText" text="o5">
      <formula>NOT(ISERROR(SEARCH("o5",G302)))</formula>
    </cfRule>
    <cfRule type="containsText" dxfId="3125" priority="3170" operator="containsText" text="o4">
      <formula>NOT(ISERROR(SEARCH("o4",G302)))</formula>
    </cfRule>
    <cfRule type="containsText" dxfId="3124" priority="3171" operator="containsText" text="o3">
      <formula>NOT(ISERROR(SEARCH("o3",G302)))</formula>
    </cfRule>
    <cfRule type="containsText" dxfId="3123" priority="3172" operator="containsText" text="o2">
      <formula>NOT(ISERROR(SEARCH("o2",G302)))</formula>
    </cfRule>
    <cfRule type="containsText" dxfId="3122" priority="3173" operator="containsText" text="o1b">
      <formula>NOT(ISERROR(SEARCH("o1b",G302)))</formula>
    </cfRule>
    <cfRule type="containsText" dxfId="3121" priority="3174" operator="containsText" text="o1a">
      <formula>NOT(ISERROR(SEARCH("o1a",G302)))</formula>
    </cfRule>
  </conditionalFormatting>
  <conditionalFormatting sqref="E312:E313 E318:E319 E324:E325 E330:E331 E336:E337">
    <cfRule type="containsText" dxfId="3120" priority="3163" operator="containsText" text="o5">
      <formula>NOT(ISERROR(SEARCH("o5",E312)))</formula>
    </cfRule>
    <cfRule type="containsText" dxfId="3119" priority="3164" operator="containsText" text="o4">
      <formula>NOT(ISERROR(SEARCH("o4",E312)))</formula>
    </cfRule>
    <cfRule type="containsText" dxfId="3118" priority="3165" operator="containsText" text="o3">
      <formula>NOT(ISERROR(SEARCH("o3",E312)))</formula>
    </cfRule>
    <cfRule type="containsText" dxfId="3117" priority="3166" operator="containsText" text="o2">
      <formula>NOT(ISERROR(SEARCH("o2",E312)))</formula>
    </cfRule>
    <cfRule type="containsText" dxfId="3116" priority="3167" operator="containsText" text="o1b">
      <formula>NOT(ISERROR(SEARCH("o1b",E312)))</formula>
    </cfRule>
    <cfRule type="containsText" dxfId="3115" priority="3168" operator="containsText" text="o1a">
      <formula>NOT(ISERROR(SEARCH("o1a",E312)))</formula>
    </cfRule>
  </conditionalFormatting>
  <conditionalFormatting sqref="G303">
    <cfRule type="containsText" dxfId="3114" priority="3157" operator="containsText" text="o5">
      <formula>NOT(ISERROR(SEARCH("o5",G303)))</formula>
    </cfRule>
    <cfRule type="containsText" dxfId="3113" priority="3158" operator="containsText" text="o4">
      <formula>NOT(ISERROR(SEARCH("o4",G303)))</formula>
    </cfRule>
    <cfRule type="containsText" dxfId="3112" priority="3159" operator="containsText" text="o3">
      <formula>NOT(ISERROR(SEARCH("o3",G303)))</formula>
    </cfRule>
    <cfRule type="containsText" dxfId="3111" priority="3160" operator="containsText" text="o2">
      <formula>NOT(ISERROR(SEARCH("o2",G303)))</formula>
    </cfRule>
    <cfRule type="containsText" dxfId="3110" priority="3161" operator="containsText" text="o1b">
      <formula>NOT(ISERROR(SEARCH("o1b",G303)))</formula>
    </cfRule>
    <cfRule type="containsText" dxfId="3109" priority="3162" operator="containsText" text="o1a">
      <formula>NOT(ISERROR(SEARCH("o1a",G303)))</formula>
    </cfRule>
  </conditionalFormatting>
  <conditionalFormatting sqref="F304">
    <cfRule type="containsText" dxfId="3108" priority="3151" operator="containsText" text="o5">
      <formula>NOT(ISERROR(SEARCH("o5",F304)))</formula>
    </cfRule>
    <cfRule type="containsText" dxfId="3107" priority="3152" operator="containsText" text="o4">
      <formula>NOT(ISERROR(SEARCH("o4",F304)))</formula>
    </cfRule>
    <cfRule type="containsText" dxfId="3106" priority="3153" operator="containsText" text="o3">
      <formula>NOT(ISERROR(SEARCH("o3",F304)))</formula>
    </cfRule>
    <cfRule type="containsText" dxfId="3105" priority="3154" operator="containsText" text="o2">
      <formula>NOT(ISERROR(SEARCH("o2",F304)))</formula>
    </cfRule>
    <cfRule type="containsText" dxfId="3104" priority="3155" operator="containsText" text="o1b">
      <formula>NOT(ISERROR(SEARCH("o1b",F304)))</formula>
    </cfRule>
    <cfRule type="containsText" dxfId="3103" priority="3156" operator="containsText" text="o1a">
      <formula>NOT(ISERROR(SEARCH("o1a",F304)))</formula>
    </cfRule>
  </conditionalFormatting>
  <conditionalFormatting sqref="H306:H307">
    <cfRule type="containsText" dxfId="3102" priority="3145" operator="containsText" text="o5">
      <formula>NOT(ISERROR(SEARCH("o5",H306)))</formula>
    </cfRule>
    <cfRule type="containsText" dxfId="3101" priority="3146" operator="containsText" text="o4">
      <formula>NOT(ISERROR(SEARCH("o4",H306)))</formula>
    </cfRule>
    <cfRule type="containsText" dxfId="3100" priority="3147" operator="containsText" text="o3">
      <formula>NOT(ISERROR(SEARCH("o3",H306)))</formula>
    </cfRule>
    <cfRule type="containsText" dxfId="3099" priority="3148" operator="containsText" text="o2">
      <formula>NOT(ISERROR(SEARCH("o2",H306)))</formula>
    </cfRule>
    <cfRule type="containsText" dxfId="3098" priority="3149" operator="containsText" text="o1b">
      <formula>NOT(ISERROR(SEARCH("o1b",H306)))</formula>
    </cfRule>
    <cfRule type="containsText" dxfId="3097" priority="3150" operator="containsText" text="o1a">
      <formula>NOT(ISERROR(SEARCH("o1a",H306)))</formula>
    </cfRule>
  </conditionalFormatting>
  <conditionalFormatting sqref="F306:G306 F307">
    <cfRule type="containsText" dxfId="3096" priority="3139" operator="containsText" text="o5">
      <formula>NOT(ISERROR(SEARCH("o5",F306)))</formula>
    </cfRule>
    <cfRule type="containsText" dxfId="3095" priority="3140" operator="containsText" text="o4">
      <formula>NOT(ISERROR(SEARCH("o4",F306)))</formula>
    </cfRule>
    <cfRule type="containsText" dxfId="3094" priority="3141" operator="containsText" text="o3">
      <formula>NOT(ISERROR(SEARCH("o3",F306)))</formula>
    </cfRule>
    <cfRule type="containsText" dxfId="3093" priority="3142" operator="containsText" text="o2">
      <formula>NOT(ISERROR(SEARCH("o2",F306)))</formula>
    </cfRule>
    <cfRule type="containsText" dxfId="3092" priority="3143" operator="containsText" text="o1b">
      <formula>NOT(ISERROR(SEARCH("o1b",F306)))</formula>
    </cfRule>
    <cfRule type="containsText" dxfId="3091" priority="3144" operator="containsText" text="o1a">
      <formula>NOT(ISERROR(SEARCH("o1a",F306)))</formula>
    </cfRule>
  </conditionalFormatting>
  <conditionalFormatting sqref="G307">
    <cfRule type="containsText" dxfId="3090" priority="3133" operator="containsText" text="o5">
      <formula>NOT(ISERROR(SEARCH("o5",G307)))</formula>
    </cfRule>
    <cfRule type="containsText" dxfId="3089" priority="3134" operator="containsText" text="o4">
      <formula>NOT(ISERROR(SEARCH("o4",G307)))</formula>
    </cfRule>
    <cfRule type="containsText" dxfId="3088" priority="3135" operator="containsText" text="o3">
      <formula>NOT(ISERROR(SEARCH("o3",G307)))</formula>
    </cfRule>
    <cfRule type="containsText" dxfId="3087" priority="3136" operator="containsText" text="o2">
      <formula>NOT(ISERROR(SEARCH("o2",G307)))</formula>
    </cfRule>
    <cfRule type="containsText" dxfId="3086" priority="3137" operator="containsText" text="o1b">
      <formula>NOT(ISERROR(SEARCH("o1b",G307)))</formula>
    </cfRule>
    <cfRule type="containsText" dxfId="3085" priority="3138" operator="containsText" text="o1a">
      <formula>NOT(ISERROR(SEARCH("o1a",G307)))</formula>
    </cfRule>
  </conditionalFormatting>
  <conditionalFormatting sqref="E308:F308 H308 E309:H309 E310:E311 H310:H311">
    <cfRule type="containsText" dxfId="3084" priority="3127" operator="containsText" text="o5">
      <formula>NOT(ISERROR(SEARCH("o5",E308)))</formula>
    </cfRule>
    <cfRule type="containsText" dxfId="3083" priority="3128" operator="containsText" text="o4">
      <formula>NOT(ISERROR(SEARCH("o4",E308)))</formula>
    </cfRule>
    <cfRule type="containsText" dxfId="3082" priority="3129" operator="containsText" text="o3">
      <formula>NOT(ISERROR(SEARCH("o3",E308)))</formula>
    </cfRule>
    <cfRule type="containsText" dxfId="3081" priority="3130" operator="containsText" text="o2">
      <formula>NOT(ISERROR(SEARCH("o2",E308)))</formula>
    </cfRule>
    <cfRule type="containsText" dxfId="3080" priority="3131" operator="containsText" text="o1b">
      <formula>NOT(ISERROR(SEARCH("o1b",E308)))</formula>
    </cfRule>
    <cfRule type="containsText" dxfId="3079" priority="3132" operator="containsText" text="o1a">
      <formula>NOT(ISERROR(SEARCH("o1a",E308)))</formula>
    </cfRule>
  </conditionalFormatting>
  <conditionalFormatting sqref="G308">
    <cfRule type="containsText" dxfId="3078" priority="3121" operator="containsText" text="o5">
      <formula>NOT(ISERROR(SEARCH("o5",G308)))</formula>
    </cfRule>
    <cfRule type="containsText" dxfId="3077" priority="3122" operator="containsText" text="o4">
      <formula>NOT(ISERROR(SEARCH("o4",G308)))</formula>
    </cfRule>
    <cfRule type="containsText" dxfId="3076" priority="3123" operator="containsText" text="o3">
      <formula>NOT(ISERROR(SEARCH("o3",G308)))</formula>
    </cfRule>
    <cfRule type="containsText" dxfId="3075" priority="3124" operator="containsText" text="o2">
      <formula>NOT(ISERROR(SEARCH("o2",G308)))</formula>
    </cfRule>
    <cfRule type="containsText" dxfId="3074" priority="3125" operator="containsText" text="o1b">
      <formula>NOT(ISERROR(SEARCH("o1b",G308)))</formula>
    </cfRule>
    <cfRule type="containsText" dxfId="3073" priority="3126" operator="containsText" text="o1a">
      <formula>NOT(ISERROR(SEARCH("o1a",G308)))</formula>
    </cfRule>
  </conditionalFormatting>
  <conditionalFormatting sqref="F310:G310 F311">
    <cfRule type="containsText" dxfId="3072" priority="3115" operator="containsText" text="o5">
      <formula>NOT(ISERROR(SEARCH("o5",F310)))</formula>
    </cfRule>
    <cfRule type="containsText" dxfId="3071" priority="3116" operator="containsText" text="o4">
      <formula>NOT(ISERROR(SEARCH("o4",F310)))</formula>
    </cfRule>
    <cfRule type="containsText" dxfId="3070" priority="3117" operator="containsText" text="o3">
      <formula>NOT(ISERROR(SEARCH("o3",F310)))</formula>
    </cfRule>
    <cfRule type="containsText" dxfId="3069" priority="3118" operator="containsText" text="o2">
      <formula>NOT(ISERROR(SEARCH("o2",F310)))</formula>
    </cfRule>
    <cfRule type="containsText" dxfId="3068" priority="3119" operator="containsText" text="o1b">
      <formula>NOT(ISERROR(SEARCH("o1b",F310)))</formula>
    </cfRule>
    <cfRule type="containsText" dxfId="3067" priority="3120" operator="containsText" text="o1a">
      <formula>NOT(ISERROR(SEARCH("o1a",F310)))</formula>
    </cfRule>
  </conditionalFormatting>
  <conditionalFormatting sqref="G311">
    <cfRule type="containsText" dxfId="3066" priority="3109" operator="containsText" text="o5">
      <formula>NOT(ISERROR(SEARCH("o5",G311)))</formula>
    </cfRule>
    <cfRule type="containsText" dxfId="3065" priority="3110" operator="containsText" text="o4">
      <formula>NOT(ISERROR(SEARCH("o4",G311)))</formula>
    </cfRule>
    <cfRule type="containsText" dxfId="3064" priority="3111" operator="containsText" text="o3">
      <formula>NOT(ISERROR(SEARCH("o3",G311)))</formula>
    </cfRule>
    <cfRule type="containsText" dxfId="3063" priority="3112" operator="containsText" text="o2">
      <formula>NOT(ISERROR(SEARCH("o2",G311)))</formula>
    </cfRule>
    <cfRule type="containsText" dxfId="3062" priority="3113" operator="containsText" text="o1b">
      <formula>NOT(ISERROR(SEARCH("o1b",G311)))</formula>
    </cfRule>
    <cfRule type="containsText" dxfId="3061" priority="3114" operator="containsText" text="o1a">
      <formula>NOT(ISERROR(SEARCH("o1a",G311)))</formula>
    </cfRule>
  </conditionalFormatting>
  <conditionalFormatting sqref="H312:H313">
    <cfRule type="containsText" dxfId="3060" priority="3103" operator="containsText" text="o5">
      <formula>NOT(ISERROR(SEARCH("o5",H312)))</formula>
    </cfRule>
    <cfRule type="containsText" dxfId="3059" priority="3104" operator="containsText" text="o4">
      <formula>NOT(ISERROR(SEARCH("o4",H312)))</formula>
    </cfRule>
    <cfRule type="containsText" dxfId="3058" priority="3105" operator="containsText" text="o3">
      <formula>NOT(ISERROR(SEARCH("o3",H312)))</formula>
    </cfRule>
    <cfRule type="containsText" dxfId="3057" priority="3106" operator="containsText" text="o2">
      <formula>NOT(ISERROR(SEARCH("o2",H312)))</formula>
    </cfRule>
    <cfRule type="containsText" dxfId="3056" priority="3107" operator="containsText" text="o1b">
      <formula>NOT(ISERROR(SEARCH("o1b",H312)))</formula>
    </cfRule>
    <cfRule type="containsText" dxfId="3055" priority="3108" operator="containsText" text="o1a">
      <formula>NOT(ISERROR(SEARCH("o1a",H312)))</formula>
    </cfRule>
  </conditionalFormatting>
  <conditionalFormatting sqref="F312:G312 F313">
    <cfRule type="containsText" dxfId="3054" priority="3097" operator="containsText" text="o5">
      <formula>NOT(ISERROR(SEARCH("o5",F312)))</formula>
    </cfRule>
    <cfRule type="containsText" dxfId="3053" priority="3098" operator="containsText" text="o4">
      <formula>NOT(ISERROR(SEARCH("o4",F312)))</formula>
    </cfRule>
    <cfRule type="containsText" dxfId="3052" priority="3099" operator="containsText" text="o3">
      <formula>NOT(ISERROR(SEARCH("o3",F312)))</formula>
    </cfRule>
    <cfRule type="containsText" dxfId="3051" priority="3100" operator="containsText" text="o2">
      <formula>NOT(ISERROR(SEARCH("o2",F312)))</formula>
    </cfRule>
    <cfRule type="containsText" dxfId="3050" priority="3101" operator="containsText" text="o1b">
      <formula>NOT(ISERROR(SEARCH("o1b",F312)))</formula>
    </cfRule>
    <cfRule type="containsText" dxfId="3049" priority="3102" operator="containsText" text="o1a">
      <formula>NOT(ISERROR(SEARCH("o1a",F312)))</formula>
    </cfRule>
  </conditionalFormatting>
  <conditionalFormatting sqref="G313">
    <cfRule type="containsText" dxfId="3048" priority="3091" operator="containsText" text="o5">
      <formula>NOT(ISERROR(SEARCH("o5",G313)))</formula>
    </cfRule>
    <cfRule type="containsText" dxfId="3047" priority="3092" operator="containsText" text="o4">
      <formula>NOT(ISERROR(SEARCH("o4",G313)))</formula>
    </cfRule>
    <cfRule type="containsText" dxfId="3046" priority="3093" operator="containsText" text="o3">
      <formula>NOT(ISERROR(SEARCH("o3",G313)))</formula>
    </cfRule>
    <cfRule type="containsText" dxfId="3045" priority="3094" operator="containsText" text="o2">
      <formula>NOT(ISERROR(SEARCH("o2",G313)))</formula>
    </cfRule>
    <cfRule type="containsText" dxfId="3044" priority="3095" operator="containsText" text="o1b">
      <formula>NOT(ISERROR(SEARCH("o1b",G313)))</formula>
    </cfRule>
    <cfRule type="containsText" dxfId="3043" priority="3096" operator="containsText" text="o1a">
      <formula>NOT(ISERROR(SEARCH("o1a",G313)))</formula>
    </cfRule>
  </conditionalFormatting>
  <conditionalFormatting sqref="E314:F314 H314 E315:H315 E316:E317 H316:H317">
    <cfRule type="containsText" dxfId="3042" priority="3085" operator="containsText" text="o5">
      <formula>NOT(ISERROR(SEARCH("o5",E314)))</formula>
    </cfRule>
    <cfRule type="containsText" dxfId="3041" priority="3086" operator="containsText" text="o4">
      <formula>NOT(ISERROR(SEARCH("o4",E314)))</formula>
    </cfRule>
    <cfRule type="containsText" dxfId="3040" priority="3087" operator="containsText" text="o3">
      <formula>NOT(ISERROR(SEARCH("o3",E314)))</formula>
    </cfRule>
    <cfRule type="containsText" dxfId="3039" priority="3088" operator="containsText" text="o2">
      <formula>NOT(ISERROR(SEARCH("o2",E314)))</formula>
    </cfRule>
    <cfRule type="containsText" dxfId="3038" priority="3089" operator="containsText" text="o1b">
      <formula>NOT(ISERROR(SEARCH("o1b",E314)))</formula>
    </cfRule>
    <cfRule type="containsText" dxfId="3037" priority="3090" operator="containsText" text="o1a">
      <formula>NOT(ISERROR(SEARCH("o1a",E314)))</formula>
    </cfRule>
  </conditionalFormatting>
  <conditionalFormatting sqref="G314">
    <cfRule type="containsText" dxfId="3036" priority="3079" operator="containsText" text="o5">
      <formula>NOT(ISERROR(SEARCH("o5",G314)))</formula>
    </cfRule>
    <cfRule type="containsText" dxfId="3035" priority="3080" operator="containsText" text="o4">
      <formula>NOT(ISERROR(SEARCH("o4",G314)))</formula>
    </cfRule>
    <cfRule type="containsText" dxfId="3034" priority="3081" operator="containsText" text="o3">
      <formula>NOT(ISERROR(SEARCH("o3",G314)))</formula>
    </cfRule>
    <cfRule type="containsText" dxfId="3033" priority="3082" operator="containsText" text="o2">
      <formula>NOT(ISERROR(SEARCH("o2",G314)))</formula>
    </cfRule>
    <cfRule type="containsText" dxfId="3032" priority="3083" operator="containsText" text="o1b">
      <formula>NOT(ISERROR(SEARCH("o1b",G314)))</formula>
    </cfRule>
    <cfRule type="containsText" dxfId="3031" priority="3084" operator="containsText" text="o1a">
      <formula>NOT(ISERROR(SEARCH("o1a",G314)))</formula>
    </cfRule>
  </conditionalFormatting>
  <conditionalFormatting sqref="F316:G316 F317">
    <cfRule type="containsText" dxfId="3030" priority="3073" operator="containsText" text="o5">
      <formula>NOT(ISERROR(SEARCH("o5",F316)))</formula>
    </cfRule>
    <cfRule type="containsText" dxfId="3029" priority="3074" operator="containsText" text="o4">
      <formula>NOT(ISERROR(SEARCH("o4",F316)))</formula>
    </cfRule>
    <cfRule type="containsText" dxfId="3028" priority="3075" operator="containsText" text="o3">
      <formula>NOT(ISERROR(SEARCH("o3",F316)))</formula>
    </cfRule>
    <cfRule type="containsText" dxfId="3027" priority="3076" operator="containsText" text="o2">
      <formula>NOT(ISERROR(SEARCH("o2",F316)))</formula>
    </cfRule>
    <cfRule type="containsText" dxfId="3026" priority="3077" operator="containsText" text="o1b">
      <formula>NOT(ISERROR(SEARCH("o1b",F316)))</formula>
    </cfRule>
    <cfRule type="containsText" dxfId="3025" priority="3078" operator="containsText" text="o1a">
      <formula>NOT(ISERROR(SEARCH("o1a",F316)))</formula>
    </cfRule>
  </conditionalFormatting>
  <conditionalFormatting sqref="G317">
    <cfRule type="containsText" dxfId="3024" priority="3067" operator="containsText" text="o5">
      <formula>NOT(ISERROR(SEARCH("o5",G317)))</formula>
    </cfRule>
    <cfRule type="containsText" dxfId="3023" priority="3068" operator="containsText" text="o4">
      <formula>NOT(ISERROR(SEARCH("o4",G317)))</formula>
    </cfRule>
    <cfRule type="containsText" dxfId="3022" priority="3069" operator="containsText" text="o3">
      <formula>NOT(ISERROR(SEARCH("o3",G317)))</formula>
    </cfRule>
    <cfRule type="containsText" dxfId="3021" priority="3070" operator="containsText" text="o2">
      <formula>NOT(ISERROR(SEARCH("o2",G317)))</formula>
    </cfRule>
    <cfRule type="containsText" dxfId="3020" priority="3071" operator="containsText" text="o1b">
      <formula>NOT(ISERROR(SEARCH("o1b",G317)))</formula>
    </cfRule>
    <cfRule type="containsText" dxfId="3019" priority="3072" operator="containsText" text="o1a">
      <formula>NOT(ISERROR(SEARCH("o1a",G317)))</formula>
    </cfRule>
  </conditionalFormatting>
  <conditionalFormatting sqref="H318:H319">
    <cfRule type="containsText" dxfId="3018" priority="3061" operator="containsText" text="o5">
      <formula>NOT(ISERROR(SEARCH("o5",H318)))</formula>
    </cfRule>
    <cfRule type="containsText" dxfId="3017" priority="3062" operator="containsText" text="o4">
      <formula>NOT(ISERROR(SEARCH("o4",H318)))</formula>
    </cfRule>
    <cfRule type="containsText" dxfId="3016" priority="3063" operator="containsText" text="o3">
      <formula>NOT(ISERROR(SEARCH("o3",H318)))</formula>
    </cfRule>
    <cfRule type="containsText" dxfId="3015" priority="3064" operator="containsText" text="o2">
      <formula>NOT(ISERROR(SEARCH("o2",H318)))</formula>
    </cfRule>
    <cfRule type="containsText" dxfId="3014" priority="3065" operator="containsText" text="o1b">
      <formula>NOT(ISERROR(SEARCH("o1b",H318)))</formula>
    </cfRule>
    <cfRule type="containsText" dxfId="3013" priority="3066" operator="containsText" text="o1a">
      <formula>NOT(ISERROR(SEARCH("o1a",H318)))</formula>
    </cfRule>
  </conditionalFormatting>
  <conditionalFormatting sqref="F318:G318 F319">
    <cfRule type="containsText" dxfId="3012" priority="3055" operator="containsText" text="o5">
      <formula>NOT(ISERROR(SEARCH("o5",F318)))</formula>
    </cfRule>
    <cfRule type="containsText" dxfId="3011" priority="3056" operator="containsText" text="o4">
      <formula>NOT(ISERROR(SEARCH("o4",F318)))</formula>
    </cfRule>
    <cfRule type="containsText" dxfId="3010" priority="3057" operator="containsText" text="o3">
      <formula>NOT(ISERROR(SEARCH("o3",F318)))</formula>
    </cfRule>
    <cfRule type="containsText" dxfId="3009" priority="3058" operator="containsText" text="o2">
      <formula>NOT(ISERROR(SEARCH("o2",F318)))</formula>
    </cfRule>
    <cfRule type="containsText" dxfId="3008" priority="3059" operator="containsText" text="o1b">
      <formula>NOT(ISERROR(SEARCH("o1b",F318)))</formula>
    </cfRule>
    <cfRule type="containsText" dxfId="3007" priority="3060" operator="containsText" text="o1a">
      <formula>NOT(ISERROR(SEARCH("o1a",F318)))</formula>
    </cfRule>
  </conditionalFormatting>
  <conditionalFormatting sqref="G319">
    <cfRule type="containsText" dxfId="3006" priority="3049" operator="containsText" text="o5">
      <formula>NOT(ISERROR(SEARCH("o5",G319)))</formula>
    </cfRule>
    <cfRule type="containsText" dxfId="3005" priority="3050" operator="containsText" text="o4">
      <formula>NOT(ISERROR(SEARCH("o4",G319)))</formula>
    </cfRule>
    <cfRule type="containsText" dxfId="3004" priority="3051" operator="containsText" text="o3">
      <formula>NOT(ISERROR(SEARCH("o3",G319)))</formula>
    </cfRule>
    <cfRule type="containsText" dxfId="3003" priority="3052" operator="containsText" text="o2">
      <formula>NOT(ISERROR(SEARCH("o2",G319)))</formula>
    </cfRule>
    <cfRule type="containsText" dxfId="3002" priority="3053" operator="containsText" text="o1b">
      <formula>NOT(ISERROR(SEARCH("o1b",G319)))</formula>
    </cfRule>
    <cfRule type="containsText" dxfId="3001" priority="3054" operator="containsText" text="o1a">
      <formula>NOT(ISERROR(SEARCH("o1a",G319)))</formula>
    </cfRule>
  </conditionalFormatting>
  <conditionalFormatting sqref="E320:F320 H320 E321:H321 E322:E323 H322:H323">
    <cfRule type="containsText" dxfId="3000" priority="3043" operator="containsText" text="o5">
      <formula>NOT(ISERROR(SEARCH("o5",E320)))</formula>
    </cfRule>
    <cfRule type="containsText" dxfId="2999" priority="3044" operator="containsText" text="o4">
      <formula>NOT(ISERROR(SEARCH("o4",E320)))</formula>
    </cfRule>
    <cfRule type="containsText" dxfId="2998" priority="3045" operator="containsText" text="o3">
      <formula>NOT(ISERROR(SEARCH("o3",E320)))</formula>
    </cfRule>
    <cfRule type="containsText" dxfId="2997" priority="3046" operator="containsText" text="o2">
      <formula>NOT(ISERROR(SEARCH("o2",E320)))</formula>
    </cfRule>
    <cfRule type="containsText" dxfId="2996" priority="3047" operator="containsText" text="o1b">
      <formula>NOT(ISERROR(SEARCH("o1b",E320)))</formula>
    </cfRule>
    <cfRule type="containsText" dxfId="2995" priority="3048" operator="containsText" text="o1a">
      <formula>NOT(ISERROR(SEARCH("o1a",E320)))</formula>
    </cfRule>
  </conditionalFormatting>
  <conditionalFormatting sqref="G320">
    <cfRule type="containsText" dxfId="2994" priority="3037" operator="containsText" text="o5">
      <formula>NOT(ISERROR(SEARCH("o5",G320)))</formula>
    </cfRule>
    <cfRule type="containsText" dxfId="2993" priority="3038" operator="containsText" text="o4">
      <formula>NOT(ISERROR(SEARCH("o4",G320)))</formula>
    </cfRule>
    <cfRule type="containsText" dxfId="2992" priority="3039" operator="containsText" text="o3">
      <formula>NOT(ISERROR(SEARCH("o3",G320)))</formula>
    </cfRule>
    <cfRule type="containsText" dxfId="2991" priority="3040" operator="containsText" text="o2">
      <formula>NOT(ISERROR(SEARCH("o2",G320)))</formula>
    </cfRule>
    <cfRule type="containsText" dxfId="2990" priority="3041" operator="containsText" text="o1b">
      <formula>NOT(ISERROR(SEARCH("o1b",G320)))</formula>
    </cfRule>
    <cfRule type="containsText" dxfId="2989" priority="3042" operator="containsText" text="o1a">
      <formula>NOT(ISERROR(SEARCH("o1a",G320)))</formula>
    </cfRule>
  </conditionalFormatting>
  <conditionalFormatting sqref="F322:G322 F323">
    <cfRule type="containsText" dxfId="2988" priority="3031" operator="containsText" text="o5">
      <formula>NOT(ISERROR(SEARCH("o5",F322)))</formula>
    </cfRule>
    <cfRule type="containsText" dxfId="2987" priority="3032" operator="containsText" text="o4">
      <formula>NOT(ISERROR(SEARCH("o4",F322)))</formula>
    </cfRule>
    <cfRule type="containsText" dxfId="2986" priority="3033" operator="containsText" text="o3">
      <formula>NOT(ISERROR(SEARCH("o3",F322)))</formula>
    </cfRule>
    <cfRule type="containsText" dxfId="2985" priority="3034" operator="containsText" text="o2">
      <formula>NOT(ISERROR(SEARCH("o2",F322)))</formula>
    </cfRule>
    <cfRule type="containsText" dxfId="2984" priority="3035" operator="containsText" text="o1b">
      <formula>NOT(ISERROR(SEARCH("o1b",F322)))</formula>
    </cfRule>
    <cfRule type="containsText" dxfId="2983" priority="3036" operator="containsText" text="o1a">
      <formula>NOT(ISERROR(SEARCH("o1a",F322)))</formula>
    </cfRule>
  </conditionalFormatting>
  <conditionalFormatting sqref="G323">
    <cfRule type="containsText" dxfId="2982" priority="3025" operator="containsText" text="o5">
      <formula>NOT(ISERROR(SEARCH("o5",G323)))</formula>
    </cfRule>
    <cfRule type="containsText" dxfId="2981" priority="3026" operator="containsText" text="o4">
      <formula>NOT(ISERROR(SEARCH("o4",G323)))</formula>
    </cfRule>
    <cfRule type="containsText" dxfId="2980" priority="3027" operator="containsText" text="o3">
      <formula>NOT(ISERROR(SEARCH("o3",G323)))</formula>
    </cfRule>
    <cfRule type="containsText" dxfId="2979" priority="3028" operator="containsText" text="o2">
      <formula>NOT(ISERROR(SEARCH("o2",G323)))</formula>
    </cfRule>
    <cfRule type="containsText" dxfId="2978" priority="3029" operator="containsText" text="o1b">
      <formula>NOT(ISERROR(SEARCH("o1b",G323)))</formula>
    </cfRule>
    <cfRule type="containsText" dxfId="2977" priority="3030" operator="containsText" text="o1a">
      <formula>NOT(ISERROR(SEARCH("o1a",G323)))</formula>
    </cfRule>
  </conditionalFormatting>
  <conditionalFormatting sqref="H324:H325">
    <cfRule type="containsText" dxfId="2976" priority="3019" operator="containsText" text="o5">
      <formula>NOT(ISERROR(SEARCH("o5",H324)))</formula>
    </cfRule>
    <cfRule type="containsText" dxfId="2975" priority="3020" operator="containsText" text="o4">
      <formula>NOT(ISERROR(SEARCH("o4",H324)))</formula>
    </cfRule>
    <cfRule type="containsText" dxfId="2974" priority="3021" operator="containsText" text="o3">
      <formula>NOT(ISERROR(SEARCH("o3",H324)))</formula>
    </cfRule>
    <cfRule type="containsText" dxfId="2973" priority="3022" operator="containsText" text="o2">
      <formula>NOT(ISERROR(SEARCH("o2",H324)))</formula>
    </cfRule>
    <cfRule type="containsText" dxfId="2972" priority="3023" operator="containsText" text="o1b">
      <formula>NOT(ISERROR(SEARCH("o1b",H324)))</formula>
    </cfRule>
    <cfRule type="containsText" dxfId="2971" priority="3024" operator="containsText" text="o1a">
      <formula>NOT(ISERROR(SEARCH("o1a",H324)))</formula>
    </cfRule>
  </conditionalFormatting>
  <conditionalFormatting sqref="F324:G324 F325">
    <cfRule type="containsText" dxfId="2970" priority="3013" operator="containsText" text="o5">
      <formula>NOT(ISERROR(SEARCH("o5",F324)))</formula>
    </cfRule>
    <cfRule type="containsText" dxfId="2969" priority="3014" operator="containsText" text="o4">
      <formula>NOT(ISERROR(SEARCH("o4",F324)))</formula>
    </cfRule>
    <cfRule type="containsText" dxfId="2968" priority="3015" operator="containsText" text="o3">
      <formula>NOT(ISERROR(SEARCH("o3",F324)))</formula>
    </cfRule>
    <cfRule type="containsText" dxfId="2967" priority="3016" operator="containsText" text="o2">
      <formula>NOT(ISERROR(SEARCH("o2",F324)))</formula>
    </cfRule>
    <cfRule type="containsText" dxfId="2966" priority="3017" operator="containsText" text="o1b">
      <formula>NOT(ISERROR(SEARCH("o1b",F324)))</formula>
    </cfRule>
    <cfRule type="containsText" dxfId="2965" priority="3018" operator="containsText" text="o1a">
      <formula>NOT(ISERROR(SEARCH("o1a",F324)))</formula>
    </cfRule>
  </conditionalFormatting>
  <conditionalFormatting sqref="G325">
    <cfRule type="containsText" dxfId="2964" priority="3007" operator="containsText" text="o5">
      <formula>NOT(ISERROR(SEARCH("o5",G325)))</formula>
    </cfRule>
    <cfRule type="containsText" dxfId="2963" priority="3008" operator="containsText" text="o4">
      <formula>NOT(ISERROR(SEARCH("o4",G325)))</formula>
    </cfRule>
    <cfRule type="containsText" dxfId="2962" priority="3009" operator="containsText" text="o3">
      <formula>NOT(ISERROR(SEARCH("o3",G325)))</formula>
    </cfRule>
    <cfRule type="containsText" dxfId="2961" priority="3010" operator="containsText" text="o2">
      <formula>NOT(ISERROR(SEARCH("o2",G325)))</formula>
    </cfRule>
    <cfRule type="containsText" dxfId="2960" priority="3011" operator="containsText" text="o1b">
      <formula>NOT(ISERROR(SEARCH("o1b",G325)))</formula>
    </cfRule>
    <cfRule type="containsText" dxfId="2959" priority="3012" operator="containsText" text="o1a">
      <formula>NOT(ISERROR(SEARCH("o1a",G325)))</formula>
    </cfRule>
  </conditionalFormatting>
  <conditionalFormatting sqref="E326:F326 H326 E327:H327 E328:E329 H328:H329">
    <cfRule type="containsText" dxfId="2958" priority="3001" operator="containsText" text="o5">
      <formula>NOT(ISERROR(SEARCH("o5",E326)))</formula>
    </cfRule>
    <cfRule type="containsText" dxfId="2957" priority="3002" operator="containsText" text="o4">
      <formula>NOT(ISERROR(SEARCH("o4",E326)))</formula>
    </cfRule>
    <cfRule type="containsText" dxfId="2956" priority="3003" operator="containsText" text="o3">
      <formula>NOT(ISERROR(SEARCH("o3",E326)))</formula>
    </cfRule>
    <cfRule type="containsText" dxfId="2955" priority="3004" operator="containsText" text="o2">
      <formula>NOT(ISERROR(SEARCH("o2",E326)))</formula>
    </cfRule>
    <cfRule type="containsText" dxfId="2954" priority="3005" operator="containsText" text="o1b">
      <formula>NOT(ISERROR(SEARCH("o1b",E326)))</formula>
    </cfRule>
    <cfRule type="containsText" dxfId="2953" priority="3006" operator="containsText" text="o1a">
      <formula>NOT(ISERROR(SEARCH("o1a",E326)))</formula>
    </cfRule>
  </conditionalFormatting>
  <conditionalFormatting sqref="G326">
    <cfRule type="containsText" dxfId="2952" priority="2995" operator="containsText" text="o5">
      <formula>NOT(ISERROR(SEARCH("o5",G326)))</formula>
    </cfRule>
    <cfRule type="containsText" dxfId="2951" priority="2996" operator="containsText" text="o4">
      <formula>NOT(ISERROR(SEARCH("o4",G326)))</formula>
    </cfRule>
    <cfRule type="containsText" dxfId="2950" priority="2997" operator="containsText" text="o3">
      <formula>NOT(ISERROR(SEARCH("o3",G326)))</formula>
    </cfRule>
    <cfRule type="containsText" dxfId="2949" priority="2998" operator="containsText" text="o2">
      <formula>NOT(ISERROR(SEARCH("o2",G326)))</formula>
    </cfRule>
    <cfRule type="containsText" dxfId="2948" priority="2999" operator="containsText" text="o1b">
      <formula>NOT(ISERROR(SEARCH("o1b",G326)))</formula>
    </cfRule>
    <cfRule type="containsText" dxfId="2947" priority="3000" operator="containsText" text="o1a">
      <formula>NOT(ISERROR(SEARCH("o1a",G326)))</formula>
    </cfRule>
  </conditionalFormatting>
  <conditionalFormatting sqref="F328:G328 F329">
    <cfRule type="containsText" dxfId="2946" priority="2989" operator="containsText" text="o5">
      <formula>NOT(ISERROR(SEARCH("o5",F328)))</formula>
    </cfRule>
    <cfRule type="containsText" dxfId="2945" priority="2990" operator="containsText" text="o4">
      <formula>NOT(ISERROR(SEARCH("o4",F328)))</formula>
    </cfRule>
    <cfRule type="containsText" dxfId="2944" priority="2991" operator="containsText" text="o3">
      <formula>NOT(ISERROR(SEARCH("o3",F328)))</formula>
    </cfRule>
    <cfRule type="containsText" dxfId="2943" priority="2992" operator="containsText" text="o2">
      <formula>NOT(ISERROR(SEARCH("o2",F328)))</formula>
    </cfRule>
    <cfRule type="containsText" dxfId="2942" priority="2993" operator="containsText" text="o1b">
      <formula>NOT(ISERROR(SEARCH("o1b",F328)))</formula>
    </cfRule>
    <cfRule type="containsText" dxfId="2941" priority="2994" operator="containsText" text="o1a">
      <formula>NOT(ISERROR(SEARCH("o1a",F328)))</formula>
    </cfRule>
  </conditionalFormatting>
  <conditionalFormatting sqref="G329">
    <cfRule type="containsText" dxfId="2940" priority="2983" operator="containsText" text="o5">
      <formula>NOT(ISERROR(SEARCH("o5",G329)))</formula>
    </cfRule>
    <cfRule type="containsText" dxfId="2939" priority="2984" operator="containsText" text="o4">
      <formula>NOT(ISERROR(SEARCH("o4",G329)))</formula>
    </cfRule>
    <cfRule type="containsText" dxfId="2938" priority="2985" operator="containsText" text="o3">
      <formula>NOT(ISERROR(SEARCH("o3",G329)))</formula>
    </cfRule>
    <cfRule type="containsText" dxfId="2937" priority="2986" operator="containsText" text="o2">
      <formula>NOT(ISERROR(SEARCH("o2",G329)))</formula>
    </cfRule>
    <cfRule type="containsText" dxfId="2936" priority="2987" operator="containsText" text="o1b">
      <formula>NOT(ISERROR(SEARCH("o1b",G329)))</formula>
    </cfRule>
    <cfRule type="containsText" dxfId="2935" priority="2988" operator="containsText" text="o1a">
      <formula>NOT(ISERROR(SEARCH("o1a",G329)))</formula>
    </cfRule>
  </conditionalFormatting>
  <conditionalFormatting sqref="H330:H331">
    <cfRule type="containsText" dxfId="2934" priority="2977" operator="containsText" text="o5">
      <formula>NOT(ISERROR(SEARCH("o5",H330)))</formula>
    </cfRule>
    <cfRule type="containsText" dxfId="2933" priority="2978" operator="containsText" text="o4">
      <formula>NOT(ISERROR(SEARCH("o4",H330)))</formula>
    </cfRule>
    <cfRule type="containsText" dxfId="2932" priority="2979" operator="containsText" text="o3">
      <formula>NOT(ISERROR(SEARCH("o3",H330)))</formula>
    </cfRule>
    <cfRule type="containsText" dxfId="2931" priority="2980" operator="containsText" text="o2">
      <formula>NOT(ISERROR(SEARCH("o2",H330)))</formula>
    </cfRule>
    <cfRule type="containsText" dxfId="2930" priority="2981" operator="containsText" text="o1b">
      <formula>NOT(ISERROR(SEARCH("o1b",H330)))</formula>
    </cfRule>
    <cfRule type="containsText" dxfId="2929" priority="2982" operator="containsText" text="o1a">
      <formula>NOT(ISERROR(SEARCH("o1a",H330)))</formula>
    </cfRule>
  </conditionalFormatting>
  <conditionalFormatting sqref="F330:G330 F331">
    <cfRule type="containsText" dxfId="2928" priority="2971" operator="containsText" text="o5">
      <formula>NOT(ISERROR(SEARCH("o5",F330)))</formula>
    </cfRule>
    <cfRule type="containsText" dxfId="2927" priority="2972" operator="containsText" text="o4">
      <formula>NOT(ISERROR(SEARCH("o4",F330)))</formula>
    </cfRule>
    <cfRule type="containsText" dxfId="2926" priority="2973" operator="containsText" text="o3">
      <formula>NOT(ISERROR(SEARCH("o3",F330)))</formula>
    </cfRule>
    <cfRule type="containsText" dxfId="2925" priority="2974" operator="containsText" text="o2">
      <formula>NOT(ISERROR(SEARCH("o2",F330)))</formula>
    </cfRule>
    <cfRule type="containsText" dxfId="2924" priority="2975" operator="containsText" text="o1b">
      <formula>NOT(ISERROR(SEARCH("o1b",F330)))</formula>
    </cfRule>
    <cfRule type="containsText" dxfId="2923" priority="2976" operator="containsText" text="o1a">
      <formula>NOT(ISERROR(SEARCH("o1a",F330)))</formula>
    </cfRule>
  </conditionalFormatting>
  <conditionalFormatting sqref="G331">
    <cfRule type="containsText" dxfId="2922" priority="2965" operator="containsText" text="o5">
      <formula>NOT(ISERROR(SEARCH("o5",G331)))</formula>
    </cfRule>
    <cfRule type="containsText" dxfId="2921" priority="2966" operator="containsText" text="o4">
      <formula>NOT(ISERROR(SEARCH("o4",G331)))</formula>
    </cfRule>
    <cfRule type="containsText" dxfId="2920" priority="2967" operator="containsText" text="o3">
      <formula>NOT(ISERROR(SEARCH("o3",G331)))</formula>
    </cfRule>
    <cfRule type="containsText" dxfId="2919" priority="2968" operator="containsText" text="o2">
      <formula>NOT(ISERROR(SEARCH("o2",G331)))</formula>
    </cfRule>
    <cfRule type="containsText" dxfId="2918" priority="2969" operator="containsText" text="o1b">
      <formula>NOT(ISERROR(SEARCH("o1b",G331)))</formula>
    </cfRule>
    <cfRule type="containsText" dxfId="2917" priority="2970" operator="containsText" text="o1a">
      <formula>NOT(ISERROR(SEARCH("o1a",G331)))</formula>
    </cfRule>
  </conditionalFormatting>
  <conditionalFormatting sqref="E332:F332 H332 E333:H333 E334:E335 H334:H335">
    <cfRule type="containsText" dxfId="2916" priority="2959" operator="containsText" text="o5">
      <formula>NOT(ISERROR(SEARCH("o5",E332)))</formula>
    </cfRule>
    <cfRule type="containsText" dxfId="2915" priority="2960" operator="containsText" text="o4">
      <formula>NOT(ISERROR(SEARCH("o4",E332)))</formula>
    </cfRule>
    <cfRule type="containsText" dxfId="2914" priority="2961" operator="containsText" text="o3">
      <formula>NOT(ISERROR(SEARCH("o3",E332)))</formula>
    </cfRule>
    <cfRule type="containsText" dxfId="2913" priority="2962" operator="containsText" text="o2">
      <formula>NOT(ISERROR(SEARCH("o2",E332)))</formula>
    </cfRule>
    <cfRule type="containsText" dxfId="2912" priority="2963" operator="containsText" text="o1b">
      <formula>NOT(ISERROR(SEARCH("o1b",E332)))</formula>
    </cfRule>
    <cfRule type="containsText" dxfId="2911" priority="2964" operator="containsText" text="o1a">
      <formula>NOT(ISERROR(SEARCH("o1a",E332)))</formula>
    </cfRule>
  </conditionalFormatting>
  <conditionalFormatting sqref="G332">
    <cfRule type="containsText" dxfId="2910" priority="2953" operator="containsText" text="o5">
      <formula>NOT(ISERROR(SEARCH("o5",G332)))</formula>
    </cfRule>
    <cfRule type="containsText" dxfId="2909" priority="2954" operator="containsText" text="o4">
      <formula>NOT(ISERROR(SEARCH("o4",G332)))</formula>
    </cfRule>
    <cfRule type="containsText" dxfId="2908" priority="2955" operator="containsText" text="o3">
      <formula>NOT(ISERROR(SEARCH("o3",G332)))</formula>
    </cfRule>
    <cfRule type="containsText" dxfId="2907" priority="2956" operator="containsText" text="o2">
      <formula>NOT(ISERROR(SEARCH("o2",G332)))</formula>
    </cfRule>
    <cfRule type="containsText" dxfId="2906" priority="2957" operator="containsText" text="o1b">
      <formula>NOT(ISERROR(SEARCH("o1b",G332)))</formula>
    </cfRule>
    <cfRule type="containsText" dxfId="2905" priority="2958" operator="containsText" text="o1a">
      <formula>NOT(ISERROR(SEARCH("o1a",G332)))</formula>
    </cfRule>
  </conditionalFormatting>
  <conditionalFormatting sqref="F334:G334 F335">
    <cfRule type="containsText" dxfId="2904" priority="2947" operator="containsText" text="o5">
      <formula>NOT(ISERROR(SEARCH("o5",F334)))</formula>
    </cfRule>
    <cfRule type="containsText" dxfId="2903" priority="2948" operator="containsText" text="o4">
      <formula>NOT(ISERROR(SEARCH("o4",F334)))</formula>
    </cfRule>
    <cfRule type="containsText" dxfId="2902" priority="2949" operator="containsText" text="o3">
      <formula>NOT(ISERROR(SEARCH("o3",F334)))</formula>
    </cfRule>
    <cfRule type="containsText" dxfId="2901" priority="2950" operator="containsText" text="o2">
      <formula>NOT(ISERROR(SEARCH("o2",F334)))</formula>
    </cfRule>
    <cfRule type="containsText" dxfId="2900" priority="2951" operator="containsText" text="o1b">
      <formula>NOT(ISERROR(SEARCH("o1b",F334)))</formula>
    </cfRule>
    <cfRule type="containsText" dxfId="2899" priority="2952" operator="containsText" text="o1a">
      <formula>NOT(ISERROR(SEARCH("o1a",F334)))</formula>
    </cfRule>
  </conditionalFormatting>
  <conditionalFormatting sqref="G335">
    <cfRule type="containsText" dxfId="2898" priority="2941" operator="containsText" text="o5">
      <formula>NOT(ISERROR(SEARCH("o5",G335)))</formula>
    </cfRule>
    <cfRule type="containsText" dxfId="2897" priority="2942" operator="containsText" text="o4">
      <formula>NOT(ISERROR(SEARCH("o4",G335)))</formula>
    </cfRule>
    <cfRule type="containsText" dxfId="2896" priority="2943" operator="containsText" text="o3">
      <formula>NOT(ISERROR(SEARCH("o3",G335)))</formula>
    </cfRule>
    <cfRule type="containsText" dxfId="2895" priority="2944" operator="containsText" text="o2">
      <formula>NOT(ISERROR(SEARCH("o2",G335)))</formula>
    </cfRule>
    <cfRule type="containsText" dxfId="2894" priority="2945" operator="containsText" text="o1b">
      <formula>NOT(ISERROR(SEARCH("o1b",G335)))</formula>
    </cfRule>
    <cfRule type="containsText" dxfId="2893" priority="2946" operator="containsText" text="o1a">
      <formula>NOT(ISERROR(SEARCH("o1a",G335)))</formula>
    </cfRule>
  </conditionalFormatting>
  <conditionalFormatting sqref="H336:H337">
    <cfRule type="containsText" dxfId="2892" priority="2935" operator="containsText" text="o5">
      <formula>NOT(ISERROR(SEARCH("o5",H336)))</formula>
    </cfRule>
    <cfRule type="containsText" dxfId="2891" priority="2936" operator="containsText" text="o4">
      <formula>NOT(ISERROR(SEARCH("o4",H336)))</formula>
    </cfRule>
    <cfRule type="containsText" dxfId="2890" priority="2937" operator="containsText" text="o3">
      <formula>NOT(ISERROR(SEARCH("o3",H336)))</formula>
    </cfRule>
    <cfRule type="containsText" dxfId="2889" priority="2938" operator="containsText" text="o2">
      <formula>NOT(ISERROR(SEARCH("o2",H336)))</formula>
    </cfRule>
    <cfRule type="containsText" dxfId="2888" priority="2939" operator="containsText" text="o1b">
      <formula>NOT(ISERROR(SEARCH("o1b",H336)))</formula>
    </cfRule>
    <cfRule type="containsText" dxfId="2887" priority="2940" operator="containsText" text="o1a">
      <formula>NOT(ISERROR(SEARCH("o1a",H336)))</formula>
    </cfRule>
  </conditionalFormatting>
  <conditionalFormatting sqref="F336:G336 F337">
    <cfRule type="containsText" dxfId="2886" priority="2929" operator="containsText" text="o5">
      <formula>NOT(ISERROR(SEARCH("o5",F336)))</formula>
    </cfRule>
    <cfRule type="containsText" dxfId="2885" priority="2930" operator="containsText" text="o4">
      <formula>NOT(ISERROR(SEARCH("o4",F336)))</formula>
    </cfRule>
    <cfRule type="containsText" dxfId="2884" priority="2931" operator="containsText" text="o3">
      <formula>NOT(ISERROR(SEARCH("o3",F336)))</formula>
    </cfRule>
    <cfRule type="containsText" dxfId="2883" priority="2932" operator="containsText" text="o2">
      <formula>NOT(ISERROR(SEARCH("o2",F336)))</formula>
    </cfRule>
    <cfRule type="containsText" dxfId="2882" priority="2933" operator="containsText" text="o1b">
      <formula>NOT(ISERROR(SEARCH("o1b",F336)))</formula>
    </cfRule>
    <cfRule type="containsText" dxfId="2881" priority="2934" operator="containsText" text="o1a">
      <formula>NOT(ISERROR(SEARCH("o1a",F336)))</formula>
    </cfRule>
  </conditionalFormatting>
  <conditionalFormatting sqref="G337">
    <cfRule type="containsText" dxfId="2880" priority="2923" operator="containsText" text="o5">
      <formula>NOT(ISERROR(SEARCH("o5",G337)))</formula>
    </cfRule>
    <cfRule type="containsText" dxfId="2879" priority="2924" operator="containsText" text="o4">
      <formula>NOT(ISERROR(SEARCH("o4",G337)))</formula>
    </cfRule>
    <cfRule type="containsText" dxfId="2878" priority="2925" operator="containsText" text="o3">
      <formula>NOT(ISERROR(SEARCH("o3",G337)))</formula>
    </cfRule>
    <cfRule type="containsText" dxfId="2877" priority="2926" operator="containsText" text="o2">
      <formula>NOT(ISERROR(SEARCH("o2",G337)))</formula>
    </cfRule>
    <cfRule type="containsText" dxfId="2876" priority="2927" operator="containsText" text="o1b">
      <formula>NOT(ISERROR(SEARCH("o1b",G337)))</formula>
    </cfRule>
    <cfRule type="containsText" dxfId="2875" priority="2928" operator="containsText" text="o1a">
      <formula>NOT(ISERROR(SEARCH("o1a",G337)))</formula>
    </cfRule>
  </conditionalFormatting>
  <conditionalFormatting sqref="E338:F338 H338 E339:H339 E340:E341 H340:H341">
    <cfRule type="containsText" dxfId="2874" priority="2917" operator="containsText" text="o5">
      <formula>NOT(ISERROR(SEARCH("o5",E338)))</formula>
    </cfRule>
    <cfRule type="containsText" dxfId="2873" priority="2918" operator="containsText" text="o4">
      <formula>NOT(ISERROR(SEARCH("o4",E338)))</formula>
    </cfRule>
    <cfRule type="containsText" dxfId="2872" priority="2919" operator="containsText" text="o3">
      <formula>NOT(ISERROR(SEARCH("o3",E338)))</formula>
    </cfRule>
    <cfRule type="containsText" dxfId="2871" priority="2920" operator="containsText" text="o2">
      <formula>NOT(ISERROR(SEARCH("o2",E338)))</formula>
    </cfRule>
    <cfRule type="containsText" dxfId="2870" priority="2921" operator="containsText" text="o1b">
      <formula>NOT(ISERROR(SEARCH("o1b",E338)))</formula>
    </cfRule>
    <cfRule type="containsText" dxfId="2869" priority="2922" operator="containsText" text="o1a">
      <formula>NOT(ISERROR(SEARCH("o1a",E338)))</formula>
    </cfRule>
  </conditionalFormatting>
  <conditionalFormatting sqref="G338">
    <cfRule type="containsText" dxfId="2868" priority="2911" operator="containsText" text="o5">
      <formula>NOT(ISERROR(SEARCH("o5",G338)))</formula>
    </cfRule>
    <cfRule type="containsText" dxfId="2867" priority="2912" operator="containsText" text="o4">
      <formula>NOT(ISERROR(SEARCH("o4",G338)))</formula>
    </cfRule>
    <cfRule type="containsText" dxfId="2866" priority="2913" operator="containsText" text="o3">
      <formula>NOT(ISERROR(SEARCH("o3",G338)))</formula>
    </cfRule>
    <cfRule type="containsText" dxfId="2865" priority="2914" operator="containsText" text="o2">
      <formula>NOT(ISERROR(SEARCH("o2",G338)))</formula>
    </cfRule>
    <cfRule type="containsText" dxfId="2864" priority="2915" operator="containsText" text="o1b">
      <formula>NOT(ISERROR(SEARCH("o1b",G338)))</formula>
    </cfRule>
    <cfRule type="containsText" dxfId="2863" priority="2916" operator="containsText" text="o1a">
      <formula>NOT(ISERROR(SEARCH("o1a",G338)))</formula>
    </cfRule>
  </conditionalFormatting>
  <conditionalFormatting sqref="F340:G340 F341">
    <cfRule type="containsText" dxfId="2862" priority="2905" operator="containsText" text="o5">
      <formula>NOT(ISERROR(SEARCH("o5",F340)))</formula>
    </cfRule>
    <cfRule type="containsText" dxfId="2861" priority="2906" operator="containsText" text="o4">
      <formula>NOT(ISERROR(SEARCH("o4",F340)))</formula>
    </cfRule>
    <cfRule type="containsText" dxfId="2860" priority="2907" operator="containsText" text="o3">
      <formula>NOT(ISERROR(SEARCH("o3",F340)))</formula>
    </cfRule>
    <cfRule type="containsText" dxfId="2859" priority="2908" operator="containsText" text="o2">
      <formula>NOT(ISERROR(SEARCH("o2",F340)))</formula>
    </cfRule>
    <cfRule type="containsText" dxfId="2858" priority="2909" operator="containsText" text="o1b">
      <formula>NOT(ISERROR(SEARCH("o1b",F340)))</formula>
    </cfRule>
    <cfRule type="containsText" dxfId="2857" priority="2910" operator="containsText" text="o1a">
      <formula>NOT(ISERROR(SEARCH("o1a",F340)))</formula>
    </cfRule>
  </conditionalFormatting>
  <conditionalFormatting sqref="G341">
    <cfRule type="containsText" dxfId="2856" priority="2899" operator="containsText" text="o5">
      <formula>NOT(ISERROR(SEARCH("o5",G341)))</formula>
    </cfRule>
    <cfRule type="containsText" dxfId="2855" priority="2900" operator="containsText" text="o4">
      <formula>NOT(ISERROR(SEARCH("o4",G341)))</formula>
    </cfRule>
    <cfRule type="containsText" dxfId="2854" priority="2901" operator="containsText" text="o3">
      <formula>NOT(ISERROR(SEARCH("o3",G341)))</formula>
    </cfRule>
    <cfRule type="containsText" dxfId="2853" priority="2902" operator="containsText" text="o2">
      <formula>NOT(ISERROR(SEARCH("o2",G341)))</formula>
    </cfRule>
    <cfRule type="containsText" dxfId="2852" priority="2903" operator="containsText" text="o1b">
      <formula>NOT(ISERROR(SEARCH("o1b",G341)))</formula>
    </cfRule>
    <cfRule type="containsText" dxfId="2851" priority="2904" operator="containsText" text="o1a">
      <formula>NOT(ISERROR(SEARCH("o1a",G341)))</formula>
    </cfRule>
  </conditionalFormatting>
  <conditionalFormatting sqref="E356:H356 E348:E349 E354:E355 E382:H382 E361:E363 E369:F369 H369 E376:F376 H376 E377 G377:H377">
    <cfRule type="containsText" dxfId="2850" priority="2893" operator="containsText" text="o5">
      <formula>NOT(ISERROR(SEARCH("o5",E348)))</formula>
    </cfRule>
    <cfRule type="containsText" dxfId="2849" priority="2894" operator="containsText" text="o4">
      <formula>NOT(ISERROR(SEARCH("o4",E348)))</formula>
    </cfRule>
    <cfRule type="containsText" dxfId="2848" priority="2895" operator="containsText" text="o3">
      <formula>NOT(ISERROR(SEARCH("o3",E348)))</formula>
    </cfRule>
    <cfRule type="containsText" dxfId="2847" priority="2896" operator="containsText" text="o2">
      <formula>NOT(ISERROR(SEARCH("o2",E348)))</formula>
    </cfRule>
    <cfRule type="containsText" dxfId="2846" priority="2897" operator="containsText" text="o1b">
      <formula>NOT(ISERROR(SEARCH("o1b",E348)))</formula>
    </cfRule>
    <cfRule type="containsText" dxfId="2845" priority="2898" operator="containsText" text="o1a">
      <formula>NOT(ISERROR(SEARCH("o1a",E348)))</formula>
    </cfRule>
  </conditionalFormatting>
  <conditionalFormatting sqref="H342:H343">
    <cfRule type="containsText" dxfId="2844" priority="2887" operator="containsText" text="o5">
      <formula>NOT(ISERROR(SEARCH("o5",H342)))</formula>
    </cfRule>
    <cfRule type="containsText" dxfId="2843" priority="2888" operator="containsText" text="o4">
      <formula>NOT(ISERROR(SEARCH("o4",H342)))</formula>
    </cfRule>
    <cfRule type="containsText" dxfId="2842" priority="2889" operator="containsText" text="o3">
      <formula>NOT(ISERROR(SEARCH("o3",H342)))</formula>
    </cfRule>
    <cfRule type="containsText" dxfId="2841" priority="2890" operator="containsText" text="o2">
      <formula>NOT(ISERROR(SEARCH("o2",H342)))</formula>
    </cfRule>
    <cfRule type="containsText" dxfId="2840" priority="2891" operator="containsText" text="o1b">
      <formula>NOT(ISERROR(SEARCH("o1b",H342)))</formula>
    </cfRule>
    <cfRule type="containsText" dxfId="2839" priority="2892" operator="containsText" text="o1a">
      <formula>NOT(ISERROR(SEARCH("o1a",H342)))</formula>
    </cfRule>
  </conditionalFormatting>
  <conditionalFormatting sqref="F342:G342 F343">
    <cfRule type="containsText" dxfId="2838" priority="2881" operator="containsText" text="o5">
      <formula>NOT(ISERROR(SEARCH("o5",F342)))</formula>
    </cfRule>
    <cfRule type="containsText" dxfId="2837" priority="2882" operator="containsText" text="o4">
      <formula>NOT(ISERROR(SEARCH("o4",F342)))</formula>
    </cfRule>
    <cfRule type="containsText" dxfId="2836" priority="2883" operator="containsText" text="o3">
      <formula>NOT(ISERROR(SEARCH("o3",F342)))</formula>
    </cfRule>
    <cfRule type="containsText" dxfId="2835" priority="2884" operator="containsText" text="o2">
      <formula>NOT(ISERROR(SEARCH("o2",F342)))</formula>
    </cfRule>
    <cfRule type="containsText" dxfId="2834" priority="2885" operator="containsText" text="o1b">
      <formula>NOT(ISERROR(SEARCH("o1b",F342)))</formula>
    </cfRule>
    <cfRule type="containsText" dxfId="2833" priority="2886" operator="containsText" text="o1a">
      <formula>NOT(ISERROR(SEARCH("o1a",F342)))</formula>
    </cfRule>
  </conditionalFormatting>
  <conditionalFormatting sqref="G343">
    <cfRule type="containsText" dxfId="2832" priority="2875" operator="containsText" text="o5">
      <formula>NOT(ISERROR(SEARCH("o5",G343)))</formula>
    </cfRule>
    <cfRule type="containsText" dxfId="2831" priority="2876" operator="containsText" text="o4">
      <formula>NOT(ISERROR(SEARCH("o4",G343)))</formula>
    </cfRule>
    <cfRule type="containsText" dxfId="2830" priority="2877" operator="containsText" text="o3">
      <formula>NOT(ISERROR(SEARCH("o3",G343)))</formula>
    </cfRule>
    <cfRule type="containsText" dxfId="2829" priority="2878" operator="containsText" text="o2">
      <formula>NOT(ISERROR(SEARCH("o2",G343)))</formula>
    </cfRule>
    <cfRule type="containsText" dxfId="2828" priority="2879" operator="containsText" text="o1b">
      <formula>NOT(ISERROR(SEARCH("o1b",G343)))</formula>
    </cfRule>
    <cfRule type="containsText" dxfId="2827" priority="2880" operator="containsText" text="o1a">
      <formula>NOT(ISERROR(SEARCH("o1a",G343)))</formula>
    </cfRule>
  </conditionalFormatting>
  <conditionalFormatting sqref="E344:F344 H344 E345:H345 E346:E347 H346:H347">
    <cfRule type="containsText" dxfId="2826" priority="2869" operator="containsText" text="o5">
      <formula>NOT(ISERROR(SEARCH("o5",E344)))</formula>
    </cfRule>
    <cfRule type="containsText" dxfId="2825" priority="2870" operator="containsText" text="o4">
      <formula>NOT(ISERROR(SEARCH("o4",E344)))</formula>
    </cfRule>
    <cfRule type="containsText" dxfId="2824" priority="2871" operator="containsText" text="o3">
      <formula>NOT(ISERROR(SEARCH("o3",E344)))</formula>
    </cfRule>
    <cfRule type="containsText" dxfId="2823" priority="2872" operator="containsText" text="o2">
      <formula>NOT(ISERROR(SEARCH("o2",E344)))</formula>
    </cfRule>
    <cfRule type="containsText" dxfId="2822" priority="2873" operator="containsText" text="o1b">
      <formula>NOT(ISERROR(SEARCH("o1b",E344)))</formula>
    </cfRule>
    <cfRule type="containsText" dxfId="2821" priority="2874" operator="containsText" text="o1a">
      <formula>NOT(ISERROR(SEARCH("o1a",E344)))</formula>
    </cfRule>
  </conditionalFormatting>
  <conditionalFormatting sqref="G344">
    <cfRule type="containsText" dxfId="2820" priority="2863" operator="containsText" text="o5">
      <formula>NOT(ISERROR(SEARCH("o5",G344)))</formula>
    </cfRule>
    <cfRule type="containsText" dxfId="2819" priority="2864" operator="containsText" text="o4">
      <formula>NOT(ISERROR(SEARCH("o4",G344)))</formula>
    </cfRule>
    <cfRule type="containsText" dxfId="2818" priority="2865" operator="containsText" text="o3">
      <formula>NOT(ISERROR(SEARCH("o3",G344)))</formula>
    </cfRule>
    <cfRule type="containsText" dxfId="2817" priority="2866" operator="containsText" text="o2">
      <formula>NOT(ISERROR(SEARCH("o2",G344)))</formula>
    </cfRule>
    <cfRule type="containsText" dxfId="2816" priority="2867" operator="containsText" text="o1b">
      <formula>NOT(ISERROR(SEARCH("o1b",G344)))</formula>
    </cfRule>
    <cfRule type="containsText" dxfId="2815" priority="2868" operator="containsText" text="o1a">
      <formula>NOT(ISERROR(SEARCH("o1a",G344)))</formula>
    </cfRule>
  </conditionalFormatting>
  <conditionalFormatting sqref="F346:G346 F347">
    <cfRule type="containsText" dxfId="2814" priority="2857" operator="containsText" text="o5">
      <formula>NOT(ISERROR(SEARCH("o5",F346)))</formula>
    </cfRule>
    <cfRule type="containsText" dxfId="2813" priority="2858" operator="containsText" text="o4">
      <formula>NOT(ISERROR(SEARCH("o4",F346)))</formula>
    </cfRule>
    <cfRule type="containsText" dxfId="2812" priority="2859" operator="containsText" text="o3">
      <formula>NOT(ISERROR(SEARCH("o3",F346)))</formula>
    </cfRule>
    <cfRule type="containsText" dxfId="2811" priority="2860" operator="containsText" text="o2">
      <formula>NOT(ISERROR(SEARCH("o2",F346)))</formula>
    </cfRule>
    <cfRule type="containsText" dxfId="2810" priority="2861" operator="containsText" text="o1b">
      <formula>NOT(ISERROR(SEARCH("o1b",F346)))</formula>
    </cfRule>
    <cfRule type="containsText" dxfId="2809" priority="2862" operator="containsText" text="o1a">
      <formula>NOT(ISERROR(SEARCH("o1a",F346)))</formula>
    </cfRule>
  </conditionalFormatting>
  <conditionalFormatting sqref="G347">
    <cfRule type="containsText" dxfId="2808" priority="2851" operator="containsText" text="o5">
      <formula>NOT(ISERROR(SEARCH("o5",G347)))</formula>
    </cfRule>
    <cfRule type="containsText" dxfId="2807" priority="2852" operator="containsText" text="o4">
      <formula>NOT(ISERROR(SEARCH("o4",G347)))</formula>
    </cfRule>
    <cfRule type="containsText" dxfId="2806" priority="2853" operator="containsText" text="o3">
      <formula>NOT(ISERROR(SEARCH("o3",G347)))</formula>
    </cfRule>
    <cfRule type="containsText" dxfId="2805" priority="2854" operator="containsText" text="o2">
      <formula>NOT(ISERROR(SEARCH("o2",G347)))</formula>
    </cfRule>
    <cfRule type="containsText" dxfId="2804" priority="2855" operator="containsText" text="o1b">
      <formula>NOT(ISERROR(SEARCH("o1b",G347)))</formula>
    </cfRule>
    <cfRule type="containsText" dxfId="2803" priority="2856" operator="containsText" text="o1a">
      <formula>NOT(ISERROR(SEARCH("o1a",G347)))</formula>
    </cfRule>
  </conditionalFormatting>
  <conditionalFormatting sqref="H348:H349">
    <cfRule type="containsText" dxfId="2802" priority="2845" operator="containsText" text="o5">
      <formula>NOT(ISERROR(SEARCH("o5",H348)))</formula>
    </cfRule>
    <cfRule type="containsText" dxfId="2801" priority="2846" operator="containsText" text="o4">
      <formula>NOT(ISERROR(SEARCH("o4",H348)))</formula>
    </cfRule>
    <cfRule type="containsText" dxfId="2800" priority="2847" operator="containsText" text="o3">
      <formula>NOT(ISERROR(SEARCH("o3",H348)))</formula>
    </cfRule>
    <cfRule type="containsText" dxfId="2799" priority="2848" operator="containsText" text="o2">
      <formula>NOT(ISERROR(SEARCH("o2",H348)))</formula>
    </cfRule>
    <cfRule type="containsText" dxfId="2798" priority="2849" operator="containsText" text="o1b">
      <formula>NOT(ISERROR(SEARCH("o1b",H348)))</formula>
    </cfRule>
    <cfRule type="containsText" dxfId="2797" priority="2850" operator="containsText" text="o1a">
      <formula>NOT(ISERROR(SEARCH("o1a",H348)))</formula>
    </cfRule>
  </conditionalFormatting>
  <conditionalFormatting sqref="F348:G348 F349">
    <cfRule type="containsText" dxfId="2796" priority="2839" operator="containsText" text="o5">
      <formula>NOT(ISERROR(SEARCH("o5",F348)))</formula>
    </cfRule>
    <cfRule type="containsText" dxfId="2795" priority="2840" operator="containsText" text="o4">
      <formula>NOT(ISERROR(SEARCH("o4",F348)))</formula>
    </cfRule>
    <cfRule type="containsText" dxfId="2794" priority="2841" operator="containsText" text="o3">
      <formula>NOT(ISERROR(SEARCH("o3",F348)))</formula>
    </cfRule>
    <cfRule type="containsText" dxfId="2793" priority="2842" operator="containsText" text="o2">
      <formula>NOT(ISERROR(SEARCH("o2",F348)))</formula>
    </cfRule>
    <cfRule type="containsText" dxfId="2792" priority="2843" operator="containsText" text="o1b">
      <formula>NOT(ISERROR(SEARCH("o1b",F348)))</formula>
    </cfRule>
    <cfRule type="containsText" dxfId="2791" priority="2844" operator="containsText" text="o1a">
      <formula>NOT(ISERROR(SEARCH("o1a",F348)))</formula>
    </cfRule>
  </conditionalFormatting>
  <conditionalFormatting sqref="G349">
    <cfRule type="containsText" dxfId="2790" priority="2833" operator="containsText" text="o5">
      <formula>NOT(ISERROR(SEARCH("o5",G349)))</formula>
    </cfRule>
    <cfRule type="containsText" dxfId="2789" priority="2834" operator="containsText" text="o4">
      <formula>NOT(ISERROR(SEARCH("o4",G349)))</formula>
    </cfRule>
    <cfRule type="containsText" dxfId="2788" priority="2835" operator="containsText" text="o3">
      <formula>NOT(ISERROR(SEARCH("o3",G349)))</formula>
    </cfRule>
    <cfRule type="containsText" dxfId="2787" priority="2836" operator="containsText" text="o2">
      <formula>NOT(ISERROR(SEARCH("o2",G349)))</formula>
    </cfRule>
    <cfRule type="containsText" dxfId="2786" priority="2837" operator="containsText" text="o1b">
      <formula>NOT(ISERROR(SEARCH("o1b",G349)))</formula>
    </cfRule>
    <cfRule type="containsText" dxfId="2785" priority="2838" operator="containsText" text="o1a">
      <formula>NOT(ISERROR(SEARCH("o1a",G349)))</formula>
    </cfRule>
  </conditionalFormatting>
  <conditionalFormatting sqref="E350:F350 H350 E351:H351 E352:E353 H352:H353">
    <cfRule type="containsText" dxfId="2784" priority="2827" operator="containsText" text="o5">
      <formula>NOT(ISERROR(SEARCH("o5",E350)))</formula>
    </cfRule>
    <cfRule type="containsText" dxfId="2783" priority="2828" operator="containsText" text="o4">
      <formula>NOT(ISERROR(SEARCH("o4",E350)))</formula>
    </cfRule>
    <cfRule type="containsText" dxfId="2782" priority="2829" operator="containsText" text="o3">
      <formula>NOT(ISERROR(SEARCH("o3",E350)))</formula>
    </cfRule>
    <cfRule type="containsText" dxfId="2781" priority="2830" operator="containsText" text="o2">
      <formula>NOT(ISERROR(SEARCH("o2",E350)))</formula>
    </cfRule>
    <cfRule type="containsText" dxfId="2780" priority="2831" operator="containsText" text="o1b">
      <formula>NOT(ISERROR(SEARCH("o1b",E350)))</formula>
    </cfRule>
    <cfRule type="containsText" dxfId="2779" priority="2832" operator="containsText" text="o1a">
      <formula>NOT(ISERROR(SEARCH("o1a",E350)))</formula>
    </cfRule>
  </conditionalFormatting>
  <conditionalFormatting sqref="G350">
    <cfRule type="containsText" dxfId="2778" priority="2821" operator="containsText" text="o5">
      <formula>NOT(ISERROR(SEARCH("o5",G350)))</formula>
    </cfRule>
    <cfRule type="containsText" dxfId="2777" priority="2822" operator="containsText" text="o4">
      <formula>NOT(ISERROR(SEARCH("o4",G350)))</formula>
    </cfRule>
    <cfRule type="containsText" dxfId="2776" priority="2823" operator="containsText" text="o3">
      <formula>NOT(ISERROR(SEARCH("o3",G350)))</formula>
    </cfRule>
    <cfRule type="containsText" dxfId="2775" priority="2824" operator="containsText" text="o2">
      <formula>NOT(ISERROR(SEARCH("o2",G350)))</formula>
    </cfRule>
    <cfRule type="containsText" dxfId="2774" priority="2825" operator="containsText" text="o1b">
      <formula>NOT(ISERROR(SEARCH("o1b",G350)))</formula>
    </cfRule>
    <cfRule type="containsText" dxfId="2773" priority="2826" operator="containsText" text="o1a">
      <formula>NOT(ISERROR(SEARCH("o1a",G350)))</formula>
    </cfRule>
  </conditionalFormatting>
  <conditionalFormatting sqref="F352:G352 F353">
    <cfRule type="containsText" dxfId="2772" priority="2815" operator="containsText" text="o5">
      <formula>NOT(ISERROR(SEARCH("o5",F352)))</formula>
    </cfRule>
    <cfRule type="containsText" dxfId="2771" priority="2816" operator="containsText" text="o4">
      <formula>NOT(ISERROR(SEARCH("o4",F352)))</formula>
    </cfRule>
    <cfRule type="containsText" dxfId="2770" priority="2817" operator="containsText" text="o3">
      <formula>NOT(ISERROR(SEARCH("o3",F352)))</formula>
    </cfRule>
    <cfRule type="containsText" dxfId="2769" priority="2818" operator="containsText" text="o2">
      <formula>NOT(ISERROR(SEARCH("o2",F352)))</formula>
    </cfRule>
    <cfRule type="containsText" dxfId="2768" priority="2819" operator="containsText" text="o1b">
      <formula>NOT(ISERROR(SEARCH("o1b",F352)))</formula>
    </cfRule>
    <cfRule type="containsText" dxfId="2767" priority="2820" operator="containsText" text="o1a">
      <formula>NOT(ISERROR(SEARCH("o1a",F352)))</formula>
    </cfRule>
  </conditionalFormatting>
  <conditionalFormatting sqref="G353">
    <cfRule type="containsText" dxfId="2766" priority="2809" operator="containsText" text="o5">
      <formula>NOT(ISERROR(SEARCH("o5",G353)))</formula>
    </cfRule>
    <cfRule type="containsText" dxfId="2765" priority="2810" operator="containsText" text="o4">
      <formula>NOT(ISERROR(SEARCH("o4",G353)))</formula>
    </cfRule>
    <cfRule type="containsText" dxfId="2764" priority="2811" operator="containsText" text="o3">
      <formula>NOT(ISERROR(SEARCH("o3",G353)))</formula>
    </cfRule>
    <cfRule type="containsText" dxfId="2763" priority="2812" operator="containsText" text="o2">
      <formula>NOT(ISERROR(SEARCH("o2",G353)))</formula>
    </cfRule>
    <cfRule type="containsText" dxfId="2762" priority="2813" operator="containsText" text="o1b">
      <formula>NOT(ISERROR(SEARCH("o1b",G353)))</formula>
    </cfRule>
    <cfRule type="containsText" dxfId="2761" priority="2814" operator="containsText" text="o1a">
      <formula>NOT(ISERROR(SEARCH("o1a",G353)))</formula>
    </cfRule>
  </conditionalFormatting>
  <conditionalFormatting sqref="H354:H355">
    <cfRule type="containsText" dxfId="2760" priority="2803" operator="containsText" text="o5">
      <formula>NOT(ISERROR(SEARCH("o5",H354)))</formula>
    </cfRule>
    <cfRule type="containsText" dxfId="2759" priority="2804" operator="containsText" text="o4">
      <formula>NOT(ISERROR(SEARCH("o4",H354)))</formula>
    </cfRule>
    <cfRule type="containsText" dxfId="2758" priority="2805" operator="containsText" text="o3">
      <formula>NOT(ISERROR(SEARCH("o3",H354)))</formula>
    </cfRule>
    <cfRule type="containsText" dxfId="2757" priority="2806" operator="containsText" text="o2">
      <formula>NOT(ISERROR(SEARCH("o2",H354)))</formula>
    </cfRule>
    <cfRule type="containsText" dxfId="2756" priority="2807" operator="containsText" text="o1b">
      <formula>NOT(ISERROR(SEARCH("o1b",H354)))</formula>
    </cfRule>
    <cfRule type="containsText" dxfId="2755" priority="2808" operator="containsText" text="o1a">
      <formula>NOT(ISERROR(SEARCH("o1a",H354)))</formula>
    </cfRule>
  </conditionalFormatting>
  <conditionalFormatting sqref="F354:G354 F355">
    <cfRule type="containsText" dxfId="2754" priority="2797" operator="containsText" text="o5">
      <formula>NOT(ISERROR(SEARCH("o5",F354)))</formula>
    </cfRule>
    <cfRule type="containsText" dxfId="2753" priority="2798" operator="containsText" text="o4">
      <formula>NOT(ISERROR(SEARCH("o4",F354)))</formula>
    </cfRule>
    <cfRule type="containsText" dxfId="2752" priority="2799" operator="containsText" text="o3">
      <formula>NOT(ISERROR(SEARCH("o3",F354)))</formula>
    </cfRule>
    <cfRule type="containsText" dxfId="2751" priority="2800" operator="containsText" text="o2">
      <formula>NOT(ISERROR(SEARCH("o2",F354)))</formula>
    </cfRule>
    <cfRule type="containsText" dxfId="2750" priority="2801" operator="containsText" text="o1b">
      <formula>NOT(ISERROR(SEARCH("o1b",F354)))</formula>
    </cfRule>
    <cfRule type="containsText" dxfId="2749" priority="2802" operator="containsText" text="o1a">
      <formula>NOT(ISERROR(SEARCH("o1a",F354)))</formula>
    </cfRule>
  </conditionalFormatting>
  <conditionalFormatting sqref="G355">
    <cfRule type="containsText" dxfId="2748" priority="2791" operator="containsText" text="o5">
      <formula>NOT(ISERROR(SEARCH("o5",G355)))</formula>
    </cfRule>
    <cfRule type="containsText" dxfId="2747" priority="2792" operator="containsText" text="o4">
      <formula>NOT(ISERROR(SEARCH("o4",G355)))</formula>
    </cfRule>
    <cfRule type="containsText" dxfId="2746" priority="2793" operator="containsText" text="o3">
      <formula>NOT(ISERROR(SEARCH("o3",G355)))</formula>
    </cfRule>
    <cfRule type="containsText" dxfId="2745" priority="2794" operator="containsText" text="o2">
      <formula>NOT(ISERROR(SEARCH("o2",G355)))</formula>
    </cfRule>
    <cfRule type="containsText" dxfId="2744" priority="2795" operator="containsText" text="o1b">
      <formula>NOT(ISERROR(SEARCH("o1b",G355)))</formula>
    </cfRule>
    <cfRule type="containsText" dxfId="2743" priority="2796" operator="containsText" text="o1a">
      <formula>NOT(ISERROR(SEARCH("o1a",G355)))</formula>
    </cfRule>
  </conditionalFormatting>
  <conditionalFormatting sqref="E357:F357 H357 E358:H358 E359:E360 H359:H360">
    <cfRule type="containsText" dxfId="2742" priority="2785" operator="containsText" text="o5">
      <formula>NOT(ISERROR(SEARCH("o5",E357)))</formula>
    </cfRule>
    <cfRule type="containsText" dxfId="2741" priority="2786" operator="containsText" text="o4">
      <formula>NOT(ISERROR(SEARCH("o4",E357)))</formula>
    </cfRule>
    <cfRule type="containsText" dxfId="2740" priority="2787" operator="containsText" text="o3">
      <formula>NOT(ISERROR(SEARCH("o3",E357)))</formula>
    </cfRule>
    <cfRule type="containsText" dxfId="2739" priority="2788" operator="containsText" text="o2">
      <formula>NOT(ISERROR(SEARCH("o2",E357)))</formula>
    </cfRule>
    <cfRule type="containsText" dxfId="2738" priority="2789" operator="containsText" text="o1b">
      <formula>NOT(ISERROR(SEARCH("o1b",E357)))</formula>
    </cfRule>
    <cfRule type="containsText" dxfId="2737" priority="2790" operator="containsText" text="o1a">
      <formula>NOT(ISERROR(SEARCH("o1a",E357)))</formula>
    </cfRule>
  </conditionalFormatting>
  <conditionalFormatting sqref="G357">
    <cfRule type="containsText" dxfId="2736" priority="2779" operator="containsText" text="o5">
      <formula>NOT(ISERROR(SEARCH("o5",G357)))</formula>
    </cfRule>
    <cfRule type="containsText" dxfId="2735" priority="2780" operator="containsText" text="o4">
      <formula>NOT(ISERROR(SEARCH("o4",G357)))</formula>
    </cfRule>
    <cfRule type="containsText" dxfId="2734" priority="2781" operator="containsText" text="o3">
      <formula>NOT(ISERROR(SEARCH("o3",G357)))</formula>
    </cfRule>
    <cfRule type="containsText" dxfId="2733" priority="2782" operator="containsText" text="o2">
      <formula>NOT(ISERROR(SEARCH("o2",G357)))</formula>
    </cfRule>
    <cfRule type="containsText" dxfId="2732" priority="2783" operator="containsText" text="o1b">
      <formula>NOT(ISERROR(SEARCH("o1b",G357)))</formula>
    </cfRule>
    <cfRule type="containsText" dxfId="2731" priority="2784" operator="containsText" text="o1a">
      <formula>NOT(ISERROR(SEARCH("o1a",G357)))</formula>
    </cfRule>
  </conditionalFormatting>
  <conditionalFormatting sqref="F359:G359 F360">
    <cfRule type="containsText" dxfId="2730" priority="2773" operator="containsText" text="o5">
      <formula>NOT(ISERROR(SEARCH("o5",F359)))</formula>
    </cfRule>
    <cfRule type="containsText" dxfId="2729" priority="2774" operator="containsText" text="o4">
      <formula>NOT(ISERROR(SEARCH("o4",F359)))</formula>
    </cfRule>
    <cfRule type="containsText" dxfId="2728" priority="2775" operator="containsText" text="o3">
      <formula>NOT(ISERROR(SEARCH("o3",F359)))</formula>
    </cfRule>
    <cfRule type="containsText" dxfId="2727" priority="2776" operator="containsText" text="o2">
      <formula>NOT(ISERROR(SEARCH("o2",F359)))</formula>
    </cfRule>
    <cfRule type="containsText" dxfId="2726" priority="2777" operator="containsText" text="o1b">
      <formula>NOT(ISERROR(SEARCH("o1b",F359)))</formula>
    </cfRule>
    <cfRule type="containsText" dxfId="2725" priority="2778" operator="containsText" text="o1a">
      <formula>NOT(ISERROR(SEARCH("o1a",F359)))</formula>
    </cfRule>
  </conditionalFormatting>
  <conditionalFormatting sqref="G360">
    <cfRule type="containsText" dxfId="2724" priority="2767" operator="containsText" text="o5">
      <formula>NOT(ISERROR(SEARCH("o5",G360)))</formula>
    </cfRule>
    <cfRule type="containsText" dxfId="2723" priority="2768" operator="containsText" text="o4">
      <formula>NOT(ISERROR(SEARCH("o4",G360)))</formula>
    </cfRule>
    <cfRule type="containsText" dxfId="2722" priority="2769" operator="containsText" text="o3">
      <formula>NOT(ISERROR(SEARCH("o3",G360)))</formula>
    </cfRule>
    <cfRule type="containsText" dxfId="2721" priority="2770" operator="containsText" text="o2">
      <formula>NOT(ISERROR(SEARCH("o2",G360)))</formula>
    </cfRule>
    <cfRule type="containsText" dxfId="2720" priority="2771" operator="containsText" text="o1b">
      <formula>NOT(ISERROR(SEARCH("o1b",G360)))</formula>
    </cfRule>
    <cfRule type="containsText" dxfId="2719" priority="2772" operator="containsText" text="o1a">
      <formula>NOT(ISERROR(SEARCH("o1a",G360)))</formula>
    </cfRule>
  </conditionalFormatting>
  <conditionalFormatting sqref="F363:H363">
    <cfRule type="containsText" dxfId="2718" priority="2761" operator="containsText" text="o5">
      <formula>NOT(ISERROR(SEARCH("o5",F363)))</formula>
    </cfRule>
    <cfRule type="containsText" dxfId="2717" priority="2762" operator="containsText" text="o4">
      <formula>NOT(ISERROR(SEARCH("o4",F363)))</formula>
    </cfRule>
    <cfRule type="containsText" dxfId="2716" priority="2763" operator="containsText" text="o3">
      <formula>NOT(ISERROR(SEARCH("o3",F363)))</formula>
    </cfRule>
    <cfRule type="containsText" dxfId="2715" priority="2764" operator="containsText" text="o2">
      <formula>NOT(ISERROR(SEARCH("o2",F363)))</formula>
    </cfRule>
    <cfRule type="containsText" dxfId="2714" priority="2765" operator="containsText" text="o1b">
      <formula>NOT(ISERROR(SEARCH("o1b",F363)))</formula>
    </cfRule>
    <cfRule type="containsText" dxfId="2713" priority="2766" operator="containsText" text="o1a">
      <formula>NOT(ISERROR(SEARCH("o1a",F363)))</formula>
    </cfRule>
  </conditionalFormatting>
  <conditionalFormatting sqref="H361:H362">
    <cfRule type="containsText" dxfId="2712" priority="2755" operator="containsText" text="o5">
      <formula>NOT(ISERROR(SEARCH("o5",H361)))</formula>
    </cfRule>
    <cfRule type="containsText" dxfId="2711" priority="2756" operator="containsText" text="o4">
      <formula>NOT(ISERROR(SEARCH("o4",H361)))</formula>
    </cfRule>
    <cfRule type="containsText" dxfId="2710" priority="2757" operator="containsText" text="o3">
      <formula>NOT(ISERROR(SEARCH("o3",H361)))</formula>
    </cfRule>
    <cfRule type="containsText" dxfId="2709" priority="2758" operator="containsText" text="o2">
      <formula>NOT(ISERROR(SEARCH("o2",H361)))</formula>
    </cfRule>
    <cfRule type="containsText" dxfId="2708" priority="2759" operator="containsText" text="o1b">
      <formula>NOT(ISERROR(SEARCH("o1b",H361)))</formula>
    </cfRule>
    <cfRule type="containsText" dxfId="2707" priority="2760" operator="containsText" text="o1a">
      <formula>NOT(ISERROR(SEARCH("o1a",H361)))</formula>
    </cfRule>
  </conditionalFormatting>
  <conditionalFormatting sqref="F361:G361 F362">
    <cfRule type="containsText" dxfId="2706" priority="2749" operator="containsText" text="o5">
      <formula>NOT(ISERROR(SEARCH("o5",F361)))</formula>
    </cfRule>
    <cfRule type="containsText" dxfId="2705" priority="2750" operator="containsText" text="o4">
      <formula>NOT(ISERROR(SEARCH("o4",F361)))</formula>
    </cfRule>
    <cfRule type="containsText" dxfId="2704" priority="2751" operator="containsText" text="o3">
      <formula>NOT(ISERROR(SEARCH("o3",F361)))</formula>
    </cfRule>
    <cfRule type="containsText" dxfId="2703" priority="2752" operator="containsText" text="o2">
      <formula>NOT(ISERROR(SEARCH("o2",F361)))</formula>
    </cfRule>
    <cfRule type="containsText" dxfId="2702" priority="2753" operator="containsText" text="o1b">
      <formula>NOT(ISERROR(SEARCH("o1b",F361)))</formula>
    </cfRule>
    <cfRule type="containsText" dxfId="2701" priority="2754" operator="containsText" text="o1a">
      <formula>NOT(ISERROR(SEARCH("o1a",F361)))</formula>
    </cfRule>
  </conditionalFormatting>
  <conditionalFormatting sqref="G362">
    <cfRule type="containsText" dxfId="2700" priority="2743" operator="containsText" text="o5">
      <formula>NOT(ISERROR(SEARCH("o5",G362)))</formula>
    </cfRule>
    <cfRule type="containsText" dxfId="2699" priority="2744" operator="containsText" text="o4">
      <formula>NOT(ISERROR(SEARCH("o4",G362)))</formula>
    </cfRule>
    <cfRule type="containsText" dxfId="2698" priority="2745" operator="containsText" text="o3">
      <formula>NOT(ISERROR(SEARCH("o3",G362)))</formula>
    </cfRule>
    <cfRule type="containsText" dxfId="2697" priority="2746" operator="containsText" text="o2">
      <formula>NOT(ISERROR(SEARCH("o2",G362)))</formula>
    </cfRule>
    <cfRule type="containsText" dxfId="2696" priority="2747" operator="containsText" text="o1b">
      <formula>NOT(ISERROR(SEARCH("o1b",G362)))</formula>
    </cfRule>
    <cfRule type="containsText" dxfId="2695" priority="2748" operator="containsText" text="o1a">
      <formula>NOT(ISERROR(SEARCH("o1a",G362)))</formula>
    </cfRule>
  </conditionalFormatting>
  <conditionalFormatting sqref="E364:F364 H364 E365:H365 E366:E367 H366:H367">
    <cfRule type="containsText" dxfId="2694" priority="2737" operator="containsText" text="o5">
      <formula>NOT(ISERROR(SEARCH("o5",E364)))</formula>
    </cfRule>
    <cfRule type="containsText" dxfId="2693" priority="2738" operator="containsText" text="o4">
      <formula>NOT(ISERROR(SEARCH("o4",E364)))</formula>
    </cfRule>
    <cfRule type="containsText" dxfId="2692" priority="2739" operator="containsText" text="o3">
      <formula>NOT(ISERROR(SEARCH("o3",E364)))</formula>
    </cfRule>
    <cfRule type="containsText" dxfId="2691" priority="2740" operator="containsText" text="o2">
      <formula>NOT(ISERROR(SEARCH("o2",E364)))</formula>
    </cfRule>
    <cfRule type="containsText" dxfId="2690" priority="2741" operator="containsText" text="o1b">
      <formula>NOT(ISERROR(SEARCH("o1b",E364)))</formula>
    </cfRule>
    <cfRule type="containsText" dxfId="2689" priority="2742" operator="containsText" text="o1a">
      <formula>NOT(ISERROR(SEARCH("o1a",E364)))</formula>
    </cfRule>
  </conditionalFormatting>
  <conditionalFormatting sqref="G364">
    <cfRule type="containsText" dxfId="2688" priority="2731" operator="containsText" text="o5">
      <formula>NOT(ISERROR(SEARCH("o5",G364)))</formula>
    </cfRule>
    <cfRule type="containsText" dxfId="2687" priority="2732" operator="containsText" text="o4">
      <formula>NOT(ISERROR(SEARCH("o4",G364)))</formula>
    </cfRule>
    <cfRule type="containsText" dxfId="2686" priority="2733" operator="containsText" text="o3">
      <formula>NOT(ISERROR(SEARCH("o3",G364)))</formula>
    </cfRule>
    <cfRule type="containsText" dxfId="2685" priority="2734" operator="containsText" text="o2">
      <formula>NOT(ISERROR(SEARCH("o2",G364)))</formula>
    </cfRule>
    <cfRule type="containsText" dxfId="2684" priority="2735" operator="containsText" text="o1b">
      <formula>NOT(ISERROR(SEARCH("o1b",G364)))</formula>
    </cfRule>
    <cfRule type="containsText" dxfId="2683" priority="2736" operator="containsText" text="o1a">
      <formula>NOT(ISERROR(SEARCH("o1a",G364)))</formula>
    </cfRule>
  </conditionalFormatting>
  <conditionalFormatting sqref="F366:G366 F367">
    <cfRule type="containsText" dxfId="2682" priority="2725" operator="containsText" text="o5">
      <formula>NOT(ISERROR(SEARCH("o5",F366)))</formula>
    </cfRule>
    <cfRule type="containsText" dxfId="2681" priority="2726" operator="containsText" text="o4">
      <formula>NOT(ISERROR(SEARCH("o4",F366)))</formula>
    </cfRule>
    <cfRule type="containsText" dxfId="2680" priority="2727" operator="containsText" text="o3">
      <formula>NOT(ISERROR(SEARCH("o3",F366)))</formula>
    </cfRule>
    <cfRule type="containsText" dxfId="2679" priority="2728" operator="containsText" text="o2">
      <formula>NOT(ISERROR(SEARCH("o2",F366)))</formula>
    </cfRule>
    <cfRule type="containsText" dxfId="2678" priority="2729" operator="containsText" text="o1b">
      <formula>NOT(ISERROR(SEARCH("o1b",F366)))</formula>
    </cfRule>
    <cfRule type="containsText" dxfId="2677" priority="2730" operator="containsText" text="o1a">
      <formula>NOT(ISERROR(SEARCH("o1a",F366)))</formula>
    </cfRule>
  </conditionalFormatting>
  <conditionalFormatting sqref="G367">
    <cfRule type="containsText" dxfId="2676" priority="2719" operator="containsText" text="o5">
      <formula>NOT(ISERROR(SEARCH("o5",G367)))</formula>
    </cfRule>
    <cfRule type="containsText" dxfId="2675" priority="2720" operator="containsText" text="o4">
      <formula>NOT(ISERROR(SEARCH("o4",G367)))</formula>
    </cfRule>
    <cfRule type="containsText" dxfId="2674" priority="2721" operator="containsText" text="o3">
      <formula>NOT(ISERROR(SEARCH("o3",G367)))</formula>
    </cfRule>
    <cfRule type="containsText" dxfId="2673" priority="2722" operator="containsText" text="o2">
      <formula>NOT(ISERROR(SEARCH("o2",G367)))</formula>
    </cfRule>
    <cfRule type="containsText" dxfId="2672" priority="2723" operator="containsText" text="o1b">
      <formula>NOT(ISERROR(SEARCH("o1b",G367)))</formula>
    </cfRule>
    <cfRule type="containsText" dxfId="2671" priority="2724" operator="containsText" text="o1a">
      <formula>NOT(ISERROR(SEARCH("o1a",G367)))</formula>
    </cfRule>
  </conditionalFormatting>
  <conditionalFormatting sqref="E368:F368 H368">
    <cfRule type="containsText" dxfId="2670" priority="2713" operator="containsText" text="o5">
      <formula>NOT(ISERROR(SEARCH("o5",E368)))</formula>
    </cfRule>
    <cfRule type="containsText" dxfId="2669" priority="2714" operator="containsText" text="o4">
      <formula>NOT(ISERROR(SEARCH("o4",E368)))</formula>
    </cfRule>
    <cfRule type="containsText" dxfId="2668" priority="2715" operator="containsText" text="o3">
      <formula>NOT(ISERROR(SEARCH("o3",E368)))</formula>
    </cfRule>
    <cfRule type="containsText" dxfId="2667" priority="2716" operator="containsText" text="o2">
      <formula>NOT(ISERROR(SEARCH("o2",E368)))</formula>
    </cfRule>
    <cfRule type="containsText" dxfId="2666" priority="2717" operator="containsText" text="o1b">
      <formula>NOT(ISERROR(SEARCH("o1b",E368)))</formula>
    </cfRule>
    <cfRule type="containsText" dxfId="2665" priority="2718" operator="containsText" text="o1a">
      <formula>NOT(ISERROR(SEARCH("o1a",E368)))</formula>
    </cfRule>
  </conditionalFormatting>
  <conditionalFormatting sqref="G368">
    <cfRule type="containsText" dxfId="2664" priority="2707" operator="containsText" text="o5">
      <formula>NOT(ISERROR(SEARCH("o5",G368)))</formula>
    </cfRule>
    <cfRule type="containsText" dxfId="2663" priority="2708" operator="containsText" text="o4">
      <formula>NOT(ISERROR(SEARCH("o4",G368)))</formula>
    </cfRule>
    <cfRule type="containsText" dxfId="2662" priority="2709" operator="containsText" text="o3">
      <formula>NOT(ISERROR(SEARCH("o3",G368)))</formula>
    </cfRule>
    <cfRule type="containsText" dxfId="2661" priority="2710" operator="containsText" text="o2">
      <formula>NOT(ISERROR(SEARCH("o2",G368)))</formula>
    </cfRule>
    <cfRule type="containsText" dxfId="2660" priority="2711" operator="containsText" text="o1b">
      <formula>NOT(ISERROR(SEARCH("o1b",G368)))</formula>
    </cfRule>
    <cfRule type="containsText" dxfId="2659" priority="2712" operator="containsText" text="o1a">
      <formula>NOT(ISERROR(SEARCH("o1a",G368)))</formula>
    </cfRule>
  </conditionalFormatting>
  <conditionalFormatting sqref="G369">
    <cfRule type="containsText" dxfId="2658" priority="2701" operator="containsText" text="o5">
      <formula>NOT(ISERROR(SEARCH("o5",G369)))</formula>
    </cfRule>
    <cfRule type="containsText" dxfId="2657" priority="2702" operator="containsText" text="o4">
      <formula>NOT(ISERROR(SEARCH("o4",G369)))</formula>
    </cfRule>
    <cfRule type="containsText" dxfId="2656" priority="2703" operator="containsText" text="o3">
      <formula>NOT(ISERROR(SEARCH("o3",G369)))</formula>
    </cfRule>
    <cfRule type="containsText" dxfId="2655" priority="2704" operator="containsText" text="o2">
      <formula>NOT(ISERROR(SEARCH("o2",G369)))</formula>
    </cfRule>
    <cfRule type="containsText" dxfId="2654" priority="2705" operator="containsText" text="o1b">
      <formula>NOT(ISERROR(SEARCH("o1b",G369)))</formula>
    </cfRule>
    <cfRule type="containsText" dxfId="2653" priority="2706" operator="containsText" text="o1a">
      <formula>NOT(ISERROR(SEARCH("o1a",G369)))</formula>
    </cfRule>
  </conditionalFormatting>
  <conditionalFormatting sqref="E371:F371 H371">
    <cfRule type="containsText" dxfId="2652" priority="2695" operator="containsText" text="o5">
      <formula>NOT(ISERROR(SEARCH("o5",E371)))</formula>
    </cfRule>
    <cfRule type="containsText" dxfId="2651" priority="2696" operator="containsText" text="o4">
      <formula>NOT(ISERROR(SEARCH("o4",E371)))</formula>
    </cfRule>
    <cfRule type="containsText" dxfId="2650" priority="2697" operator="containsText" text="o3">
      <formula>NOT(ISERROR(SEARCH("o3",E371)))</formula>
    </cfRule>
    <cfRule type="containsText" dxfId="2649" priority="2698" operator="containsText" text="o2">
      <formula>NOT(ISERROR(SEARCH("o2",E371)))</formula>
    </cfRule>
    <cfRule type="containsText" dxfId="2648" priority="2699" operator="containsText" text="o1b">
      <formula>NOT(ISERROR(SEARCH("o1b",E371)))</formula>
    </cfRule>
    <cfRule type="containsText" dxfId="2647" priority="2700" operator="containsText" text="o1a">
      <formula>NOT(ISERROR(SEARCH("o1a",E371)))</formula>
    </cfRule>
  </conditionalFormatting>
  <conditionalFormatting sqref="E370:F370 H370">
    <cfRule type="containsText" dxfId="2646" priority="2689" operator="containsText" text="o5">
      <formula>NOT(ISERROR(SEARCH("o5",E370)))</formula>
    </cfRule>
    <cfRule type="containsText" dxfId="2645" priority="2690" operator="containsText" text="o4">
      <formula>NOT(ISERROR(SEARCH("o4",E370)))</formula>
    </cfRule>
    <cfRule type="containsText" dxfId="2644" priority="2691" operator="containsText" text="o3">
      <formula>NOT(ISERROR(SEARCH("o3",E370)))</formula>
    </cfRule>
    <cfRule type="containsText" dxfId="2643" priority="2692" operator="containsText" text="o2">
      <formula>NOT(ISERROR(SEARCH("o2",E370)))</formula>
    </cfRule>
    <cfRule type="containsText" dxfId="2642" priority="2693" operator="containsText" text="o1b">
      <formula>NOT(ISERROR(SEARCH("o1b",E370)))</formula>
    </cfRule>
    <cfRule type="containsText" dxfId="2641" priority="2694" operator="containsText" text="o1a">
      <formula>NOT(ISERROR(SEARCH("o1a",E370)))</formula>
    </cfRule>
  </conditionalFormatting>
  <conditionalFormatting sqref="G370">
    <cfRule type="containsText" dxfId="2640" priority="2683" operator="containsText" text="o5">
      <formula>NOT(ISERROR(SEARCH("o5",G370)))</formula>
    </cfRule>
    <cfRule type="containsText" dxfId="2639" priority="2684" operator="containsText" text="o4">
      <formula>NOT(ISERROR(SEARCH("o4",G370)))</formula>
    </cfRule>
    <cfRule type="containsText" dxfId="2638" priority="2685" operator="containsText" text="o3">
      <formula>NOT(ISERROR(SEARCH("o3",G370)))</formula>
    </cfRule>
    <cfRule type="containsText" dxfId="2637" priority="2686" operator="containsText" text="o2">
      <formula>NOT(ISERROR(SEARCH("o2",G370)))</formula>
    </cfRule>
    <cfRule type="containsText" dxfId="2636" priority="2687" operator="containsText" text="o1b">
      <formula>NOT(ISERROR(SEARCH("o1b",G370)))</formula>
    </cfRule>
    <cfRule type="containsText" dxfId="2635" priority="2688" operator="containsText" text="o1a">
      <formula>NOT(ISERROR(SEARCH("o1a",G370)))</formula>
    </cfRule>
  </conditionalFormatting>
  <conditionalFormatting sqref="G371">
    <cfRule type="containsText" dxfId="2634" priority="2677" operator="containsText" text="o5">
      <formula>NOT(ISERROR(SEARCH("o5",G371)))</formula>
    </cfRule>
    <cfRule type="containsText" dxfId="2633" priority="2678" operator="containsText" text="o4">
      <formula>NOT(ISERROR(SEARCH("o4",G371)))</formula>
    </cfRule>
    <cfRule type="containsText" dxfId="2632" priority="2679" operator="containsText" text="o3">
      <formula>NOT(ISERROR(SEARCH("o3",G371)))</formula>
    </cfRule>
    <cfRule type="containsText" dxfId="2631" priority="2680" operator="containsText" text="o2">
      <formula>NOT(ISERROR(SEARCH("o2",G371)))</formula>
    </cfRule>
    <cfRule type="containsText" dxfId="2630" priority="2681" operator="containsText" text="o1b">
      <formula>NOT(ISERROR(SEARCH("o1b",G371)))</formula>
    </cfRule>
    <cfRule type="containsText" dxfId="2629" priority="2682" operator="containsText" text="o1a">
      <formula>NOT(ISERROR(SEARCH("o1a",G371)))</formula>
    </cfRule>
  </conditionalFormatting>
  <conditionalFormatting sqref="E373:F373 H373">
    <cfRule type="containsText" dxfId="2628" priority="2671" operator="containsText" text="o5">
      <formula>NOT(ISERROR(SEARCH("o5",E373)))</formula>
    </cfRule>
    <cfRule type="containsText" dxfId="2627" priority="2672" operator="containsText" text="o4">
      <formula>NOT(ISERROR(SEARCH("o4",E373)))</formula>
    </cfRule>
    <cfRule type="containsText" dxfId="2626" priority="2673" operator="containsText" text="o3">
      <formula>NOT(ISERROR(SEARCH("o3",E373)))</formula>
    </cfRule>
    <cfRule type="containsText" dxfId="2625" priority="2674" operator="containsText" text="o2">
      <formula>NOT(ISERROR(SEARCH("o2",E373)))</formula>
    </cfRule>
    <cfRule type="containsText" dxfId="2624" priority="2675" operator="containsText" text="o1b">
      <formula>NOT(ISERROR(SEARCH("o1b",E373)))</formula>
    </cfRule>
    <cfRule type="containsText" dxfId="2623" priority="2676" operator="containsText" text="o1a">
      <formula>NOT(ISERROR(SEARCH("o1a",E373)))</formula>
    </cfRule>
  </conditionalFormatting>
  <conditionalFormatting sqref="E372:F372 H372">
    <cfRule type="containsText" dxfId="2622" priority="2665" operator="containsText" text="o5">
      <formula>NOT(ISERROR(SEARCH("o5",E372)))</formula>
    </cfRule>
    <cfRule type="containsText" dxfId="2621" priority="2666" operator="containsText" text="o4">
      <formula>NOT(ISERROR(SEARCH("o4",E372)))</formula>
    </cfRule>
    <cfRule type="containsText" dxfId="2620" priority="2667" operator="containsText" text="o3">
      <formula>NOT(ISERROR(SEARCH("o3",E372)))</formula>
    </cfRule>
    <cfRule type="containsText" dxfId="2619" priority="2668" operator="containsText" text="o2">
      <formula>NOT(ISERROR(SEARCH("o2",E372)))</formula>
    </cfRule>
    <cfRule type="containsText" dxfId="2618" priority="2669" operator="containsText" text="o1b">
      <formula>NOT(ISERROR(SEARCH("o1b",E372)))</formula>
    </cfRule>
    <cfRule type="containsText" dxfId="2617" priority="2670" operator="containsText" text="o1a">
      <formula>NOT(ISERROR(SEARCH("o1a",E372)))</formula>
    </cfRule>
  </conditionalFormatting>
  <conditionalFormatting sqref="G372">
    <cfRule type="containsText" dxfId="2616" priority="2659" operator="containsText" text="o5">
      <formula>NOT(ISERROR(SEARCH("o5",G372)))</formula>
    </cfRule>
    <cfRule type="containsText" dxfId="2615" priority="2660" operator="containsText" text="o4">
      <formula>NOT(ISERROR(SEARCH("o4",G372)))</formula>
    </cfRule>
    <cfRule type="containsText" dxfId="2614" priority="2661" operator="containsText" text="o3">
      <formula>NOT(ISERROR(SEARCH("o3",G372)))</formula>
    </cfRule>
    <cfRule type="containsText" dxfId="2613" priority="2662" operator="containsText" text="o2">
      <formula>NOT(ISERROR(SEARCH("o2",G372)))</formula>
    </cfRule>
    <cfRule type="containsText" dxfId="2612" priority="2663" operator="containsText" text="o1b">
      <formula>NOT(ISERROR(SEARCH("o1b",G372)))</formula>
    </cfRule>
    <cfRule type="containsText" dxfId="2611" priority="2664" operator="containsText" text="o1a">
      <formula>NOT(ISERROR(SEARCH("o1a",G372)))</formula>
    </cfRule>
  </conditionalFormatting>
  <conditionalFormatting sqref="G373">
    <cfRule type="containsText" dxfId="2610" priority="2653" operator="containsText" text="o5">
      <formula>NOT(ISERROR(SEARCH("o5",G373)))</formula>
    </cfRule>
    <cfRule type="containsText" dxfId="2609" priority="2654" operator="containsText" text="o4">
      <formula>NOT(ISERROR(SEARCH("o4",G373)))</formula>
    </cfRule>
    <cfRule type="containsText" dxfId="2608" priority="2655" operator="containsText" text="o3">
      <formula>NOT(ISERROR(SEARCH("o3",G373)))</formula>
    </cfRule>
    <cfRule type="containsText" dxfId="2607" priority="2656" operator="containsText" text="o2">
      <formula>NOT(ISERROR(SEARCH("o2",G373)))</formula>
    </cfRule>
    <cfRule type="containsText" dxfId="2606" priority="2657" operator="containsText" text="o1b">
      <formula>NOT(ISERROR(SEARCH("o1b",G373)))</formula>
    </cfRule>
    <cfRule type="containsText" dxfId="2605" priority="2658" operator="containsText" text="o1a">
      <formula>NOT(ISERROR(SEARCH("o1a",G373)))</formula>
    </cfRule>
  </conditionalFormatting>
  <conditionalFormatting sqref="E374:F374 H374 E375:H375">
    <cfRule type="containsText" dxfId="2604" priority="2647" operator="containsText" text="o5">
      <formula>NOT(ISERROR(SEARCH("o5",E374)))</formula>
    </cfRule>
    <cfRule type="containsText" dxfId="2603" priority="2648" operator="containsText" text="o4">
      <formula>NOT(ISERROR(SEARCH("o4",E374)))</formula>
    </cfRule>
    <cfRule type="containsText" dxfId="2602" priority="2649" operator="containsText" text="o3">
      <formula>NOT(ISERROR(SEARCH("o3",E374)))</formula>
    </cfRule>
    <cfRule type="containsText" dxfId="2601" priority="2650" operator="containsText" text="o2">
      <formula>NOT(ISERROR(SEARCH("o2",E374)))</formula>
    </cfRule>
    <cfRule type="containsText" dxfId="2600" priority="2651" operator="containsText" text="o1b">
      <formula>NOT(ISERROR(SEARCH("o1b",E374)))</formula>
    </cfRule>
    <cfRule type="containsText" dxfId="2599" priority="2652" operator="containsText" text="o1a">
      <formula>NOT(ISERROR(SEARCH("o1a",E374)))</formula>
    </cfRule>
  </conditionalFormatting>
  <conditionalFormatting sqref="G374">
    <cfRule type="containsText" dxfId="2598" priority="2641" operator="containsText" text="o5">
      <formula>NOT(ISERROR(SEARCH("o5",G374)))</formula>
    </cfRule>
    <cfRule type="containsText" dxfId="2597" priority="2642" operator="containsText" text="o4">
      <formula>NOT(ISERROR(SEARCH("o4",G374)))</formula>
    </cfRule>
    <cfRule type="containsText" dxfId="2596" priority="2643" operator="containsText" text="o3">
      <formula>NOT(ISERROR(SEARCH("o3",G374)))</formula>
    </cfRule>
    <cfRule type="containsText" dxfId="2595" priority="2644" operator="containsText" text="o2">
      <formula>NOT(ISERROR(SEARCH("o2",G374)))</formula>
    </cfRule>
    <cfRule type="containsText" dxfId="2594" priority="2645" operator="containsText" text="o1b">
      <formula>NOT(ISERROR(SEARCH("o1b",G374)))</formula>
    </cfRule>
    <cfRule type="containsText" dxfId="2593" priority="2646" operator="containsText" text="o1a">
      <formula>NOT(ISERROR(SEARCH("o1a",G374)))</formula>
    </cfRule>
  </conditionalFormatting>
  <conditionalFormatting sqref="G376">
    <cfRule type="containsText" dxfId="2592" priority="2635" operator="containsText" text="o5">
      <formula>NOT(ISERROR(SEARCH("o5",G376)))</formula>
    </cfRule>
    <cfRule type="containsText" dxfId="2591" priority="2636" operator="containsText" text="o4">
      <formula>NOT(ISERROR(SEARCH("o4",G376)))</formula>
    </cfRule>
    <cfRule type="containsText" dxfId="2590" priority="2637" operator="containsText" text="o3">
      <formula>NOT(ISERROR(SEARCH("o3",G376)))</formula>
    </cfRule>
    <cfRule type="containsText" dxfId="2589" priority="2638" operator="containsText" text="o2">
      <formula>NOT(ISERROR(SEARCH("o2",G376)))</formula>
    </cfRule>
    <cfRule type="containsText" dxfId="2588" priority="2639" operator="containsText" text="o1b">
      <formula>NOT(ISERROR(SEARCH("o1b",G376)))</formula>
    </cfRule>
    <cfRule type="containsText" dxfId="2587" priority="2640" operator="containsText" text="o1a">
      <formula>NOT(ISERROR(SEARCH("o1a",G376)))</formula>
    </cfRule>
  </conditionalFormatting>
  <conditionalFormatting sqref="F377">
    <cfRule type="containsText" dxfId="2586" priority="2629" operator="containsText" text="o5">
      <formula>NOT(ISERROR(SEARCH("o5",F377)))</formula>
    </cfRule>
    <cfRule type="containsText" dxfId="2585" priority="2630" operator="containsText" text="o4">
      <formula>NOT(ISERROR(SEARCH("o4",F377)))</formula>
    </cfRule>
    <cfRule type="containsText" dxfId="2584" priority="2631" operator="containsText" text="o3">
      <formula>NOT(ISERROR(SEARCH("o3",F377)))</formula>
    </cfRule>
    <cfRule type="containsText" dxfId="2583" priority="2632" operator="containsText" text="o2">
      <formula>NOT(ISERROR(SEARCH("o2",F377)))</formula>
    </cfRule>
    <cfRule type="containsText" dxfId="2582" priority="2633" operator="containsText" text="o1b">
      <formula>NOT(ISERROR(SEARCH("o1b",F377)))</formula>
    </cfRule>
    <cfRule type="containsText" dxfId="2581" priority="2634" operator="containsText" text="o1a">
      <formula>NOT(ISERROR(SEARCH("o1a",F377)))</formula>
    </cfRule>
  </conditionalFormatting>
  <conditionalFormatting sqref="E380:F380 H380 E381 G381:H381">
    <cfRule type="containsText" dxfId="2580" priority="2623" operator="containsText" text="o5">
      <formula>NOT(ISERROR(SEARCH("o5",E380)))</formula>
    </cfRule>
    <cfRule type="containsText" dxfId="2579" priority="2624" operator="containsText" text="o4">
      <formula>NOT(ISERROR(SEARCH("o4",E380)))</formula>
    </cfRule>
    <cfRule type="containsText" dxfId="2578" priority="2625" operator="containsText" text="o3">
      <formula>NOT(ISERROR(SEARCH("o3",E380)))</formula>
    </cfRule>
    <cfRule type="containsText" dxfId="2577" priority="2626" operator="containsText" text="o2">
      <formula>NOT(ISERROR(SEARCH("o2",E380)))</formula>
    </cfRule>
    <cfRule type="containsText" dxfId="2576" priority="2627" operator="containsText" text="o1b">
      <formula>NOT(ISERROR(SEARCH("o1b",E380)))</formula>
    </cfRule>
    <cfRule type="containsText" dxfId="2575" priority="2628" operator="containsText" text="o1a">
      <formula>NOT(ISERROR(SEARCH("o1a",E380)))</formula>
    </cfRule>
  </conditionalFormatting>
  <conditionalFormatting sqref="E378:F378 H378 E379:H379">
    <cfRule type="containsText" dxfId="2574" priority="2617" operator="containsText" text="o5">
      <formula>NOT(ISERROR(SEARCH("o5",E378)))</formula>
    </cfRule>
    <cfRule type="containsText" dxfId="2573" priority="2618" operator="containsText" text="o4">
      <formula>NOT(ISERROR(SEARCH("o4",E378)))</formula>
    </cfRule>
    <cfRule type="containsText" dxfId="2572" priority="2619" operator="containsText" text="o3">
      <formula>NOT(ISERROR(SEARCH("o3",E378)))</formula>
    </cfRule>
    <cfRule type="containsText" dxfId="2571" priority="2620" operator="containsText" text="o2">
      <formula>NOT(ISERROR(SEARCH("o2",E378)))</formula>
    </cfRule>
    <cfRule type="containsText" dxfId="2570" priority="2621" operator="containsText" text="o1b">
      <formula>NOT(ISERROR(SEARCH("o1b",E378)))</formula>
    </cfRule>
    <cfRule type="containsText" dxfId="2569" priority="2622" operator="containsText" text="o1a">
      <formula>NOT(ISERROR(SEARCH("o1a",E378)))</formula>
    </cfRule>
  </conditionalFormatting>
  <conditionalFormatting sqref="G378">
    <cfRule type="containsText" dxfId="2568" priority="2611" operator="containsText" text="o5">
      <formula>NOT(ISERROR(SEARCH("o5",G378)))</formula>
    </cfRule>
    <cfRule type="containsText" dxfId="2567" priority="2612" operator="containsText" text="o4">
      <formula>NOT(ISERROR(SEARCH("o4",G378)))</formula>
    </cfRule>
    <cfRule type="containsText" dxfId="2566" priority="2613" operator="containsText" text="o3">
      <formula>NOT(ISERROR(SEARCH("o3",G378)))</formula>
    </cfRule>
    <cfRule type="containsText" dxfId="2565" priority="2614" operator="containsText" text="o2">
      <formula>NOT(ISERROR(SEARCH("o2",G378)))</formula>
    </cfRule>
    <cfRule type="containsText" dxfId="2564" priority="2615" operator="containsText" text="o1b">
      <formula>NOT(ISERROR(SEARCH("o1b",G378)))</formula>
    </cfRule>
    <cfRule type="containsText" dxfId="2563" priority="2616" operator="containsText" text="o1a">
      <formula>NOT(ISERROR(SEARCH("o1a",G378)))</formula>
    </cfRule>
  </conditionalFormatting>
  <conditionalFormatting sqref="G380">
    <cfRule type="containsText" dxfId="2562" priority="2605" operator="containsText" text="o5">
      <formula>NOT(ISERROR(SEARCH("o5",G380)))</formula>
    </cfRule>
    <cfRule type="containsText" dxfId="2561" priority="2606" operator="containsText" text="o4">
      <formula>NOT(ISERROR(SEARCH("o4",G380)))</formula>
    </cfRule>
    <cfRule type="containsText" dxfId="2560" priority="2607" operator="containsText" text="o3">
      <formula>NOT(ISERROR(SEARCH("o3",G380)))</formula>
    </cfRule>
    <cfRule type="containsText" dxfId="2559" priority="2608" operator="containsText" text="o2">
      <formula>NOT(ISERROR(SEARCH("o2",G380)))</formula>
    </cfRule>
    <cfRule type="containsText" dxfId="2558" priority="2609" operator="containsText" text="o1b">
      <formula>NOT(ISERROR(SEARCH("o1b",G380)))</formula>
    </cfRule>
    <cfRule type="containsText" dxfId="2557" priority="2610" operator="containsText" text="o1a">
      <formula>NOT(ISERROR(SEARCH("o1a",G380)))</formula>
    </cfRule>
  </conditionalFormatting>
  <conditionalFormatting sqref="F381">
    <cfRule type="containsText" dxfId="2556" priority="2599" operator="containsText" text="o5">
      <formula>NOT(ISERROR(SEARCH("o5",F381)))</formula>
    </cfRule>
    <cfRule type="containsText" dxfId="2555" priority="2600" operator="containsText" text="o4">
      <formula>NOT(ISERROR(SEARCH("o4",F381)))</formula>
    </cfRule>
    <cfRule type="containsText" dxfId="2554" priority="2601" operator="containsText" text="o3">
      <formula>NOT(ISERROR(SEARCH("o3",F381)))</formula>
    </cfRule>
    <cfRule type="containsText" dxfId="2553" priority="2602" operator="containsText" text="o2">
      <formula>NOT(ISERROR(SEARCH("o2",F381)))</formula>
    </cfRule>
    <cfRule type="containsText" dxfId="2552" priority="2603" operator="containsText" text="o1b">
      <formula>NOT(ISERROR(SEARCH("o1b",F381)))</formula>
    </cfRule>
    <cfRule type="containsText" dxfId="2551" priority="2604" operator="containsText" text="o1a">
      <formula>NOT(ISERROR(SEARCH("o1a",F381)))</formula>
    </cfRule>
  </conditionalFormatting>
  <conditionalFormatting sqref="E392:H393 E388:F388 H388 F391:H391 E397:H397 E394:F394 H394 E398:F398 E399:E400 H398:H400 E413:E414">
    <cfRule type="containsText" dxfId="2550" priority="2593" operator="containsText" text="o5">
      <formula>NOT(ISERROR(SEARCH("o5",E388)))</formula>
    </cfRule>
    <cfRule type="containsText" dxfId="2549" priority="2594" operator="containsText" text="o4">
      <formula>NOT(ISERROR(SEARCH("o4",E388)))</formula>
    </cfRule>
    <cfRule type="containsText" dxfId="2548" priority="2595" operator="containsText" text="o3">
      <formula>NOT(ISERROR(SEARCH("o3",E388)))</formula>
    </cfRule>
    <cfRule type="containsText" dxfId="2547" priority="2596" operator="containsText" text="o2">
      <formula>NOT(ISERROR(SEARCH("o2",E388)))</formula>
    </cfRule>
    <cfRule type="containsText" dxfId="2546" priority="2597" operator="containsText" text="o1b">
      <formula>NOT(ISERROR(SEARCH("o1b",E388)))</formula>
    </cfRule>
    <cfRule type="containsText" dxfId="2545" priority="2598" operator="containsText" text="o1a">
      <formula>NOT(ISERROR(SEARCH("o1a",E388)))</formula>
    </cfRule>
  </conditionalFormatting>
  <conditionalFormatting sqref="G385">
    <cfRule type="containsText" dxfId="2544" priority="2587" operator="containsText" text="o5">
      <formula>NOT(ISERROR(SEARCH("o5",G385)))</formula>
    </cfRule>
    <cfRule type="containsText" dxfId="2543" priority="2588" operator="containsText" text="o4">
      <formula>NOT(ISERROR(SEARCH("o4",G385)))</formula>
    </cfRule>
    <cfRule type="containsText" dxfId="2542" priority="2589" operator="containsText" text="o3">
      <formula>NOT(ISERROR(SEARCH("o3",G385)))</formula>
    </cfRule>
    <cfRule type="containsText" dxfId="2541" priority="2590" operator="containsText" text="o2">
      <formula>NOT(ISERROR(SEARCH("o2",G385)))</formula>
    </cfRule>
    <cfRule type="containsText" dxfId="2540" priority="2591" operator="containsText" text="o1b">
      <formula>NOT(ISERROR(SEARCH("o1b",G385)))</formula>
    </cfRule>
    <cfRule type="containsText" dxfId="2539" priority="2592" operator="containsText" text="o1a">
      <formula>NOT(ISERROR(SEARCH("o1a",G385)))</formula>
    </cfRule>
  </conditionalFormatting>
  <conditionalFormatting sqref="G388">
    <cfRule type="containsText" dxfId="2538" priority="2569" operator="containsText" text="o5">
      <formula>NOT(ISERROR(SEARCH("o5",G388)))</formula>
    </cfRule>
    <cfRule type="containsText" dxfId="2537" priority="2570" operator="containsText" text="o4">
      <formula>NOT(ISERROR(SEARCH("o4",G388)))</formula>
    </cfRule>
    <cfRule type="containsText" dxfId="2536" priority="2571" operator="containsText" text="o3">
      <formula>NOT(ISERROR(SEARCH("o3",G388)))</formula>
    </cfRule>
    <cfRule type="containsText" dxfId="2535" priority="2572" operator="containsText" text="o2">
      <formula>NOT(ISERROR(SEARCH("o2",G388)))</formula>
    </cfRule>
    <cfRule type="containsText" dxfId="2534" priority="2573" operator="containsText" text="o1b">
      <formula>NOT(ISERROR(SEARCH("o1b",G388)))</formula>
    </cfRule>
    <cfRule type="containsText" dxfId="2533" priority="2574" operator="containsText" text="o1a">
      <formula>NOT(ISERROR(SEARCH("o1a",G388)))</formula>
    </cfRule>
  </conditionalFormatting>
  <conditionalFormatting sqref="F387">
    <cfRule type="containsText" dxfId="2532" priority="2575" operator="containsText" text="o5">
      <formula>NOT(ISERROR(SEARCH("o5",F387)))</formula>
    </cfRule>
    <cfRule type="containsText" dxfId="2531" priority="2576" operator="containsText" text="o4">
      <formula>NOT(ISERROR(SEARCH("o4",F387)))</formula>
    </cfRule>
    <cfRule type="containsText" dxfId="2530" priority="2577" operator="containsText" text="o3">
      <formula>NOT(ISERROR(SEARCH("o3",F387)))</formula>
    </cfRule>
    <cfRule type="containsText" dxfId="2529" priority="2578" operator="containsText" text="o2">
      <formula>NOT(ISERROR(SEARCH("o2",F387)))</formula>
    </cfRule>
    <cfRule type="containsText" dxfId="2528" priority="2579" operator="containsText" text="o1b">
      <formula>NOT(ISERROR(SEARCH("o1b",F387)))</formula>
    </cfRule>
    <cfRule type="containsText" dxfId="2527" priority="2580" operator="containsText" text="o1a">
      <formula>NOT(ISERROR(SEARCH("o1a",F387)))</formula>
    </cfRule>
  </conditionalFormatting>
  <conditionalFormatting sqref="G414">
    <cfRule type="containsText" dxfId="2526" priority="2413" operator="containsText" text="o5">
      <formula>NOT(ISERROR(SEARCH("o5",G414)))</formula>
    </cfRule>
    <cfRule type="containsText" dxfId="2525" priority="2414" operator="containsText" text="o4">
      <formula>NOT(ISERROR(SEARCH("o4",G414)))</formula>
    </cfRule>
    <cfRule type="containsText" dxfId="2524" priority="2415" operator="containsText" text="o3">
      <formula>NOT(ISERROR(SEARCH("o3",G414)))</formula>
    </cfRule>
    <cfRule type="containsText" dxfId="2523" priority="2416" operator="containsText" text="o2">
      <formula>NOT(ISERROR(SEARCH("o2",G414)))</formula>
    </cfRule>
    <cfRule type="containsText" dxfId="2522" priority="2417" operator="containsText" text="o1b">
      <formula>NOT(ISERROR(SEARCH("o1b",G414)))</formula>
    </cfRule>
    <cfRule type="containsText" dxfId="2521" priority="2418" operator="containsText" text="o1a">
      <formula>NOT(ISERROR(SEARCH("o1a",G414)))</formula>
    </cfRule>
  </conditionalFormatting>
  <conditionalFormatting sqref="E102:H102 E103 G103:H103">
    <cfRule type="containsText" dxfId="2520" priority="2563" operator="containsText" text="o5">
      <formula>NOT(ISERROR(SEARCH("o5",E102)))</formula>
    </cfRule>
    <cfRule type="containsText" dxfId="2519" priority="2564" operator="containsText" text="o4">
      <formula>NOT(ISERROR(SEARCH("o4",E102)))</formula>
    </cfRule>
    <cfRule type="containsText" dxfId="2518" priority="2565" operator="containsText" text="o3">
      <formula>NOT(ISERROR(SEARCH("o3",E102)))</formula>
    </cfRule>
    <cfRule type="containsText" dxfId="2517" priority="2566" operator="containsText" text="o2">
      <formula>NOT(ISERROR(SEARCH("o2",E102)))</formula>
    </cfRule>
    <cfRule type="containsText" dxfId="2516" priority="2567" operator="containsText" text="o1b">
      <formula>NOT(ISERROR(SEARCH("o1b",E102)))</formula>
    </cfRule>
    <cfRule type="containsText" dxfId="2515" priority="2568" operator="containsText" text="o1a">
      <formula>NOT(ISERROR(SEARCH("o1a",E102)))</formula>
    </cfRule>
  </conditionalFormatting>
  <conditionalFormatting sqref="F103">
    <cfRule type="containsText" dxfId="2514" priority="2557" operator="containsText" text="o5">
      <formula>NOT(ISERROR(SEARCH("o5",F103)))</formula>
    </cfRule>
    <cfRule type="containsText" dxfId="2513" priority="2558" operator="containsText" text="o4">
      <formula>NOT(ISERROR(SEARCH("o4",F103)))</formula>
    </cfRule>
    <cfRule type="containsText" dxfId="2512" priority="2559" operator="containsText" text="o3">
      <formula>NOT(ISERROR(SEARCH("o3",F103)))</formula>
    </cfRule>
    <cfRule type="containsText" dxfId="2511" priority="2560" operator="containsText" text="o2">
      <formula>NOT(ISERROR(SEARCH("o2",F103)))</formula>
    </cfRule>
    <cfRule type="containsText" dxfId="2510" priority="2561" operator="containsText" text="o1b">
      <formula>NOT(ISERROR(SEARCH("o1b",F103)))</formula>
    </cfRule>
    <cfRule type="containsText" dxfId="2509" priority="2562" operator="containsText" text="o1a">
      <formula>NOT(ISERROR(SEARCH("o1a",F103)))</formula>
    </cfRule>
  </conditionalFormatting>
  <conditionalFormatting sqref="E389:F389 H389 E390:H390">
    <cfRule type="containsText" dxfId="2508" priority="2551" operator="containsText" text="o5">
      <formula>NOT(ISERROR(SEARCH("o5",E389)))</formula>
    </cfRule>
    <cfRule type="containsText" dxfId="2507" priority="2552" operator="containsText" text="o4">
      <formula>NOT(ISERROR(SEARCH("o4",E389)))</formula>
    </cfRule>
    <cfRule type="containsText" dxfId="2506" priority="2553" operator="containsText" text="o3">
      <formula>NOT(ISERROR(SEARCH("o3",E389)))</formula>
    </cfRule>
    <cfRule type="containsText" dxfId="2505" priority="2554" operator="containsText" text="o2">
      <formula>NOT(ISERROR(SEARCH("o2",E389)))</formula>
    </cfRule>
    <cfRule type="containsText" dxfId="2504" priority="2555" operator="containsText" text="o1b">
      <formula>NOT(ISERROR(SEARCH("o1b",E389)))</formula>
    </cfRule>
    <cfRule type="containsText" dxfId="2503" priority="2556" operator="containsText" text="o1a">
      <formula>NOT(ISERROR(SEARCH("o1a",E389)))</formula>
    </cfRule>
  </conditionalFormatting>
  <conditionalFormatting sqref="G389">
    <cfRule type="containsText" dxfId="2502" priority="2545" operator="containsText" text="o5">
      <formula>NOT(ISERROR(SEARCH("o5",G389)))</formula>
    </cfRule>
    <cfRule type="containsText" dxfId="2501" priority="2546" operator="containsText" text="o4">
      <formula>NOT(ISERROR(SEARCH("o4",G389)))</formula>
    </cfRule>
    <cfRule type="containsText" dxfId="2500" priority="2547" operator="containsText" text="o3">
      <formula>NOT(ISERROR(SEARCH("o3",G389)))</formula>
    </cfRule>
    <cfRule type="containsText" dxfId="2499" priority="2548" operator="containsText" text="o2">
      <formula>NOT(ISERROR(SEARCH("o2",G389)))</formula>
    </cfRule>
    <cfRule type="containsText" dxfId="2498" priority="2549" operator="containsText" text="o1b">
      <formula>NOT(ISERROR(SEARCH("o1b",G389)))</formula>
    </cfRule>
    <cfRule type="containsText" dxfId="2497" priority="2550" operator="containsText" text="o1a">
      <formula>NOT(ISERROR(SEARCH("o1a",G389)))</formula>
    </cfRule>
  </conditionalFormatting>
  <conditionalFormatting sqref="E391">
    <cfRule type="containsText" dxfId="2496" priority="2539" operator="containsText" text="o5">
      <formula>NOT(ISERROR(SEARCH("o5",E391)))</formula>
    </cfRule>
    <cfRule type="containsText" dxfId="2495" priority="2540" operator="containsText" text="o4">
      <formula>NOT(ISERROR(SEARCH("o4",E391)))</formula>
    </cfRule>
    <cfRule type="containsText" dxfId="2494" priority="2541" operator="containsText" text="o3">
      <formula>NOT(ISERROR(SEARCH("o3",E391)))</formula>
    </cfRule>
    <cfRule type="containsText" dxfId="2493" priority="2542" operator="containsText" text="o2">
      <formula>NOT(ISERROR(SEARCH("o2",E391)))</formula>
    </cfRule>
    <cfRule type="containsText" dxfId="2492" priority="2543" operator="containsText" text="o1b">
      <formula>NOT(ISERROR(SEARCH("o1b",E391)))</formula>
    </cfRule>
    <cfRule type="containsText" dxfId="2491" priority="2544" operator="containsText" text="o1a">
      <formula>NOT(ISERROR(SEARCH("o1a",E391)))</formula>
    </cfRule>
  </conditionalFormatting>
  <conditionalFormatting sqref="G394">
    <cfRule type="containsText" dxfId="2490" priority="2533" operator="containsText" text="o5">
      <formula>NOT(ISERROR(SEARCH("o5",G394)))</formula>
    </cfRule>
    <cfRule type="containsText" dxfId="2489" priority="2534" operator="containsText" text="o4">
      <formula>NOT(ISERROR(SEARCH("o4",G394)))</formula>
    </cfRule>
    <cfRule type="containsText" dxfId="2488" priority="2535" operator="containsText" text="o3">
      <formula>NOT(ISERROR(SEARCH("o3",G394)))</formula>
    </cfRule>
    <cfRule type="containsText" dxfId="2487" priority="2536" operator="containsText" text="o2">
      <formula>NOT(ISERROR(SEARCH("o2",G394)))</formula>
    </cfRule>
    <cfRule type="containsText" dxfId="2486" priority="2537" operator="containsText" text="o1b">
      <formula>NOT(ISERROR(SEARCH("o1b",G394)))</formula>
    </cfRule>
    <cfRule type="containsText" dxfId="2485" priority="2538" operator="containsText" text="o1a">
      <formula>NOT(ISERROR(SEARCH("o1a",G394)))</formula>
    </cfRule>
  </conditionalFormatting>
  <conditionalFormatting sqref="E395:F395 H395 E396:H396">
    <cfRule type="containsText" dxfId="2484" priority="2527" operator="containsText" text="o5">
      <formula>NOT(ISERROR(SEARCH("o5",E395)))</formula>
    </cfRule>
    <cfRule type="containsText" dxfId="2483" priority="2528" operator="containsText" text="o4">
      <formula>NOT(ISERROR(SEARCH("o4",E395)))</formula>
    </cfRule>
    <cfRule type="containsText" dxfId="2482" priority="2529" operator="containsText" text="o3">
      <formula>NOT(ISERROR(SEARCH("o3",E395)))</formula>
    </cfRule>
    <cfRule type="containsText" dxfId="2481" priority="2530" operator="containsText" text="o2">
      <formula>NOT(ISERROR(SEARCH("o2",E395)))</formula>
    </cfRule>
    <cfRule type="containsText" dxfId="2480" priority="2531" operator="containsText" text="o1b">
      <formula>NOT(ISERROR(SEARCH("o1b",E395)))</formula>
    </cfRule>
    <cfRule type="containsText" dxfId="2479" priority="2532" operator="containsText" text="o1a">
      <formula>NOT(ISERROR(SEARCH("o1a",E395)))</formula>
    </cfRule>
  </conditionalFormatting>
  <conditionalFormatting sqref="G395">
    <cfRule type="containsText" dxfId="2478" priority="2521" operator="containsText" text="o5">
      <formula>NOT(ISERROR(SEARCH("o5",G395)))</formula>
    </cfRule>
    <cfRule type="containsText" dxfId="2477" priority="2522" operator="containsText" text="o4">
      <formula>NOT(ISERROR(SEARCH("o4",G395)))</formula>
    </cfRule>
    <cfRule type="containsText" dxfId="2476" priority="2523" operator="containsText" text="o3">
      <formula>NOT(ISERROR(SEARCH("o3",G395)))</formula>
    </cfRule>
    <cfRule type="containsText" dxfId="2475" priority="2524" operator="containsText" text="o2">
      <formula>NOT(ISERROR(SEARCH("o2",G395)))</formula>
    </cfRule>
    <cfRule type="containsText" dxfId="2474" priority="2525" operator="containsText" text="o1b">
      <formula>NOT(ISERROR(SEARCH("o1b",G395)))</formula>
    </cfRule>
    <cfRule type="containsText" dxfId="2473" priority="2526" operator="containsText" text="o1a">
      <formula>NOT(ISERROR(SEARCH("o1a",G395)))</formula>
    </cfRule>
  </conditionalFormatting>
  <conditionalFormatting sqref="G398">
    <cfRule type="containsText" dxfId="2472" priority="2515" operator="containsText" text="o5">
      <formula>NOT(ISERROR(SEARCH("o5",G398)))</formula>
    </cfRule>
    <cfRule type="containsText" dxfId="2471" priority="2516" operator="containsText" text="o4">
      <formula>NOT(ISERROR(SEARCH("o4",G398)))</formula>
    </cfRule>
    <cfRule type="containsText" dxfId="2470" priority="2517" operator="containsText" text="o3">
      <formula>NOT(ISERROR(SEARCH("o3",G398)))</formula>
    </cfRule>
    <cfRule type="containsText" dxfId="2469" priority="2518" operator="containsText" text="o2">
      <formula>NOT(ISERROR(SEARCH("o2",G398)))</formula>
    </cfRule>
    <cfRule type="containsText" dxfId="2468" priority="2519" operator="containsText" text="o1b">
      <formula>NOT(ISERROR(SEARCH("o1b",G398)))</formula>
    </cfRule>
    <cfRule type="containsText" dxfId="2467" priority="2520" operator="containsText" text="o1a">
      <formula>NOT(ISERROR(SEARCH("o1a",G398)))</formula>
    </cfRule>
  </conditionalFormatting>
  <conditionalFormatting sqref="F399:G399 F400">
    <cfRule type="containsText" dxfId="2466" priority="2509" operator="containsText" text="o5">
      <formula>NOT(ISERROR(SEARCH("o5",F399)))</formula>
    </cfRule>
    <cfRule type="containsText" dxfId="2465" priority="2510" operator="containsText" text="o4">
      <formula>NOT(ISERROR(SEARCH("o4",F399)))</formula>
    </cfRule>
    <cfRule type="containsText" dxfId="2464" priority="2511" operator="containsText" text="o3">
      <formula>NOT(ISERROR(SEARCH("o3",F399)))</formula>
    </cfRule>
    <cfRule type="containsText" dxfId="2463" priority="2512" operator="containsText" text="o2">
      <formula>NOT(ISERROR(SEARCH("o2",F399)))</formula>
    </cfRule>
    <cfRule type="containsText" dxfId="2462" priority="2513" operator="containsText" text="o1b">
      <formula>NOT(ISERROR(SEARCH("o1b",F399)))</formula>
    </cfRule>
    <cfRule type="containsText" dxfId="2461" priority="2514" operator="containsText" text="o1a">
      <formula>NOT(ISERROR(SEARCH("o1a",F399)))</formula>
    </cfRule>
  </conditionalFormatting>
  <conditionalFormatting sqref="G400">
    <cfRule type="containsText" dxfId="2460" priority="2503" operator="containsText" text="o5">
      <formula>NOT(ISERROR(SEARCH("o5",G400)))</formula>
    </cfRule>
    <cfRule type="containsText" dxfId="2459" priority="2504" operator="containsText" text="o4">
      <formula>NOT(ISERROR(SEARCH("o4",G400)))</formula>
    </cfRule>
    <cfRule type="containsText" dxfId="2458" priority="2505" operator="containsText" text="o3">
      <formula>NOT(ISERROR(SEARCH("o3",G400)))</formula>
    </cfRule>
    <cfRule type="containsText" dxfId="2457" priority="2506" operator="containsText" text="o2">
      <formula>NOT(ISERROR(SEARCH("o2",G400)))</formula>
    </cfRule>
    <cfRule type="containsText" dxfId="2456" priority="2507" operator="containsText" text="o1b">
      <formula>NOT(ISERROR(SEARCH("o1b",G400)))</formula>
    </cfRule>
    <cfRule type="containsText" dxfId="2455" priority="2508" operator="containsText" text="o1a">
      <formula>NOT(ISERROR(SEARCH("o1a",G400)))</formula>
    </cfRule>
  </conditionalFormatting>
  <conditionalFormatting sqref="E403:H403 E404:F404 H404">
    <cfRule type="containsText" dxfId="2454" priority="2497" operator="containsText" text="o5">
      <formula>NOT(ISERROR(SEARCH("o5",E403)))</formula>
    </cfRule>
    <cfRule type="containsText" dxfId="2453" priority="2498" operator="containsText" text="o4">
      <formula>NOT(ISERROR(SEARCH("o4",E403)))</formula>
    </cfRule>
    <cfRule type="containsText" dxfId="2452" priority="2499" operator="containsText" text="o3">
      <formula>NOT(ISERROR(SEARCH("o3",E403)))</formula>
    </cfRule>
    <cfRule type="containsText" dxfId="2451" priority="2500" operator="containsText" text="o2">
      <formula>NOT(ISERROR(SEARCH("o2",E403)))</formula>
    </cfRule>
    <cfRule type="containsText" dxfId="2450" priority="2501" operator="containsText" text="o1b">
      <formula>NOT(ISERROR(SEARCH("o1b",E403)))</formula>
    </cfRule>
    <cfRule type="containsText" dxfId="2449" priority="2502" operator="containsText" text="o1a">
      <formula>NOT(ISERROR(SEARCH("o1a",E403)))</formula>
    </cfRule>
  </conditionalFormatting>
  <conditionalFormatting sqref="E401:F401 H401 E402:H402">
    <cfRule type="containsText" dxfId="2448" priority="2491" operator="containsText" text="o5">
      <formula>NOT(ISERROR(SEARCH("o5",E401)))</formula>
    </cfRule>
    <cfRule type="containsText" dxfId="2447" priority="2492" operator="containsText" text="o4">
      <formula>NOT(ISERROR(SEARCH("o4",E401)))</formula>
    </cfRule>
    <cfRule type="containsText" dxfId="2446" priority="2493" operator="containsText" text="o3">
      <formula>NOT(ISERROR(SEARCH("o3",E401)))</formula>
    </cfRule>
    <cfRule type="containsText" dxfId="2445" priority="2494" operator="containsText" text="o2">
      <formula>NOT(ISERROR(SEARCH("o2",E401)))</formula>
    </cfRule>
    <cfRule type="containsText" dxfId="2444" priority="2495" operator="containsText" text="o1b">
      <formula>NOT(ISERROR(SEARCH("o1b",E401)))</formula>
    </cfRule>
    <cfRule type="containsText" dxfId="2443" priority="2496" operator="containsText" text="o1a">
      <formula>NOT(ISERROR(SEARCH("o1a",E401)))</formula>
    </cfRule>
  </conditionalFormatting>
  <conditionalFormatting sqref="G401">
    <cfRule type="containsText" dxfId="2442" priority="2485" operator="containsText" text="o5">
      <formula>NOT(ISERROR(SEARCH("o5",G401)))</formula>
    </cfRule>
    <cfRule type="containsText" dxfId="2441" priority="2486" operator="containsText" text="o4">
      <formula>NOT(ISERROR(SEARCH("o4",G401)))</formula>
    </cfRule>
    <cfRule type="containsText" dxfId="2440" priority="2487" operator="containsText" text="o3">
      <formula>NOT(ISERROR(SEARCH("o3",G401)))</formula>
    </cfRule>
    <cfRule type="containsText" dxfId="2439" priority="2488" operator="containsText" text="o2">
      <formula>NOT(ISERROR(SEARCH("o2",G401)))</formula>
    </cfRule>
    <cfRule type="containsText" dxfId="2438" priority="2489" operator="containsText" text="o1b">
      <formula>NOT(ISERROR(SEARCH("o1b",G401)))</formula>
    </cfRule>
    <cfRule type="containsText" dxfId="2437" priority="2490" operator="containsText" text="o1a">
      <formula>NOT(ISERROR(SEARCH("o1a",G401)))</formula>
    </cfRule>
  </conditionalFormatting>
  <conditionalFormatting sqref="G404">
    <cfRule type="containsText" dxfId="2436" priority="2479" operator="containsText" text="o5">
      <formula>NOT(ISERROR(SEARCH("o5",G404)))</formula>
    </cfRule>
    <cfRule type="containsText" dxfId="2435" priority="2480" operator="containsText" text="o4">
      <formula>NOT(ISERROR(SEARCH("o4",G404)))</formula>
    </cfRule>
    <cfRule type="containsText" dxfId="2434" priority="2481" operator="containsText" text="o3">
      <formula>NOT(ISERROR(SEARCH("o3",G404)))</formula>
    </cfRule>
    <cfRule type="containsText" dxfId="2433" priority="2482" operator="containsText" text="o2">
      <formula>NOT(ISERROR(SEARCH("o2",G404)))</formula>
    </cfRule>
    <cfRule type="containsText" dxfId="2432" priority="2483" operator="containsText" text="o1b">
      <formula>NOT(ISERROR(SEARCH("o1b",G404)))</formula>
    </cfRule>
    <cfRule type="containsText" dxfId="2431" priority="2484" operator="containsText" text="o1a">
      <formula>NOT(ISERROR(SEARCH("o1a",G404)))</formula>
    </cfRule>
  </conditionalFormatting>
  <conditionalFormatting sqref="E407:H407 E408:F408 H408">
    <cfRule type="containsText" dxfId="2430" priority="2473" operator="containsText" text="o5">
      <formula>NOT(ISERROR(SEARCH("o5",E407)))</formula>
    </cfRule>
    <cfRule type="containsText" dxfId="2429" priority="2474" operator="containsText" text="o4">
      <formula>NOT(ISERROR(SEARCH("o4",E407)))</formula>
    </cfRule>
    <cfRule type="containsText" dxfId="2428" priority="2475" operator="containsText" text="o3">
      <formula>NOT(ISERROR(SEARCH("o3",E407)))</formula>
    </cfRule>
    <cfRule type="containsText" dxfId="2427" priority="2476" operator="containsText" text="o2">
      <formula>NOT(ISERROR(SEARCH("o2",E407)))</formula>
    </cfRule>
    <cfRule type="containsText" dxfId="2426" priority="2477" operator="containsText" text="o1b">
      <formula>NOT(ISERROR(SEARCH("o1b",E407)))</formula>
    </cfRule>
    <cfRule type="containsText" dxfId="2425" priority="2478" operator="containsText" text="o1a">
      <formula>NOT(ISERROR(SEARCH("o1a",E407)))</formula>
    </cfRule>
  </conditionalFormatting>
  <conditionalFormatting sqref="E405:F405 H405 E406:H406">
    <cfRule type="containsText" dxfId="2424" priority="2467" operator="containsText" text="o5">
      <formula>NOT(ISERROR(SEARCH("o5",E405)))</formula>
    </cfRule>
    <cfRule type="containsText" dxfId="2423" priority="2468" operator="containsText" text="o4">
      <formula>NOT(ISERROR(SEARCH("o4",E405)))</formula>
    </cfRule>
    <cfRule type="containsText" dxfId="2422" priority="2469" operator="containsText" text="o3">
      <formula>NOT(ISERROR(SEARCH("o3",E405)))</formula>
    </cfRule>
    <cfRule type="containsText" dxfId="2421" priority="2470" operator="containsText" text="o2">
      <formula>NOT(ISERROR(SEARCH("o2",E405)))</formula>
    </cfRule>
    <cfRule type="containsText" dxfId="2420" priority="2471" operator="containsText" text="o1b">
      <formula>NOT(ISERROR(SEARCH("o1b",E405)))</formula>
    </cfRule>
    <cfRule type="containsText" dxfId="2419" priority="2472" operator="containsText" text="o1a">
      <formula>NOT(ISERROR(SEARCH("o1a",E405)))</formula>
    </cfRule>
  </conditionalFormatting>
  <conditionalFormatting sqref="G405">
    <cfRule type="containsText" dxfId="2418" priority="2461" operator="containsText" text="o5">
      <formula>NOT(ISERROR(SEARCH("o5",G405)))</formula>
    </cfRule>
    <cfRule type="containsText" dxfId="2417" priority="2462" operator="containsText" text="o4">
      <formula>NOT(ISERROR(SEARCH("o4",G405)))</formula>
    </cfRule>
    <cfRule type="containsText" dxfId="2416" priority="2463" operator="containsText" text="o3">
      <formula>NOT(ISERROR(SEARCH("o3",G405)))</formula>
    </cfRule>
    <cfRule type="containsText" dxfId="2415" priority="2464" operator="containsText" text="o2">
      <formula>NOT(ISERROR(SEARCH("o2",G405)))</formula>
    </cfRule>
    <cfRule type="containsText" dxfId="2414" priority="2465" operator="containsText" text="o1b">
      <formula>NOT(ISERROR(SEARCH("o1b",G405)))</formula>
    </cfRule>
    <cfRule type="containsText" dxfId="2413" priority="2466" operator="containsText" text="o1a">
      <formula>NOT(ISERROR(SEARCH("o1a",G405)))</formula>
    </cfRule>
  </conditionalFormatting>
  <conditionalFormatting sqref="G408">
    <cfRule type="containsText" dxfId="2412" priority="2455" operator="containsText" text="o5">
      <formula>NOT(ISERROR(SEARCH("o5",G408)))</formula>
    </cfRule>
    <cfRule type="containsText" dxfId="2411" priority="2456" operator="containsText" text="o4">
      <formula>NOT(ISERROR(SEARCH("o4",G408)))</formula>
    </cfRule>
    <cfRule type="containsText" dxfId="2410" priority="2457" operator="containsText" text="o3">
      <formula>NOT(ISERROR(SEARCH("o3",G408)))</formula>
    </cfRule>
    <cfRule type="containsText" dxfId="2409" priority="2458" operator="containsText" text="o2">
      <formula>NOT(ISERROR(SEARCH("o2",G408)))</formula>
    </cfRule>
    <cfRule type="containsText" dxfId="2408" priority="2459" operator="containsText" text="o1b">
      <formula>NOT(ISERROR(SEARCH("o1b",G408)))</formula>
    </cfRule>
    <cfRule type="containsText" dxfId="2407" priority="2460" operator="containsText" text="o1a">
      <formula>NOT(ISERROR(SEARCH("o1a",G408)))</formula>
    </cfRule>
  </conditionalFormatting>
  <conditionalFormatting sqref="E411:H411 E412:F412 H412">
    <cfRule type="containsText" dxfId="2406" priority="2449" operator="containsText" text="o5">
      <formula>NOT(ISERROR(SEARCH("o5",E411)))</formula>
    </cfRule>
    <cfRule type="containsText" dxfId="2405" priority="2450" operator="containsText" text="o4">
      <formula>NOT(ISERROR(SEARCH("o4",E411)))</formula>
    </cfRule>
    <cfRule type="containsText" dxfId="2404" priority="2451" operator="containsText" text="o3">
      <formula>NOT(ISERROR(SEARCH("o3",E411)))</formula>
    </cfRule>
    <cfRule type="containsText" dxfId="2403" priority="2452" operator="containsText" text="o2">
      <formula>NOT(ISERROR(SEARCH("o2",E411)))</formula>
    </cfRule>
    <cfRule type="containsText" dxfId="2402" priority="2453" operator="containsText" text="o1b">
      <formula>NOT(ISERROR(SEARCH("o1b",E411)))</formula>
    </cfRule>
    <cfRule type="containsText" dxfId="2401" priority="2454" operator="containsText" text="o1a">
      <formula>NOT(ISERROR(SEARCH("o1a",E411)))</formula>
    </cfRule>
  </conditionalFormatting>
  <conditionalFormatting sqref="E409:F409 H409 E410:H410">
    <cfRule type="containsText" dxfId="2400" priority="2443" operator="containsText" text="o5">
      <formula>NOT(ISERROR(SEARCH("o5",E409)))</formula>
    </cfRule>
    <cfRule type="containsText" dxfId="2399" priority="2444" operator="containsText" text="o4">
      <formula>NOT(ISERROR(SEARCH("o4",E409)))</formula>
    </cfRule>
    <cfRule type="containsText" dxfId="2398" priority="2445" operator="containsText" text="o3">
      <formula>NOT(ISERROR(SEARCH("o3",E409)))</formula>
    </cfRule>
    <cfRule type="containsText" dxfId="2397" priority="2446" operator="containsText" text="o2">
      <formula>NOT(ISERROR(SEARCH("o2",E409)))</formula>
    </cfRule>
    <cfRule type="containsText" dxfId="2396" priority="2447" operator="containsText" text="o1b">
      <formula>NOT(ISERROR(SEARCH("o1b",E409)))</formula>
    </cfRule>
    <cfRule type="containsText" dxfId="2395" priority="2448" operator="containsText" text="o1a">
      <formula>NOT(ISERROR(SEARCH("o1a",E409)))</formula>
    </cfRule>
  </conditionalFormatting>
  <conditionalFormatting sqref="G409">
    <cfRule type="containsText" dxfId="2394" priority="2437" operator="containsText" text="o5">
      <formula>NOT(ISERROR(SEARCH("o5",G409)))</formula>
    </cfRule>
    <cfRule type="containsText" dxfId="2393" priority="2438" operator="containsText" text="o4">
      <formula>NOT(ISERROR(SEARCH("o4",G409)))</formula>
    </cfRule>
    <cfRule type="containsText" dxfId="2392" priority="2439" operator="containsText" text="o3">
      <formula>NOT(ISERROR(SEARCH("o3",G409)))</formula>
    </cfRule>
    <cfRule type="containsText" dxfId="2391" priority="2440" operator="containsText" text="o2">
      <formula>NOT(ISERROR(SEARCH("o2",G409)))</formula>
    </cfRule>
    <cfRule type="containsText" dxfId="2390" priority="2441" operator="containsText" text="o1b">
      <formula>NOT(ISERROR(SEARCH("o1b",G409)))</formula>
    </cfRule>
    <cfRule type="containsText" dxfId="2389" priority="2442" operator="containsText" text="o1a">
      <formula>NOT(ISERROR(SEARCH("o1a",G409)))</formula>
    </cfRule>
  </conditionalFormatting>
  <conditionalFormatting sqref="G412">
    <cfRule type="containsText" dxfId="2388" priority="2431" operator="containsText" text="o5">
      <formula>NOT(ISERROR(SEARCH("o5",G412)))</formula>
    </cfRule>
    <cfRule type="containsText" dxfId="2387" priority="2432" operator="containsText" text="o4">
      <formula>NOT(ISERROR(SEARCH("o4",G412)))</formula>
    </cfRule>
    <cfRule type="containsText" dxfId="2386" priority="2433" operator="containsText" text="o3">
      <formula>NOT(ISERROR(SEARCH("o3",G412)))</formula>
    </cfRule>
    <cfRule type="containsText" dxfId="2385" priority="2434" operator="containsText" text="o2">
      <formula>NOT(ISERROR(SEARCH("o2",G412)))</formula>
    </cfRule>
    <cfRule type="containsText" dxfId="2384" priority="2435" operator="containsText" text="o1b">
      <formula>NOT(ISERROR(SEARCH("o1b",G412)))</formula>
    </cfRule>
    <cfRule type="containsText" dxfId="2383" priority="2436" operator="containsText" text="o1a">
      <formula>NOT(ISERROR(SEARCH("o1a",G412)))</formula>
    </cfRule>
  </conditionalFormatting>
  <conditionalFormatting sqref="H413:H414">
    <cfRule type="containsText" dxfId="2382" priority="2425" operator="containsText" text="o5">
      <formula>NOT(ISERROR(SEARCH("o5",H413)))</formula>
    </cfRule>
    <cfRule type="containsText" dxfId="2381" priority="2426" operator="containsText" text="o4">
      <formula>NOT(ISERROR(SEARCH("o4",H413)))</formula>
    </cfRule>
    <cfRule type="containsText" dxfId="2380" priority="2427" operator="containsText" text="o3">
      <formula>NOT(ISERROR(SEARCH("o3",H413)))</formula>
    </cfRule>
    <cfRule type="containsText" dxfId="2379" priority="2428" operator="containsText" text="o2">
      <formula>NOT(ISERROR(SEARCH("o2",H413)))</formula>
    </cfRule>
    <cfRule type="containsText" dxfId="2378" priority="2429" operator="containsText" text="o1b">
      <formula>NOT(ISERROR(SEARCH("o1b",H413)))</formula>
    </cfRule>
    <cfRule type="containsText" dxfId="2377" priority="2430" operator="containsText" text="o1a">
      <formula>NOT(ISERROR(SEARCH("o1a",H413)))</formula>
    </cfRule>
  </conditionalFormatting>
  <conditionalFormatting sqref="F413:G413 F414">
    <cfRule type="containsText" dxfId="2376" priority="2419" operator="containsText" text="o5">
      <formula>NOT(ISERROR(SEARCH("o5",F413)))</formula>
    </cfRule>
    <cfRule type="containsText" dxfId="2375" priority="2420" operator="containsText" text="o4">
      <formula>NOT(ISERROR(SEARCH("o4",F413)))</formula>
    </cfRule>
    <cfRule type="containsText" dxfId="2374" priority="2421" operator="containsText" text="o3">
      <formula>NOT(ISERROR(SEARCH("o3",F413)))</formula>
    </cfRule>
    <cfRule type="containsText" dxfId="2373" priority="2422" operator="containsText" text="o2">
      <formula>NOT(ISERROR(SEARCH("o2",F413)))</formula>
    </cfRule>
    <cfRule type="containsText" dxfId="2372" priority="2423" operator="containsText" text="o1b">
      <formula>NOT(ISERROR(SEARCH("o1b",F413)))</formula>
    </cfRule>
    <cfRule type="containsText" dxfId="2371" priority="2424" operator="containsText" text="o1a">
      <formula>NOT(ISERROR(SEARCH("o1a",F413)))</formula>
    </cfRule>
  </conditionalFormatting>
  <conditionalFormatting sqref="E425:E426 E431:E432 E437:E438 E443:E444 E449:E450 E455:E456 E461:E462">
    <cfRule type="containsText" dxfId="2370" priority="2407" operator="containsText" text="o5">
      <formula>NOT(ISERROR(SEARCH("o5",E425)))</formula>
    </cfRule>
    <cfRule type="containsText" dxfId="2369" priority="2408" operator="containsText" text="o4">
      <formula>NOT(ISERROR(SEARCH("o4",E425)))</formula>
    </cfRule>
    <cfRule type="containsText" dxfId="2368" priority="2409" operator="containsText" text="o3">
      <formula>NOT(ISERROR(SEARCH("o3",E425)))</formula>
    </cfRule>
    <cfRule type="containsText" dxfId="2367" priority="2410" operator="containsText" text="o2">
      <formula>NOT(ISERROR(SEARCH("o2",E425)))</formula>
    </cfRule>
    <cfRule type="containsText" dxfId="2366" priority="2411" operator="containsText" text="o1b">
      <formula>NOT(ISERROR(SEARCH("o1b",E425)))</formula>
    </cfRule>
    <cfRule type="containsText" dxfId="2365" priority="2412" operator="containsText" text="o1a">
      <formula>NOT(ISERROR(SEARCH("o1a",E425)))</formula>
    </cfRule>
  </conditionalFormatting>
  <conditionalFormatting sqref="E415:F415 H415 E416:H416 E417:E418 H417:H418">
    <cfRule type="containsText" dxfId="2364" priority="2401" operator="containsText" text="o5">
      <formula>NOT(ISERROR(SEARCH("o5",E415)))</formula>
    </cfRule>
    <cfRule type="containsText" dxfId="2363" priority="2402" operator="containsText" text="o4">
      <formula>NOT(ISERROR(SEARCH("o4",E415)))</formula>
    </cfRule>
    <cfRule type="containsText" dxfId="2362" priority="2403" operator="containsText" text="o3">
      <formula>NOT(ISERROR(SEARCH("o3",E415)))</formula>
    </cfRule>
    <cfRule type="containsText" dxfId="2361" priority="2404" operator="containsText" text="o2">
      <formula>NOT(ISERROR(SEARCH("o2",E415)))</formula>
    </cfRule>
    <cfRule type="containsText" dxfId="2360" priority="2405" operator="containsText" text="o1b">
      <formula>NOT(ISERROR(SEARCH("o1b",E415)))</formula>
    </cfRule>
    <cfRule type="containsText" dxfId="2359" priority="2406" operator="containsText" text="o1a">
      <formula>NOT(ISERROR(SEARCH("o1a",E415)))</formula>
    </cfRule>
  </conditionalFormatting>
  <conditionalFormatting sqref="G415">
    <cfRule type="containsText" dxfId="2358" priority="2395" operator="containsText" text="o5">
      <formula>NOT(ISERROR(SEARCH("o5",G415)))</formula>
    </cfRule>
    <cfRule type="containsText" dxfId="2357" priority="2396" operator="containsText" text="o4">
      <formula>NOT(ISERROR(SEARCH("o4",G415)))</formula>
    </cfRule>
    <cfRule type="containsText" dxfId="2356" priority="2397" operator="containsText" text="o3">
      <formula>NOT(ISERROR(SEARCH("o3",G415)))</formula>
    </cfRule>
    <cfRule type="containsText" dxfId="2355" priority="2398" operator="containsText" text="o2">
      <formula>NOT(ISERROR(SEARCH("o2",G415)))</formula>
    </cfRule>
    <cfRule type="containsText" dxfId="2354" priority="2399" operator="containsText" text="o1b">
      <formula>NOT(ISERROR(SEARCH("o1b",G415)))</formula>
    </cfRule>
    <cfRule type="containsText" dxfId="2353" priority="2400" operator="containsText" text="o1a">
      <formula>NOT(ISERROR(SEARCH("o1a",G415)))</formula>
    </cfRule>
  </conditionalFormatting>
  <conditionalFormatting sqref="F417:G417 F418">
    <cfRule type="containsText" dxfId="2352" priority="2389" operator="containsText" text="o5">
      <formula>NOT(ISERROR(SEARCH("o5",F417)))</formula>
    </cfRule>
    <cfRule type="containsText" dxfId="2351" priority="2390" operator="containsText" text="o4">
      <formula>NOT(ISERROR(SEARCH("o4",F417)))</formula>
    </cfRule>
    <cfRule type="containsText" dxfId="2350" priority="2391" operator="containsText" text="o3">
      <formula>NOT(ISERROR(SEARCH("o3",F417)))</formula>
    </cfRule>
    <cfRule type="containsText" dxfId="2349" priority="2392" operator="containsText" text="o2">
      <formula>NOT(ISERROR(SEARCH("o2",F417)))</formula>
    </cfRule>
    <cfRule type="containsText" dxfId="2348" priority="2393" operator="containsText" text="o1b">
      <formula>NOT(ISERROR(SEARCH("o1b",F417)))</formula>
    </cfRule>
    <cfRule type="containsText" dxfId="2347" priority="2394" operator="containsText" text="o1a">
      <formula>NOT(ISERROR(SEARCH("o1a",F417)))</formula>
    </cfRule>
  </conditionalFormatting>
  <conditionalFormatting sqref="G418">
    <cfRule type="containsText" dxfId="2346" priority="2383" operator="containsText" text="o5">
      <formula>NOT(ISERROR(SEARCH("o5",G418)))</formula>
    </cfRule>
    <cfRule type="containsText" dxfId="2345" priority="2384" operator="containsText" text="o4">
      <formula>NOT(ISERROR(SEARCH("o4",G418)))</formula>
    </cfRule>
    <cfRule type="containsText" dxfId="2344" priority="2385" operator="containsText" text="o3">
      <formula>NOT(ISERROR(SEARCH("o3",G418)))</formula>
    </cfRule>
    <cfRule type="containsText" dxfId="2343" priority="2386" operator="containsText" text="o2">
      <formula>NOT(ISERROR(SEARCH("o2",G418)))</formula>
    </cfRule>
    <cfRule type="containsText" dxfId="2342" priority="2387" operator="containsText" text="o1b">
      <formula>NOT(ISERROR(SEARCH("o1b",G418)))</formula>
    </cfRule>
    <cfRule type="containsText" dxfId="2341" priority="2388" operator="containsText" text="o1a">
      <formula>NOT(ISERROR(SEARCH("o1a",G418)))</formula>
    </cfRule>
  </conditionalFormatting>
  <conditionalFormatting sqref="G420">
    <cfRule type="containsText" dxfId="2340" priority="2365" operator="containsText" text="o5">
      <formula>NOT(ISERROR(SEARCH("o5",G420)))</formula>
    </cfRule>
    <cfRule type="containsText" dxfId="2339" priority="2366" operator="containsText" text="o4">
      <formula>NOT(ISERROR(SEARCH("o4",G420)))</formula>
    </cfRule>
    <cfRule type="containsText" dxfId="2338" priority="2367" operator="containsText" text="o3">
      <formula>NOT(ISERROR(SEARCH("o3",G420)))</formula>
    </cfRule>
    <cfRule type="containsText" dxfId="2337" priority="2368" operator="containsText" text="o2">
      <formula>NOT(ISERROR(SEARCH("o2",G420)))</formula>
    </cfRule>
    <cfRule type="containsText" dxfId="2336" priority="2369" operator="containsText" text="o1b">
      <formula>NOT(ISERROR(SEARCH("o1b",G420)))</formula>
    </cfRule>
    <cfRule type="containsText" dxfId="2335" priority="2370" operator="containsText" text="o1a">
      <formula>NOT(ISERROR(SEARCH("o1a",G420)))</formula>
    </cfRule>
  </conditionalFormatting>
  <conditionalFormatting sqref="H419:H420">
    <cfRule type="containsText" dxfId="2334" priority="2377" operator="containsText" text="o5">
      <formula>NOT(ISERROR(SEARCH("o5",H419)))</formula>
    </cfRule>
    <cfRule type="containsText" dxfId="2333" priority="2378" operator="containsText" text="o4">
      <formula>NOT(ISERROR(SEARCH("o4",H419)))</formula>
    </cfRule>
    <cfRule type="containsText" dxfId="2332" priority="2379" operator="containsText" text="o3">
      <formula>NOT(ISERROR(SEARCH("o3",H419)))</formula>
    </cfRule>
    <cfRule type="containsText" dxfId="2331" priority="2380" operator="containsText" text="o2">
      <formula>NOT(ISERROR(SEARCH("o2",H419)))</formula>
    </cfRule>
    <cfRule type="containsText" dxfId="2330" priority="2381" operator="containsText" text="o1b">
      <formula>NOT(ISERROR(SEARCH("o1b",H419)))</formula>
    </cfRule>
    <cfRule type="containsText" dxfId="2329" priority="2382" operator="containsText" text="o1a">
      <formula>NOT(ISERROR(SEARCH("o1a",H419)))</formula>
    </cfRule>
  </conditionalFormatting>
  <conditionalFormatting sqref="F419:G419 F420">
    <cfRule type="containsText" dxfId="2328" priority="2371" operator="containsText" text="o5">
      <formula>NOT(ISERROR(SEARCH("o5",F419)))</formula>
    </cfRule>
    <cfRule type="containsText" dxfId="2327" priority="2372" operator="containsText" text="o4">
      <formula>NOT(ISERROR(SEARCH("o4",F419)))</formula>
    </cfRule>
    <cfRule type="containsText" dxfId="2326" priority="2373" operator="containsText" text="o3">
      <formula>NOT(ISERROR(SEARCH("o3",F419)))</formula>
    </cfRule>
    <cfRule type="containsText" dxfId="2325" priority="2374" operator="containsText" text="o2">
      <formula>NOT(ISERROR(SEARCH("o2",F419)))</formula>
    </cfRule>
    <cfRule type="containsText" dxfId="2324" priority="2375" operator="containsText" text="o1b">
      <formula>NOT(ISERROR(SEARCH("o1b",F419)))</formula>
    </cfRule>
    <cfRule type="containsText" dxfId="2323" priority="2376" operator="containsText" text="o1a">
      <formula>NOT(ISERROR(SEARCH("o1a",F419)))</formula>
    </cfRule>
  </conditionalFormatting>
  <conditionalFormatting sqref="E421:F421 H421 E422:H422 E423:E424 H423:H424">
    <cfRule type="containsText" dxfId="2322" priority="2359" operator="containsText" text="o5">
      <formula>NOT(ISERROR(SEARCH("o5",E421)))</formula>
    </cfRule>
    <cfRule type="containsText" dxfId="2321" priority="2360" operator="containsText" text="o4">
      <formula>NOT(ISERROR(SEARCH("o4",E421)))</formula>
    </cfRule>
    <cfRule type="containsText" dxfId="2320" priority="2361" operator="containsText" text="o3">
      <formula>NOT(ISERROR(SEARCH("o3",E421)))</formula>
    </cfRule>
    <cfRule type="containsText" dxfId="2319" priority="2362" operator="containsText" text="o2">
      <formula>NOT(ISERROR(SEARCH("o2",E421)))</formula>
    </cfRule>
    <cfRule type="containsText" dxfId="2318" priority="2363" operator="containsText" text="o1b">
      <formula>NOT(ISERROR(SEARCH("o1b",E421)))</formula>
    </cfRule>
    <cfRule type="containsText" dxfId="2317" priority="2364" operator="containsText" text="o1a">
      <formula>NOT(ISERROR(SEARCH("o1a",E421)))</formula>
    </cfRule>
  </conditionalFormatting>
  <conditionalFormatting sqref="G421">
    <cfRule type="containsText" dxfId="2316" priority="2353" operator="containsText" text="o5">
      <formula>NOT(ISERROR(SEARCH("o5",G421)))</formula>
    </cfRule>
    <cfRule type="containsText" dxfId="2315" priority="2354" operator="containsText" text="o4">
      <formula>NOT(ISERROR(SEARCH("o4",G421)))</formula>
    </cfRule>
    <cfRule type="containsText" dxfId="2314" priority="2355" operator="containsText" text="o3">
      <formula>NOT(ISERROR(SEARCH("o3",G421)))</formula>
    </cfRule>
    <cfRule type="containsText" dxfId="2313" priority="2356" operator="containsText" text="o2">
      <formula>NOT(ISERROR(SEARCH("o2",G421)))</formula>
    </cfRule>
    <cfRule type="containsText" dxfId="2312" priority="2357" operator="containsText" text="o1b">
      <formula>NOT(ISERROR(SEARCH("o1b",G421)))</formula>
    </cfRule>
    <cfRule type="containsText" dxfId="2311" priority="2358" operator="containsText" text="o1a">
      <formula>NOT(ISERROR(SEARCH("o1a",G421)))</formula>
    </cfRule>
  </conditionalFormatting>
  <conditionalFormatting sqref="F423:G423 F424">
    <cfRule type="containsText" dxfId="2310" priority="2347" operator="containsText" text="o5">
      <formula>NOT(ISERROR(SEARCH("o5",F423)))</formula>
    </cfRule>
    <cfRule type="containsText" dxfId="2309" priority="2348" operator="containsText" text="o4">
      <formula>NOT(ISERROR(SEARCH("o4",F423)))</formula>
    </cfRule>
    <cfRule type="containsText" dxfId="2308" priority="2349" operator="containsText" text="o3">
      <formula>NOT(ISERROR(SEARCH("o3",F423)))</formula>
    </cfRule>
    <cfRule type="containsText" dxfId="2307" priority="2350" operator="containsText" text="o2">
      <formula>NOT(ISERROR(SEARCH("o2",F423)))</formula>
    </cfRule>
    <cfRule type="containsText" dxfId="2306" priority="2351" operator="containsText" text="o1b">
      <formula>NOT(ISERROR(SEARCH("o1b",F423)))</formula>
    </cfRule>
    <cfRule type="containsText" dxfId="2305" priority="2352" operator="containsText" text="o1a">
      <formula>NOT(ISERROR(SEARCH("o1a",F423)))</formula>
    </cfRule>
  </conditionalFormatting>
  <conditionalFormatting sqref="G424">
    <cfRule type="containsText" dxfId="2304" priority="2341" operator="containsText" text="o5">
      <formula>NOT(ISERROR(SEARCH("o5",G424)))</formula>
    </cfRule>
    <cfRule type="containsText" dxfId="2303" priority="2342" operator="containsText" text="o4">
      <formula>NOT(ISERROR(SEARCH("o4",G424)))</formula>
    </cfRule>
    <cfRule type="containsText" dxfId="2302" priority="2343" operator="containsText" text="o3">
      <formula>NOT(ISERROR(SEARCH("o3",G424)))</formula>
    </cfRule>
    <cfRule type="containsText" dxfId="2301" priority="2344" operator="containsText" text="o2">
      <formula>NOT(ISERROR(SEARCH("o2",G424)))</formula>
    </cfRule>
    <cfRule type="containsText" dxfId="2300" priority="2345" operator="containsText" text="o1b">
      <formula>NOT(ISERROR(SEARCH("o1b",G424)))</formula>
    </cfRule>
    <cfRule type="containsText" dxfId="2299" priority="2346" operator="containsText" text="o1a">
      <formula>NOT(ISERROR(SEARCH("o1a",G424)))</formula>
    </cfRule>
  </conditionalFormatting>
  <conditionalFormatting sqref="G426">
    <cfRule type="containsText" dxfId="2298" priority="2323" operator="containsText" text="o5">
      <formula>NOT(ISERROR(SEARCH("o5",G426)))</formula>
    </cfRule>
    <cfRule type="containsText" dxfId="2297" priority="2324" operator="containsText" text="o4">
      <formula>NOT(ISERROR(SEARCH("o4",G426)))</formula>
    </cfRule>
    <cfRule type="containsText" dxfId="2296" priority="2325" operator="containsText" text="o3">
      <formula>NOT(ISERROR(SEARCH("o3",G426)))</formula>
    </cfRule>
    <cfRule type="containsText" dxfId="2295" priority="2326" operator="containsText" text="o2">
      <formula>NOT(ISERROR(SEARCH("o2",G426)))</formula>
    </cfRule>
    <cfRule type="containsText" dxfId="2294" priority="2327" operator="containsText" text="o1b">
      <formula>NOT(ISERROR(SEARCH("o1b",G426)))</formula>
    </cfRule>
    <cfRule type="containsText" dxfId="2293" priority="2328" operator="containsText" text="o1a">
      <formula>NOT(ISERROR(SEARCH("o1a",G426)))</formula>
    </cfRule>
  </conditionalFormatting>
  <conditionalFormatting sqref="H425:H426">
    <cfRule type="containsText" dxfId="2292" priority="2335" operator="containsText" text="o5">
      <formula>NOT(ISERROR(SEARCH("o5",H425)))</formula>
    </cfRule>
    <cfRule type="containsText" dxfId="2291" priority="2336" operator="containsText" text="o4">
      <formula>NOT(ISERROR(SEARCH("o4",H425)))</formula>
    </cfRule>
    <cfRule type="containsText" dxfId="2290" priority="2337" operator="containsText" text="o3">
      <formula>NOT(ISERROR(SEARCH("o3",H425)))</formula>
    </cfRule>
    <cfRule type="containsText" dxfId="2289" priority="2338" operator="containsText" text="o2">
      <formula>NOT(ISERROR(SEARCH("o2",H425)))</formula>
    </cfRule>
    <cfRule type="containsText" dxfId="2288" priority="2339" operator="containsText" text="o1b">
      <formula>NOT(ISERROR(SEARCH("o1b",H425)))</formula>
    </cfRule>
    <cfRule type="containsText" dxfId="2287" priority="2340" operator="containsText" text="o1a">
      <formula>NOT(ISERROR(SEARCH("o1a",H425)))</formula>
    </cfRule>
  </conditionalFormatting>
  <conditionalFormatting sqref="F425:G425 F426">
    <cfRule type="containsText" dxfId="2286" priority="2329" operator="containsText" text="o5">
      <formula>NOT(ISERROR(SEARCH("o5",F425)))</formula>
    </cfRule>
    <cfRule type="containsText" dxfId="2285" priority="2330" operator="containsText" text="o4">
      <formula>NOT(ISERROR(SEARCH("o4",F425)))</formula>
    </cfRule>
    <cfRule type="containsText" dxfId="2284" priority="2331" operator="containsText" text="o3">
      <formula>NOT(ISERROR(SEARCH("o3",F425)))</formula>
    </cfRule>
    <cfRule type="containsText" dxfId="2283" priority="2332" operator="containsText" text="o2">
      <formula>NOT(ISERROR(SEARCH("o2",F425)))</formula>
    </cfRule>
    <cfRule type="containsText" dxfId="2282" priority="2333" operator="containsText" text="o1b">
      <formula>NOT(ISERROR(SEARCH("o1b",F425)))</formula>
    </cfRule>
    <cfRule type="containsText" dxfId="2281" priority="2334" operator="containsText" text="o1a">
      <formula>NOT(ISERROR(SEARCH("o1a",F425)))</formula>
    </cfRule>
  </conditionalFormatting>
  <conditionalFormatting sqref="E427:F427 H427 E428:H428 E429:E430 H429:H430">
    <cfRule type="containsText" dxfId="2280" priority="2317" operator="containsText" text="o5">
      <formula>NOT(ISERROR(SEARCH("o5",E427)))</formula>
    </cfRule>
    <cfRule type="containsText" dxfId="2279" priority="2318" operator="containsText" text="o4">
      <formula>NOT(ISERROR(SEARCH("o4",E427)))</formula>
    </cfRule>
    <cfRule type="containsText" dxfId="2278" priority="2319" operator="containsText" text="o3">
      <formula>NOT(ISERROR(SEARCH("o3",E427)))</formula>
    </cfRule>
    <cfRule type="containsText" dxfId="2277" priority="2320" operator="containsText" text="o2">
      <formula>NOT(ISERROR(SEARCH("o2",E427)))</formula>
    </cfRule>
    <cfRule type="containsText" dxfId="2276" priority="2321" operator="containsText" text="o1b">
      <formula>NOT(ISERROR(SEARCH("o1b",E427)))</formula>
    </cfRule>
    <cfRule type="containsText" dxfId="2275" priority="2322" operator="containsText" text="o1a">
      <formula>NOT(ISERROR(SEARCH("o1a",E427)))</formula>
    </cfRule>
  </conditionalFormatting>
  <conditionalFormatting sqref="G427">
    <cfRule type="containsText" dxfId="2274" priority="2311" operator="containsText" text="o5">
      <formula>NOT(ISERROR(SEARCH("o5",G427)))</formula>
    </cfRule>
    <cfRule type="containsText" dxfId="2273" priority="2312" operator="containsText" text="o4">
      <formula>NOT(ISERROR(SEARCH("o4",G427)))</formula>
    </cfRule>
    <cfRule type="containsText" dxfId="2272" priority="2313" operator="containsText" text="o3">
      <formula>NOT(ISERROR(SEARCH("o3",G427)))</formula>
    </cfRule>
    <cfRule type="containsText" dxfId="2271" priority="2314" operator="containsText" text="o2">
      <formula>NOT(ISERROR(SEARCH("o2",G427)))</formula>
    </cfRule>
    <cfRule type="containsText" dxfId="2270" priority="2315" operator="containsText" text="o1b">
      <formula>NOT(ISERROR(SEARCH("o1b",G427)))</formula>
    </cfRule>
    <cfRule type="containsText" dxfId="2269" priority="2316" operator="containsText" text="o1a">
      <formula>NOT(ISERROR(SEARCH("o1a",G427)))</formula>
    </cfRule>
  </conditionalFormatting>
  <conditionalFormatting sqref="F429:G429 F430">
    <cfRule type="containsText" dxfId="2268" priority="2305" operator="containsText" text="o5">
      <formula>NOT(ISERROR(SEARCH("o5",F429)))</formula>
    </cfRule>
    <cfRule type="containsText" dxfId="2267" priority="2306" operator="containsText" text="o4">
      <formula>NOT(ISERROR(SEARCH("o4",F429)))</formula>
    </cfRule>
    <cfRule type="containsText" dxfId="2266" priority="2307" operator="containsText" text="o3">
      <formula>NOT(ISERROR(SEARCH("o3",F429)))</formula>
    </cfRule>
    <cfRule type="containsText" dxfId="2265" priority="2308" operator="containsText" text="o2">
      <formula>NOT(ISERROR(SEARCH("o2",F429)))</formula>
    </cfRule>
    <cfRule type="containsText" dxfId="2264" priority="2309" operator="containsText" text="o1b">
      <formula>NOT(ISERROR(SEARCH("o1b",F429)))</formula>
    </cfRule>
    <cfRule type="containsText" dxfId="2263" priority="2310" operator="containsText" text="o1a">
      <formula>NOT(ISERROR(SEARCH("o1a",F429)))</formula>
    </cfRule>
  </conditionalFormatting>
  <conditionalFormatting sqref="G430">
    <cfRule type="containsText" dxfId="2262" priority="2299" operator="containsText" text="o5">
      <formula>NOT(ISERROR(SEARCH("o5",G430)))</formula>
    </cfRule>
    <cfRule type="containsText" dxfId="2261" priority="2300" operator="containsText" text="o4">
      <formula>NOT(ISERROR(SEARCH("o4",G430)))</formula>
    </cfRule>
    <cfRule type="containsText" dxfId="2260" priority="2301" operator="containsText" text="o3">
      <formula>NOT(ISERROR(SEARCH("o3",G430)))</formula>
    </cfRule>
    <cfRule type="containsText" dxfId="2259" priority="2302" operator="containsText" text="o2">
      <formula>NOT(ISERROR(SEARCH("o2",G430)))</formula>
    </cfRule>
    <cfRule type="containsText" dxfId="2258" priority="2303" operator="containsText" text="o1b">
      <formula>NOT(ISERROR(SEARCH("o1b",G430)))</formula>
    </cfRule>
    <cfRule type="containsText" dxfId="2257" priority="2304" operator="containsText" text="o1a">
      <formula>NOT(ISERROR(SEARCH("o1a",G430)))</formula>
    </cfRule>
  </conditionalFormatting>
  <conditionalFormatting sqref="G432">
    <cfRule type="containsText" dxfId="2256" priority="2281" operator="containsText" text="o5">
      <formula>NOT(ISERROR(SEARCH("o5",G432)))</formula>
    </cfRule>
    <cfRule type="containsText" dxfId="2255" priority="2282" operator="containsText" text="o4">
      <formula>NOT(ISERROR(SEARCH("o4",G432)))</formula>
    </cfRule>
    <cfRule type="containsText" dxfId="2254" priority="2283" operator="containsText" text="o3">
      <formula>NOT(ISERROR(SEARCH("o3",G432)))</formula>
    </cfRule>
    <cfRule type="containsText" dxfId="2253" priority="2284" operator="containsText" text="o2">
      <formula>NOT(ISERROR(SEARCH("o2",G432)))</formula>
    </cfRule>
    <cfRule type="containsText" dxfId="2252" priority="2285" operator="containsText" text="o1b">
      <formula>NOT(ISERROR(SEARCH("o1b",G432)))</formula>
    </cfRule>
    <cfRule type="containsText" dxfId="2251" priority="2286" operator="containsText" text="o1a">
      <formula>NOT(ISERROR(SEARCH("o1a",G432)))</formula>
    </cfRule>
  </conditionalFormatting>
  <conditionalFormatting sqref="H431:H432">
    <cfRule type="containsText" dxfId="2250" priority="2293" operator="containsText" text="o5">
      <formula>NOT(ISERROR(SEARCH("o5",H431)))</formula>
    </cfRule>
    <cfRule type="containsText" dxfId="2249" priority="2294" operator="containsText" text="o4">
      <formula>NOT(ISERROR(SEARCH("o4",H431)))</formula>
    </cfRule>
    <cfRule type="containsText" dxfId="2248" priority="2295" operator="containsText" text="o3">
      <formula>NOT(ISERROR(SEARCH("o3",H431)))</formula>
    </cfRule>
    <cfRule type="containsText" dxfId="2247" priority="2296" operator="containsText" text="o2">
      <formula>NOT(ISERROR(SEARCH("o2",H431)))</formula>
    </cfRule>
    <cfRule type="containsText" dxfId="2246" priority="2297" operator="containsText" text="o1b">
      <formula>NOT(ISERROR(SEARCH("o1b",H431)))</formula>
    </cfRule>
    <cfRule type="containsText" dxfId="2245" priority="2298" operator="containsText" text="o1a">
      <formula>NOT(ISERROR(SEARCH("o1a",H431)))</formula>
    </cfRule>
  </conditionalFormatting>
  <conditionalFormatting sqref="F431:G431 F432">
    <cfRule type="containsText" dxfId="2244" priority="2287" operator="containsText" text="o5">
      <formula>NOT(ISERROR(SEARCH("o5",F431)))</formula>
    </cfRule>
    <cfRule type="containsText" dxfId="2243" priority="2288" operator="containsText" text="o4">
      <formula>NOT(ISERROR(SEARCH("o4",F431)))</formula>
    </cfRule>
    <cfRule type="containsText" dxfId="2242" priority="2289" operator="containsText" text="o3">
      <formula>NOT(ISERROR(SEARCH("o3",F431)))</formula>
    </cfRule>
    <cfRule type="containsText" dxfId="2241" priority="2290" operator="containsText" text="o2">
      <formula>NOT(ISERROR(SEARCH("o2",F431)))</formula>
    </cfRule>
    <cfRule type="containsText" dxfId="2240" priority="2291" operator="containsText" text="o1b">
      <formula>NOT(ISERROR(SEARCH("o1b",F431)))</formula>
    </cfRule>
    <cfRule type="containsText" dxfId="2239" priority="2292" operator="containsText" text="o1a">
      <formula>NOT(ISERROR(SEARCH("o1a",F431)))</formula>
    </cfRule>
  </conditionalFormatting>
  <conditionalFormatting sqref="E433:F433 H433 E434:H434 E435:E436 H435:H436">
    <cfRule type="containsText" dxfId="2238" priority="2275" operator="containsText" text="o5">
      <formula>NOT(ISERROR(SEARCH("o5",E433)))</formula>
    </cfRule>
    <cfRule type="containsText" dxfId="2237" priority="2276" operator="containsText" text="o4">
      <formula>NOT(ISERROR(SEARCH("o4",E433)))</formula>
    </cfRule>
    <cfRule type="containsText" dxfId="2236" priority="2277" operator="containsText" text="o3">
      <formula>NOT(ISERROR(SEARCH("o3",E433)))</formula>
    </cfRule>
    <cfRule type="containsText" dxfId="2235" priority="2278" operator="containsText" text="o2">
      <formula>NOT(ISERROR(SEARCH("o2",E433)))</formula>
    </cfRule>
    <cfRule type="containsText" dxfId="2234" priority="2279" operator="containsText" text="o1b">
      <formula>NOT(ISERROR(SEARCH("o1b",E433)))</formula>
    </cfRule>
    <cfRule type="containsText" dxfId="2233" priority="2280" operator="containsText" text="o1a">
      <formula>NOT(ISERROR(SEARCH("o1a",E433)))</formula>
    </cfRule>
  </conditionalFormatting>
  <conditionalFormatting sqref="G433">
    <cfRule type="containsText" dxfId="2232" priority="2269" operator="containsText" text="o5">
      <formula>NOT(ISERROR(SEARCH("o5",G433)))</formula>
    </cfRule>
    <cfRule type="containsText" dxfId="2231" priority="2270" operator="containsText" text="o4">
      <formula>NOT(ISERROR(SEARCH("o4",G433)))</formula>
    </cfRule>
    <cfRule type="containsText" dxfId="2230" priority="2271" operator="containsText" text="o3">
      <formula>NOT(ISERROR(SEARCH("o3",G433)))</formula>
    </cfRule>
    <cfRule type="containsText" dxfId="2229" priority="2272" operator="containsText" text="o2">
      <formula>NOT(ISERROR(SEARCH("o2",G433)))</formula>
    </cfRule>
    <cfRule type="containsText" dxfId="2228" priority="2273" operator="containsText" text="o1b">
      <formula>NOT(ISERROR(SEARCH("o1b",G433)))</formula>
    </cfRule>
    <cfRule type="containsText" dxfId="2227" priority="2274" operator="containsText" text="o1a">
      <formula>NOT(ISERROR(SEARCH("o1a",G433)))</formula>
    </cfRule>
  </conditionalFormatting>
  <conditionalFormatting sqref="F435:G435 F436">
    <cfRule type="containsText" dxfId="2226" priority="2263" operator="containsText" text="o5">
      <formula>NOT(ISERROR(SEARCH("o5",F435)))</formula>
    </cfRule>
    <cfRule type="containsText" dxfId="2225" priority="2264" operator="containsText" text="o4">
      <formula>NOT(ISERROR(SEARCH("o4",F435)))</formula>
    </cfRule>
    <cfRule type="containsText" dxfId="2224" priority="2265" operator="containsText" text="o3">
      <formula>NOT(ISERROR(SEARCH("o3",F435)))</formula>
    </cfRule>
    <cfRule type="containsText" dxfId="2223" priority="2266" operator="containsText" text="o2">
      <formula>NOT(ISERROR(SEARCH("o2",F435)))</formula>
    </cfRule>
    <cfRule type="containsText" dxfId="2222" priority="2267" operator="containsText" text="o1b">
      <formula>NOT(ISERROR(SEARCH("o1b",F435)))</formula>
    </cfRule>
    <cfRule type="containsText" dxfId="2221" priority="2268" operator="containsText" text="o1a">
      <formula>NOT(ISERROR(SEARCH("o1a",F435)))</formula>
    </cfRule>
  </conditionalFormatting>
  <conditionalFormatting sqref="G436">
    <cfRule type="containsText" dxfId="2220" priority="2257" operator="containsText" text="o5">
      <formula>NOT(ISERROR(SEARCH("o5",G436)))</formula>
    </cfRule>
    <cfRule type="containsText" dxfId="2219" priority="2258" operator="containsText" text="o4">
      <formula>NOT(ISERROR(SEARCH("o4",G436)))</formula>
    </cfRule>
    <cfRule type="containsText" dxfId="2218" priority="2259" operator="containsText" text="o3">
      <formula>NOT(ISERROR(SEARCH("o3",G436)))</formula>
    </cfRule>
    <cfRule type="containsText" dxfId="2217" priority="2260" operator="containsText" text="o2">
      <formula>NOT(ISERROR(SEARCH("o2",G436)))</formula>
    </cfRule>
    <cfRule type="containsText" dxfId="2216" priority="2261" operator="containsText" text="o1b">
      <formula>NOT(ISERROR(SEARCH("o1b",G436)))</formula>
    </cfRule>
    <cfRule type="containsText" dxfId="2215" priority="2262" operator="containsText" text="o1a">
      <formula>NOT(ISERROR(SEARCH("o1a",G436)))</formula>
    </cfRule>
  </conditionalFormatting>
  <conditionalFormatting sqref="G438">
    <cfRule type="containsText" dxfId="2214" priority="2239" operator="containsText" text="o5">
      <formula>NOT(ISERROR(SEARCH("o5",G438)))</formula>
    </cfRule>
    <cfRule type="containsText" dxfId="2213" priority="2240" operator="containsText" text="o4">
      <formula>NOT(ISERROR(SEARCH("o4",G438)))</formula>
    </cfRule>
    <cfRule type="containsText" dxfId="2212" priority="2241" operator="containsText" text="o3">
      <formula>NOT(ISERROR(SEARCH("o3",G438)))</formula>
    </cfRule>
    <cfRule type="containsText" dxfId="2211" priority="2242" operator="containsText" text="o2">
      <formula>NOT(ISERROR(SEARCH("o2",G438)))</formula>
    </cfRule>
    <cfRule type="containsText" dxfId="2210" priority="2243" operator="containsText" text="o1b">
      <formula>NOT(ISERROR(SEARCH("o1b",G438)))</formula>
    </cfRule>
    <cfRule type="containsText" dxfId="2209" priority="2244" operator="containsText" text="o1a">
      <formula>NOT(ISERROR(SEARCH("o1a",G438)))</formula>
    </cfRule>
  </conditionalFormatting>
  <conditionalFormatting sqref="H437:H438">
    <cfRule type="containsText" dxfId="2208" priority="2251" operator="containsText" text="o5">
      <formula>NOT(ISERROR(SEARCH("o5",H437)))</formula>
    </cfRule>
    <cfRule type="containsText" dxfId="2207" priority="2252" operator="containsText" text="o4">
      <formula>NOT(ISERROR(SEARCH("o4",H437)))</formula>
    </cfRule>
    <cfRule type="containsText" dxfId="2206" priority="2253" operator="containsText" text="o3">
      <formula>NOT(ISERROR(SEARCH("o3",H437)))</formula>
    </cfRule>
    <cfRule type="containsText" dxfId="2205" priority="2254" operator="containsText" text="o2">
      <formula>NOT(ISERROR(SEARCH("o2",H437)))</formula>
    </cfRule>
    <cfRule type="containsText" dxfId="2204" priority="2255" operator="containsText" text="o1b">
      <formula>NOT(ISERROR(SEARCH("o1b",H437)))</formula>
    </cfRule>
    <cfRule type="containsText" dxfId="2203" priority="2256" operator="containsText" text="o1a">
      <formula>NOT(ISERROR(SEARCH("o1a",H437)))</formula>
    </cfRule>
  </conditionalFormatting>
  <conditionalFormatting sqref="F437:G437 F438">
    <cfRule type="containsText" dxfId="2202" priority="2245" operator="containsText" text="o5">
      <formula>NOT(ISERROR(SEARCH("o5",F437)))</formula>
    </cfRule>
    <cfRule type="containsText" dxfId="2201" priority="2246" operator="containsText" text="o4">
      <formula>NOT(ISERROR(SEARCH("o4",F437)))</formula>
    </cfRule>
    <cfRule type="containsText" dxfId="2200" priority="2247" operator="containsText" text="o3">
      <formula>NOT(ISERROR(SEARCH("o3",F437)))</formula>
    </cfRule>
    <cfRule type="containsText" dxfId="2199" priority="2248" operator="containsText" text="o2">
      <formula>NOT(ISERROR(SEARCH("o2",F437)))</formula>
    </cfRule>
    <cfRule type="containsText" dxfId="2198" priority="2249" operator="containsText" text="o1b">
      <formula>NOT(ISERROR(SEARCH("o1b",F437)))</formula>
    </cfRule>
    <cfRule type="containsText" dxfId="2197" priority="2250" operator="containsText" text="o1a">
      <formula>NOT(ISERROR(SEARCH("o1a",F437)))</formula>
    </cfRule>
  </conditionalFormatting>
  <conditionalFormatting sqref="E439:F439 H439 E440:H440 E441:E442 H441:H442">
    <cfRule type="containsText" dxfId="2196" priority="2233" operator="containsText" text="o5">
      <formula>NOT(ISERROR(SEARCH("o5",E439)))</formula>
    </cfRule>
    <cfRule type="containsText" dxfId="2195" priority="2234" operator="containsText" text="o4">
      <formula>NOT(ISERROR(SEARCH("o4",E439)))</formula>
    </cfRule>
    <cfRule type="containsText" dxfId="2194" priority="2235" operator="containsText" text="o3">
      <formula>NOT(ISERROR(SEARCH("o3",E439)))</formula>
    </cfRule>
    <cfRule type="containsText" dxfId="2193" priority="2236" operator="containsText" text="o2">
      <formula>NOT(ISERROR(SEARCH("o2",E439)))</formula>
    </cfRule>
    <cfRule type="containsText" dxfId="2192" priority="2237" operator="containsText" text="o1b">
      <formula>NOT(ISERROR(SEARCH("o1b",E439)))</formula>
    </cfRule>
    <cfRule type="containsText" dxfId="2191" priority="2238" operator="containsText" text="o1a">
      <formula>NOT(ISERROR(SEARCH("o1a",E439)))</formula>
    </cfRule>
  </conditionalFormatting>
  <conditionalFormatting sqref="G439">
    <cfRule type="containsText" dxfId="2190" priority="2227" operator="containsText" text="o5">
      <formula>NOT(ISERROR(SEARCH("o5",G439)))</formula>
    </cfRule>
    <cfRule type="containsText" dxfId="2189" priority="2228" operator="containsText" text="o4">
      <formula>NOT(ISERROR(SEARCH("o4",G439)))</formula>
    </cfRule>
    <cfRule type="containsText" dxfId="2188" priority="2229" operator="containsText" text="o3">
      <formula>NOT(ISERROR(SEARCH("o3",G439)))</formula>
    </cfRule>
    <cfRule type="containsText" dxfId="2187" priority="2230" operator="containsText" text="o2">
      <formula>NOT(ISERROR(SEARCH("o2",G439)))</formula>
    </cfRule>
    <cfRule type="containsText" dxfId="2186" priority="2231" operator="containsText" text="o1b">
      <formula>NOT(ISERROR(SEARCH("o1b",G439)))</formula>
    </cfRule>
    <cfRule type="containsText" dxfId="2185" priority="2232" operator="containsText" text="o1a">
      <formula>NOT(ISERROR(SEARCH("o1a",G439)))</formula>
    </cfRule>
  </conditionalFormatting>
  <conditionalFormatting sqref="F441:G441 F442">
    <cfRule type="containsText" dxfId="2184" priority="2221" operator="containsText" text="o5">
      <formula>NOT(ISERROR(SEARCH("o5",F441)))</formula>
    </cfRule>
    <cfRule type="containsText" dxfId="2183" priority="2222" operator="containsText" text="o4">
      <formula>NOT(ISERROR(SEARCH("o4",F441)))</formula>
    </cfRule>
    <cfRule type="containsText" dxfId="2182" priority="2223" operator="containsText" text="o3">
      <formula>NOT(ISERROR(SEARCH("o3",F441)))</formula>
    </cfRule>
    <cfRule type="containsText" dxfId="2181" priority="2224" operator="containsText" text="o2">
      <formula>NOT(ISERROR(SEARCH("o2",F441)))</formula>
    </cfRule>
    <cfRule type="containsText" dxfId="2180" priority="2225" operator="containsText" text="o1b">
      <formula>NOT(ISERROR(SEARCH("o1b",F441)))</formula>
    </cfRule>
    <cfRule type="containsText" dxfId="2179" priority="2226" operator="containsText" text="o1a">
      <formula>NOT(ISERROR(SEARCH("o1a",F441)))</formula>
    </cfRule>
  </conditionalFormatting>
  <conditionalFormatting sqref="G442">
    <cfRule type="containsText" dxfId="2178" priority="2215" operator="containsText" text="o5">
      <formula>NOT(ISERROR(SEARCH("o5",G442)))</formula>
    </cfRule>
    <cfRule type="containsText" dxfId="2177" priority="2216" operator="containsText" text="o4">
      <formula>NOT(ISERROR(SEARCH("o4",G442)))</formula>
    </cfRule>
    <cfRule type="containsText" dxfId="2176" priority="2217" operator="containsText" text="o3">
      <formula>NOT(ISERROR(SEARCH("o3",G442)))</formula>
    </cfRule>
    <cfRule type="containsText" dxfId="2175" priority="2218" operator="containsText" text="o2">
      <formula>NOT(ISERROR(SEARCH("o2",G442)))</formula>
    </cfRule>
    <cfRule type="containsText" dxfId="2174" priority="2219" operator="containsText" text="o1b">
      <formula>NOT(ISERROR(SEARCH("o1b",G442)))</formula>
    </cfRule>
    <cfRule type="containsText" dxfId="2173" priority="2220" operator="containsText" text="o1a">
      <formula>NOT(ISERROR(SEARCH("o1a",G442)))</formula>
    </cfRule>
  </conditionalFormatting>
  <conditionalFormatting sqref="G444">
    <cfRule type="containsText" dxfId="2172" priority="2197" operator="containsText" text="o5">
      <formula>NOT(ISERROR(SEARCH("o5",G444)))</formula>
    </cfRule>
    <cfRule type="containsText" dxfId="2171" priority="2198" operator="containsText" text="o4">
      <formula>NOT(ISERROR(SEARCH("o4",G444)))</formula>
    </cfRule>
    <cfRule type="containsText" dxfId="2170" priority="2199" operator="containsText" text="o3">
      <formula>NOT(ISERROR(SEARCH("o3",G444)))</formula>
    </cfRule>
    <cfRule type="containsText" dxfId="2169" priority="2200" operator="containsText" text="o2">
      <formula>NOT(ISERROR(SEARCH("o2",G444)))</formula>
    </cfRule>
    <cfRule type="containsText" dxfId="2168" priority="2201" operator="containsText" text="o1b">
      <formula>NOT(ISERROR(SEARCH("o1b",G444)))</formula>
    </cfRule>
    <cfRule type="containsText" dxfId="2167" priority="2202" operator="containsText" text="o1a">
      <formula>NOT(ISERROR(SEARCH("o1a",G444)))</formula>
    </cfRule>
  </conditionalFormatting>
  <conditionalFormatting sqref="H443:H444">
    <cfRule type="containsText" dxfId="2166" priority="2209" operator="containsText" text="o5">
      <formula>NOT(ISERROR(SEARCH("o5",H443)))</formula>
    </cfRule>
    <cfRule type="containsText" dxfId="2165" priority="2210" operator="containsText" text="o4">
      <formula>NOT(ISERROR(SEARCH("o4",H443)))</formula>
    </cfRule>
    <cfRule type="containsText" dxfId="2164" priority="2211" operator="containsText" text="o3">
      <formula>NOT(ISERROR(SEARCH("o3",H443)))</formula>
    </cfRule>
    <cfRule type="containsText" dxfId="2163" priority="2212" operator="containsText" text="o2">
      <formula>NOT(ISERROR(SEARCH("o2",H443)))</formula>
    </cfRule>
    <cfRule type="containsText" dxfId="2162" priority="2213" operator="containsText" text="o1b">
      <formula>NOT(ISERROR(SEARCH("o1b",H443)))</formula>
    </cfRule>
    <cfRule type="containsText" dxfId="2161" priority="2214" operator="containsText" text="o1a">
      <formula>NOT(ISERROR(SEARCH("o1a",H443)))</formula>
    </cfRule>
  </conditionalFormatting>
  <conditionalFormatting sqref="F443:G443 F444">
    <cfRule type="containsText" dxfId="2160" priority="2203" operator="containsText" text="o5">
      <formula>NOT(ISERROR(SEARCH("o5",F443)))</formula>
    </cfRule>
    <cfRule type="containsText" dxfId="2159" priority="2204" operator="containsText" text="o4">
      <formula>NOT(ISERROR(SEARCH("o4",F443)))</formula>
    </cfRule>
    <cfRule type="containsText" dxfId="2158" priority="2205" operator="containsText" text="o3">
      <formula>NOT(ISERROR(SEARCH("o3",F443)))</formula>
    </cfRule>
    <cfRule type="containsText" dxfId="2157" priority="2206" operator="containsText" text="o2">
      <formula>NOT(ISERROR(SEARCH("o2",F443)))</formula>
    </cfRule>
    <cfRule type="containsText" dxfId="2156" priority="2207" operator="containsText" text="o1b">
      <formula>NOT(ISERROR(SEARCH("o1b",F443)))</formula>
    </cfRule>
    <cfRule type="containsText" dxfId="2155" priority="2208" operator="containsText" text="o1a">
      <formula>NOT(ISERROR(SEARCH("o1a",F443)))</formula>
    </cfRule>
  </conditionalFormatting>
  <conditionalFormatting sqref="E445:F445 H445 E446:H446 E447:E448 H447:H448">
    <cfRule type="containsText" dxfId="2154" priority="2191" operator="containsText" text="o5">
      <formula>NOT(ISERROR(SEARCH("o5",E445)))</formula>
    </cfRule>
    <cfRule type="containsText" dxfId="2153" priority="2192" operator="containsText" text="o4">
      <formula>NOT(ISERROR(SEARCH("o4",E445)))</formula>
    </cfRule>
    <cfRule type="containsText" dxfId="2152" priority="2193" operator="containsText" text="o3">
      <formula>NOT(ISERROR(SEARCH("o3",E445)))</formula>
    </cfRule>
    <cfRule type="containsText" dxfId="2151" priority="2194" operator="containsText" text="o2">
      <formula>NOT(ISERROR(SEARCH("o2",E445)))</formula>
    </cfRule>
    <cfRule type="containsText" dxfId="2150" priority="2195" operator="containsText" text="o1b">
      <formula>NOT(ISERROR(SEARCH("o1b",E445)))</formula>
    </cfRule>
    <cfRule type="containsText" dxfId="2149" priority="2196" operator="containsText" text="o1a">
      <formula>NOT(ISERROR(SEARCH("o1a",E445)))</formula>
    </cfRule>
  </conditionalFormatting>
  <conditionalFormatting sqref="G445">
    <cfRule type="containsText" dxfId="2148" priority="2185" operator="containsText" text="o5">
      <formula>NOT(ISERROR(SEARCH("o5",G445)))</formula>
    </cfRule>
    <cfRule type="containsText" dxfId="2147" priority="2186" operator="containsText" text="o4">
      <formula>NOT(ISERROR(SEARCH("o4",G445)))</formula>
    </cfRule>
    <cfRule type="containsText" dxfId="2146" priority="2187" operator="containsText" text="o3">
      <formula>NOT(ISERROR(SEARCH("o3",G445)))</formula>
    </cfRule>
    <cfRule type="containsText" dxfId="2145" priority="2188" operator="containsText" text="o2">
      <formula>NOT(ISERROR(SEARCH("o2",G445)))</formula>
    </cfRule>
    <cfRule type="containsText" dxfId="2144" priority="2189" operator="containsText" text="o1b">
      <formula>NOT(ISERROR(SEARCH("o1b",G445)))</formula>
    </cfRule>
    <cfRule type="containsText" dxfId="2143" priority="2190" operator="containsText" text="o1a">
      <formula>NOT(ISERROR(SEARCH("o1a",G445)))</formula>
    </cfRule>
  </conditionalFormatting>
  <conditionalFormatting sqref="F447:G447 F448">
    <cfRule type="containsText" dxfId="2142" priority="2179" operator="containsText" text="o5">
      <formula>NOT(ISERROR(SEARCH("o5",F447)))</formula>
    </cfRule>
    <cfRule type="containsText" dxfId="2141" priority="2180" operator="containsText" text="o4">
      <formula>NOT(ISERROR(SEARCH("o4",F447)))</formula>
    </cfRule>
    <cfRule type="containsText" dxfId="2140" priority="2181" operator="containsText" text="o3">
      <formula>NOT(ISERROR(SEARCH("o3",F447)))</formula>
    </cfRule>
    <cfRule type="containsText" dxfId="2139" priority="2182" operator="containsText" text="o2">
      <formula>NOT(ISERROR(SEARCH("o2",F447)))</formula>
    </cfRule>
    <cfRule type="containsText" dxfId="2138" priority="2183" operator="containsText" text="o1b">
      <formula>NOT(ISERROR(SEARCH("o1b",F447)))</formula>
    </cfRule>
    <cfRule type="containsText" dxfId="2137" priority="2184" operator="containsText" text="o1a">
      <formula>NOT(ISERROR(SEARCH("o1a",F447)))</formula>
    </cfRule>
  </conditionalFormatting>
  <conditionalFormatting sqref="G448">
    <cfRule type="containsText" dxfId="2136" priority="2173" operator="containsText" text="o5">
      <formula>NOT(ISERROR(SEARCH("o5",G448)))</formula>
    </cfRule>
    <cfRule type="containsText" dxfId="2135" priority="2174" operator="containsText" text="o4">
      <formula>NOT(ISERROR(SEARCH("o4",G448)))</formula>
    </cfRule>
    <cfRule type="containsText" dxfId="2134" priority="2175" operator="containsText" text="o3">
      <formula>NOT(ISERROR(SEARCH("o3",G448)))</formula>
    </cfRule>
    <cfRule type="containsText" dxfId="2133" priority="2176" operator="containsText" text="o2">
      <formula>NOT(ISERROR(SEARCH("o2",G448)))</formula>
    </cfRule>
    <cfRule type="containsText" dxfId="2132" priority="2177" operator="containsText" text="o1b">
      <formula>NOT(ISERROR(SEARCH("o1b",G448)))</formula>
    </cfRule>
    <cfRule type="containsText" dxfId="2131" priority="2178" operator="containsText" text="o1a">
      <formula>NOT(ISERROR(SEARCH("o1a",G448)))</formula>
    </cfRule>
  </conditionalFormatting>
  <conditionalFormatting sqref="G450">
    <cfRule type="containsText" dxfId="2130" priority="2155" operator="containsText" text="o5">
      <formula>NOT(ISERROR(SEARCH("o5",G450)))</formula>
    </cfRule>
    <cfRule type="containsText" dxfId="2129" priority="2156" operator="containsText" text="o4">
      <formula>NOT(ISERROR(SEARCH("o4",G450)))</formula>
    </cfRule>
    <cfRule type="containsText" dxfId="2128" priority="2157" operator="containsText" text="o3">
      <formula>NOT(ISERROR(SEARCH("o3",G450)))</formula>
    </cfRule>
    <cfRule type="containsText" dxfId="2127" priority="2158" operator="containsText" text="o2">
      <formula>NOT(ISERROR(SEARCH("o2",G450)))</formula>
    </cfRule>
    <cfRule type="containsText" dxfId="2126" priority="2159" operator="containsText" text="o1b">
      <formula>NOT(ISERROR(SEARCH("o1b",G450)))</formula>
    </cfRule>
    <cfRule type="containsText" dxfId="2125" priority="2160" operator="containsText" text="o1a">
      <formula>NOT(ISERROR(SEARCH("o1a",G450)))</formula>
    </cfRule>
  </conditionalFormatting>
  <conditionalFormatting sqref="H449:H450">
    <cfRule type="containsText" dxfId="2124" priority="2167" operator="containsText" text="o5">
      <formula>NOT(ISERROR(SEARCH("o5",H449)))</formula>
    </cfRule>
    <cfRule type="containsText" dxfId="2123" priority="2168" operator="containsText" text="o4">
      <formula>NOT(ISERROR(SEARCH("o4",H449)))</formula>
    </cfRule>
    <cfRule type="containsText" dxfId="2122" priority="2169" operator="containsText" text="o3">
      <formula>NOT(ISERROR(SEARCH("o3",H449)))</formula>
    </cfRule>
    <cfRule type="containsText" dxfId="2121" priority="2170" operator="containsText" text="o2">
      <formula>NOT(ISERROR(SEARCH("o2",H449)))</formula>
    </cfRule>
    <cfRule type="containsText" dxfId="2120" priority="2171" operator="containsText" text="o1b">
      <formula>NOT(ISERROR(SEARCH("o1b",H449)))</formula>
    </cfRule>
    <cfRule type="containsText" dxfId="2119" priority="2172" operator="containsText" text="o1a">
      <formula>NOT(ISERROR(SEARCH("o1a",H449)))</formula>
    </cfRule>
  </conditionalFormatting>
  <conditionalFormatting sqref="F449:G449 F450">
    <cfRule type="containsText" dxfId="2118" priority="2161" operator="containsText" text="o5">
      <formula>NOT(ISERROR(SEARCH("o5",F449)))</formula>
    </cfRule>
    <cfRule type="containsText" dxfId="2117" priority="2162" operator="containsText" text="o4">
      <formula>NOT(ISERROR(SEARCH("o4",F449)))</formula>
    </cfRule>
    <cfRule type="containsText" dxfId="2116" priority="2163" operator="containsText" text="o3">
      <formula>NOT(ISERROR(SEARCH("o3",F449)))</formula>
    </cfRule>
    <cfRule type="containsText" dxfId="2115" priority="2164" operator="containsText" text="o2">
      <formula>NOT(ISERROR(SEARCH("o2",F449)))</formula>
    </cfRule>
    <cfRule type="containsText" dxfId="2114" priority="2165" operator="containsText" text="o1b">
      <formula>NOT(ISERROR(SEARCH("o1b",F449)))</formula>
    </cfRule>
    <cfRule type="containsText" dxfId="2113" priority="2166" operator="containsText" text="o1a">
      <formula>NOT(ISERROR(SEARCH("o1a",F449)))</formula>
    </cfRule>
  </conditionalFormatting>
  <conditionalFormatting sqref="E451:F451 H451 E452:H452 E453:E454 H453:H454">
    <cfRule type="containsText" dxfId="2112" priority="2149" operator="containsText" text="o5">
      <formula>NOT(ISERROR(SEARCH("o5",E451)))</formula>
    </cfRule>
    <cfRule type="containsText" dxfId="2111" priority="2150" operator="containsText" text="o4">
      <formula>NOT(ISERROR(SEARCH("o4",E451)))</formula>
    </cfRule>
    <cfRule type="containsText" dxfId="2110" priority="2151" operator="containsText" text="o3">
      <formula>NOT(ISERROR(SEARCH("o3",E451)))</formula>
    </cfRule>
    <cfRule type="containsText" dxfId="2109" priority="2152" operator="containsText" text="o2">
      <formula>NOT(ISERROR(SEARCH("o2",E451)))</formula>
    </cfRule>
    <cfRule type="containsText" dxfId="2108" priority="2153" operator="containsText" text="o1b">
      <formula>NOT(ISERROR(SEARCH("o1b",E451)))</formula>
    </cfRule>
    <cfRule type="containsText" dxfId="2107" priority="2154" operator="containsText" text="o1a">
      <formula>NOT(ISERROR(SEARCH("o1a",E451)))</formula>
    </cfRule>
  </conditionalFormatting>
  <conditionalFormatting sqref="G451">
    <cfRule type="containsText" dxfId="2106" priority="2143" operator="containsText" text="o5">
      <formula>NOT(ISERROR(SEARCH("o5",G451)))</formula>
    </cfRule>
    <cfRule type="containsText" dxfId="2105" priority="2144" operator="containsText" text="o4">
      <formula>NOT(ISERROR(SEARCH("o4",G451)))</formula>
    </cfRule>
    <cfRule type="containsText" dxfId="2104" priority="2145" operator="containsText" text="o3">
      <formula>NOT(ISERROR(SEARCH("o3",G451)))</formula>
    </cfRule>
    <cfRule type="containsText" dxfId="2103" priority="2146" operator="containsText" text="o2">
      <formula>NOT(ISERROR(SEARCH("o2",G451)))</formula>
    </cfRule>
    <cfRule type="containsText" dxfId="2102" priority="2147" operator="containsText" text="o1b">
      <formula>NOT(ISERROR(SEARCH("o1b",G451)))</formula>
    </cfRule>
    <cfRule type="containsText" dxfId="2101" priority="2148" operator="containsText" text="o1a">
      <formula>NOT(ISERROR(SEARCH("o1a",G451)))</formula>
    </cfRule>
  </conditionalFormatting>
  <conditionalFormatting sqref="F453:G453 F454">
    <cfRule type="containsText" dxfId="2100" priority="2137" operator="containsText" text="o5">
      <formula>NOT(ISERROR(SEARCH("o5",F453)))</formula>
    </cfRule>
    <cfRule type="containsText" dxfId="2099" priority="2138" operator="containsText" text="o4">
      <formula>NOT(ISERROR(SEARCH("o4",F453)))</formula>
    </cfRule>
    <cfRule type="containsText" dxfId="2098" priority="2139" operator="containsText" text="o3">
      <formula>NOT(ISERROR(SEARCH("o3",F453)))</formula>
    </cfRule>
    <cfRule type="containsText" dxfId="2097" priority="2140" operator="containsText" text="o2">
      <formula>NOT(ISERROR(SEARCH("o2",F453)))</formula>
    </cfRule>
    <cfRule type="containsText" dxfId="2096" priority="2141" operator="containsText" text="o1b">
      <formula>NOT(ISERROR(SEARCH("o1b",F453)))</formula>
    </cfRule>
    <cfRule type="containsText" dxfId="2095" priority="2142" operator="containsText" text="o1a">
      <formula>NOT(ISERROR(SEARCH("o1a",F453)))</formula>
    </cfRule>
  </conditionalFormatting>
  <conditionalFormatting sqref="G454">
    <cfRule type="containsText" dxfId="2094" priority="2131" operator="containsText" text="o5">
      <formula>NOT(ISERROR(SEARCH("o5",G454)))</formula>
    </cfRule>
    <cfRule type="containsText" dxfId="2093" priority="2132" operator="containsText" text="o4">
      <formula>NOT(ISERROR(SEARCH("o4",G454)))</formula>
    </cfRule>
    <cfRule type="containsText" dxfId="2092" priority="2133" operator="containsText" text="o3">
      <formula>NOT(ISERROR(SEARCH("o3",G454)))</formula>
    </cfRule>
    <cfRule type="containsText" dxfId="2091" priority="2134" operator="containsText" text="o2">
      <formula>NOT(ISERROR(SEARCH("o2",G454)))</formula>
    </cfRule>
    <cfRule type="containsText" dxfId="2090" priority="2135" operator="containsText" text="o1b">
      <formula>NOT(ISERROR(SEARCH("o1b",G454)))</formula>
    </cfRule>
    <cfRule type="containsText" dxfId="2089" priority="2136" operator="containsText" text="o1a">
      <formula>NOT(ISERROR(SEARCH("o1a",G454)))</formula>
    </cfRule>
  </conditionalFormatting>
  <conditionalFormatting sqref="G456">
    <cfRule type="containsText" dxfId="2088" priority="2113" operator="containsText" text="o5">
      <formula>NOT(ISERROR(SEARCH("o5",G456)))</formula>
    </cfRule>
    <cfRule type="containsText" dxfId="2087" priority="2114" operator="containsText" text="o4">
      <formula>NOT(ISERROR(SEARCH("o4",G456)))</formula>
    </cfRule>
    <cfRule type="containsText" dxfId="2086" priority="2115" operator="containsText" text="o3">
      <formula>NOT(ISERROR(SEARCH("o3",G456)))</formula>
    </cfRule>
    <cfRule type="containsText" dxfId="2085" priority="2116" operator="containsText" text="o2">
      <formula>NOT(ISERROR(SEARCH("o2",G456)))</formula>
    </cfRule>
    <cfRule type="containsText" dxfId="2084" priority="2117" operator="containsText" text="o1b">
      <formula>NOT(ISERROR(SEARCH("o1b",G456)))</formula>
    </cfRule>
    <cfRule type="containsText" dxfId="2083" priority="2118" operator="containsText" text="o1a">
      <formula>NOT(ISERROR(SEARCH("o1a",G456)))</formula>
    </cfRule>
  </conditionalFormatting>
  <conditionalFormatting sqref="H455:H456">
    <cfRule type="containsText" dxfId="2082" priority="2125" operator="containsText" text="o5">
      <formula>NOT(ISERROR(SEARCH("o5",H455)))</formula>
    </cfRule>
    <cfRule type="containsText" dxfId="2081" priority="2126" operator="containsText" text="o4">
      <formula>NOT(ISERROR(SEARCH("o4",H455)))</formula>
    </cfRule>
    <cfRule type="containsText" dxfId="2080" priority="2127" operator="containsText" text="o3">
      <formula>NOT(ISERROR(SEARCH("o3",H455)))</formula>
    </cfRule>
    <cfRule type="containsText" dxfId="2079" priority="2128" operator="containsText" text="o2">
      <formula>NOT(ISERROR(SEARCH("o2",H455)))</formula>
    </cfRule>
    <cfRule type="containsText" dxfId="2078" priority="2129" operator="containsText" text="o1b">
      <formula>NOT(ISERROR(SEARCH("o1b",H455)))</formula>
    </cfRule>
    <cfRule type="containsText" dxfId="2077" priority="2130" operator="containsText" text="o1a">
      <formula>NOT(ISERROR(SEARCH("o1a",H455)))</formula>
    </cfRule>
  </conditionalFormatting>
  <conditionalFormatting sqref="F455:G455 F456">
    <cfRule type="containsText" dxfId="2076" priority="2119" operator="containsText" text="o5">
      <formula>NOT(ISERROR(SEARCH("o5",F455)))</formula>
    </cfRule>
    <cfRule type="containsText" dxfId="2075" priority="2120" operator="containsText" text="o4">
      <formula>NOT(ISERROR(SEARCH("o4",F455)))</formula>
    </cfRule>
    <cfRule type="containsText" dxfId="2074" priority="2121" operator="containsText" text="o3">
      <formula>NOT(ISERROR(SEARCH("o3",F455)))</formula>
    </cfRule>
    <cfRule type="containsText" dxfId="2073" priority="2122" operator="containsText" text="o2">
      <formula>NOT(ISERROR(SEARCH("o2",F455)))</formula>
    </cfRule>
    <cfRule type="containsText" dxfId="2072" priority="2123" operator="containsText" text="o1b">
      <formula>NOT(ISERROR(SEARCH("o1b",F455)))</formula>
    </cfRule>
    <cfRule type="containsText" dxfId="2071" priority="2124" operator="containsText" text="o1a">
      <formula>NOT(ISERROR(SEARCH("o1a",F455)))</formula>
    </cfRule>
  </conditionalFormatting>
  <conditionalFormatting sqref="E457:F457 H457 E458:H458 E459:E460 H459:H460">
    <cfRule type="containsText" dxfId="2070" priority="2107" operator="containsText" text="o5">
      <formula>NOT(ISERROR(SEARCH("o5",E457)))</formula>
    </cfRule>
    <cfRule type="containsText" dxfId="2069" priority="2108" operator="containsText" text="o4">
      <formula>NOT(ISERROR(SEARCH("o4",E457)))</formula>
    </cfRule>
    <cfRule type="containsText" dxfId="2068" priority="2109" operator="containsText" text="o3">
      <formula>NOT(ISERROR(SEARCH("o3",E457)))</formula>
    </cfRule>
    <cfRule type="containsText" dxfId="2067" priority="2110" operator="containsText" text="o2">
      <formula>NOT(ISERROR(SEARCH("o2",E457)))</formula>
    </cfRule>
    <cfRule type="containsText" dxfId="2066" priority="2111" operator="containsText" text="o1b">
      <formula>NOT(ISERROR(SEARCH("o1b",E457)))</formula>
    </cfRule>
    <cfRule type="containsText" dxfId="2065" priority="2112" operator="containsText" text="o1a">
      <formula>NOT(ISERROR(SEARCH("o1a",E457)))</formula>
    </cfRule>
  </conditionalFormatting>
  <conditionalFormatting sqref="G457">
    <cfRule type="containsText" dxfId="2064" priority="2101" operator="containsText" text="o5">
      <formula>NOT(ISERROR(SEARCH("o5",G457)))</formula>
    </cfRule>
    <cfRule type="containsText" dxfId="2063" priority="2102" operator="containsText" text="o4">
      <formula>NOT(ISERROR(SEARCH("o4",G457)))</formula>
    </cfRule>
    <cfRule type="containsText" dxfId="2062" priority="2103" operator="containsText" text="o3">
      <formula>NOT(ISERROR(SEARCH("o3",G457)))</formula>
    </cfRule>
    <cfRule type="containsText" dxfId="2061" priority="2104" operator="containsText" text="o2">
      <formula>NOT(ISERROR(SEARCH("o2",G457)))</formula>
    </cfRule>
    <cfRule type="containsText" dxfId="2060" priority="2105" operator="containsText" text="o1b">
      <formula>NOT(ISERROR(SEARCH("o1b",G457)))</formula>
    </cfRule>
    <cfRule type="containsText" dxfId="2059" priority="2106" operator="containsText" text="o1a">
      <formula>NOT(ISERROR(SEARCH("o1a",G457)))</formula>
    </cfRule>
  </conditionalFormatting>
  <conditionalFormatting sqref="F459:G459 F460">
    <cfRule type="containsText" dxfId="2058" priority="2095" operator="containsText" text="o5">
      <formula>NOT(ISERROR(SEARCH("o5",F459)))</formula>
    </cfRule>
    <cfRule type="containsText" dxfId="2057" priority="2096" operator="containsText" text="o4">
      <formula>NOT(ISERROR(SEARCH("o4",F459)))</formula>
    </cfRule>
    <cfRule type="containsText" dxfId="2056" priority="2097" operator="containsText" text="o3">
      <formula>NOT(ISERROR(SEARCH("o3",F459)))</formula>
    </cfRule>
    <cfRule type="containsText" dxfId="2055" priority="2098" operator="containsText" text="o2">
      <formula>NOT(ISERROR(SEARCH("o2",F459)))</formula>
    </cfRule>
    <cfRule type="containsText" dxfId="2054" priority="2099" operator="containsText" text="o1b">
      <formula>NOT(ISERROR(SEARCH("o1b",F459)))</formula>
    </cfRule>
    <cfRule type="containsText" dxfId="2053" priority="2100" operator="containsText" text="o1a">
      <formula>NOT(ISERROR(SEARCH("o1a",F459)))</formula>
    </cfRule>
  </conditionalFormatting>
  <conditionalFormatting sqref="G460">
    <cfRule type="containsText" dxfId="2052" priority="2089" operator="containsText" text="o5">
      <formula>NOT(ISERROR(SEARCH("o5",G460)))</formula>
    </cfRule>
    <cfRule type="containsText" dxfId="2051" priority="2090" operator="containsText" text="o4">
      <formula>NOT(ISERROR(SEARCH("o4",G460)))</formula>
    </cfRule>
    <cfRule type="containsText" dxfId="2050" priority="2091" operator="containsText" text="o3">
      <formula>NOT(ISERROR(SEARCH("o3",G460)))</formula>
    </cfRule>
    <cfRule type="containsText" dxfId="2049" priority="2092" operator="containsText" text="o2">
      <formula>NOT(ISERROR(SEARCH("o2",G460)))</formula>
    </cfRule>
    <cfRule type="containsText" dxfId="2048" priority="2093" operator="containsText" text="o1b">
      <formula>NOT(ISERROR(SEARCH("o1b",G460)))</formula>
    </cfRule>
    <cfRule type="containsText" dxfId="2047" priority="2094" operator="containsText" text="o1a">
      <formula>NOT(ISERROR(SEARCH("o1a",G460)))</formula>
    </cfRule>
  </conditionalFormatting>
  <conditionalFormatting sqref="G462">
    <cfRule type="containsText" dxfId="2046" priority="2071" operator="containsText" text="o5">
      <formula>NOT(ISERROR(SEARCH("o5",G462)))</formula>
    </cfRule>
    <cfRule type="containsText" dxfId="2045" priority="2072" operator="containsText" text="o4">
      <formula>NOT(ISERROR(SEARCH("o4",G462)))</formula>
    </cfRule>
    <cfRule type="containsText" dxfId="2044" priority="2073" operator="containsText" text="o3">
      <formula>NOT(ISERROR(SEARCH("o3",G462)))</formula>
    </cfRule>
    <cfRule type="containsText" dxfId="2043" priority="2074" operator="containsText" text="o2">
      <formula>NOT(ISERROR(SEARCH("o2",G462)))</formula>
    </cfRule>
    <cfRule type="containsText" dxfId="2042" priority="2075" operator="containsText" text="o1b">
      <formula>NOT(ISERROR(SEARCH("o1b",G462)))</formula>
    </cfRule>
    <cfRule type="containsText" dxfId="2041" priority="2076" operator="containsText" text="o1a">
      <formula>NOT(ISERROR(SEARCH("o1a",G462)))</formula>
    </cfRule>
  </conditionalFormatting>
  <conditionalFormatting sqref="H461:H462">
    <cfRule type="containsText" dxfId="2040" priority="2083" operator="containsText" text="o5">
      <formula>NOT(ISERROR(SEARCH("o5",H461)))</formula>
    </cfRule>
    <cfRule type="containsText" dxfId="2039" priority="2084" operator="containsText" text="o4">
      <formula>NOT(ISERROR(SEARCH("o4",H461)))</formula>
    </cfRule>
    <cfRule type="containsText" dxfId="2038" priority="2085" operator="containsText" text="o3">
      <formula>NOT(ISERROR(SEARCH("o3",H461)))</formula>
    </cfRule>
    <cfRule type="containsText" dxfId="2037" priority="2086" operator="containsText" text="o2">
      <formula>NOT(ISERROR(SEARCH("o2",H461)))</formula>
    </cfRule>
    <cfRule type="containsText" dxfId="2036" priority="2087" operator="containsText" text="o1b">
      <formula>NOT(ISERROR(SEARCH("o1b",H461)))</formula>
    </cfRule>
    <cfRule type="containsText" dxfId="2035" priority="2088" operator="containsText" text="o1a">
      <formula>NOT(ISERROR(SEARCH("o1a",H461)))</formula>
    </cfRule>
  </conditionalFormatting>
  <conditionalFormatting sqref="F461:G461 F462">
    <cfRule type="containsText" dxfId="2034" priority="2077" operator="containsText" text="o5">
      <formula>NOT(ISERROR(SEARCH("o5",F461)))</formula>
    </cfRule>
    <cfRule type="containsText" dxfId="2033" priority="2078" operator="containsText" text="o4">
      <formula>NOT(ISERROR(SEARCH("o4",F461)))</formula>
    </cfRule>
    <cfRule type="containsText" dxfId="2032" priority="2079" operator="containsText" text="o3">
      <formula>NOT(ISERROR(SEARCH("o3",F461)))</formula>
    </cfRule>
    <cfRule type="containsText" dxfId="2031" priority="2080" operator="containsText" text="o2">
      <formula>NOT(ISERROR(SEARCH("o2",F461)))</formula>
    </cfRule>
    <cfRule type="containsText" dxfId="2030" priority="2081" operator="containsText" text="o1b">
      <formula>NOT(ISERROR(SEARCH("o1b",F461)))</formula>
    </cfRule>
    <cfRule type="containsText" dxfId="2029" priority="2082" operator="containsText" text="o1a">
      <formula>NOT(ISERROR(SEARCH("o1a",F461)))</formula>
    </cfRule>
  </conditionalFormatting>
  <conditionalFormatting sqref="E463:F463 H463 E464:H464 E465:E466 H465:H466">
    <cfRule type="containsText" dxfId="2028" priority="2065" operator="containsText" text="o5">
      <formula>NOT(ISERROR(SEARCH("o5",E463)))</formula>
    </cfRule>
    <cfRule type="containsText" dxfId="2027" priority="2066" operator="containsText" text="o4">
      <formula>NOT(ISERROR(SEARCH("o4",E463)))</formula>
    </cfRule>
    <cfRule type="containsText" dxfId="2026" priority="2067" operator="containsText" text="o3">
      <formula>NOT(ISERROR(SEARCH("o3",E463)))</formula>
    </cfRule>
    <cfRule type="containsText" dxfId="2025" priority="2068" operator="containsText" text="o2">
      <formula>NOT(ISERROR(SEARCH("o2",E463)))</formula>
    </cfRule>
    <cfRule type="containsText" dxfId="2024" priority="2069" operator="containsText" text="o1b">
      <formula>NOT(ISERROR(SEARCH("o1b",E463)))</formula>
    </cfRule>
    <cfRule type="containsText" dxfId="2023" priority="2070" operator="containsText" text="o1a">
      <formula>NOT(ISERROR(SEARCH("o1a",E463)))</formula>
    </cfRule>
  </conditionalFormatting>
  <conditionalFormatting sqref="G463">
    <cfRule type="containsText" dxfId="2022" priority="2059" operator="containsText" text="o5">
      <formula>NOT(ISERROR(SEARCH("o5",G463)))</formula>
    </cfRule>
    <cfRule type="containsText" dxfId="2021" priority="2060" operator="containsText" text="o4">
      <formula>NOT(ISERROR(SEARCH("o4",G463)))</formula>
    </cfRule>
    <cfRule type="containsText" dxfId="2020" priority="2061" operator="containsText" text="o3">
      <formula>NOT(ISERROR(SEARCH("o3",G463)))</formula>
    </cfRule>
    <cfRule type="containsText" dxfId="2019" priority="2062" operator="containsText" text="o2">
      <formula>NOT(ISERROR(SEARCH("o2",G463)))</formula>
    </cfRule>
    <cfRule type="containsText" dxfId="2018" priority="2063" operator="containsText" text="o1b">
      <formula>NOT(ISERROR(SEARCH("o1b",G463)))</formula>
    </cfRule>
    <cfRule type="containsText" dxfId="2017" priority="2064" operator="containsText" text="o1a">
      <formula>NOT(ISERROR(SEARCH("o1a",G463)))</formula>
    </cfRule>
  </conditionalFormatting>
  <conditionalFormatting sqref="F465:G465 F466">
    <cfRule type="containsText" dxfId="2016" priority="2053" operator="containsText" text="o5">
      <formula>NOT(ISERROR(SEARCH("o5",F465)))</formula>
    </cfRule>
    <cfRule type="containsText" dxfId="2015" priority="2054" operator="containsText" text="o4">
      <formula>NOT(ISERROR(SEARCH("o4",F465)))</formula>
    </cfRule>
    <cfRule type="containsText" dxfId="2014" priority="2055" operator="containsText" text="o3">
      <formula>NOT(ISERROR(SEARCH("o3",F465)))</formula>
    </cfRule>
    <cfRule type="containsText" dxfId="2013" priority="2056" operator="containsText" text="o2">
      <formula>NOT(ISERROR(SEARCH("o2",F465)))</formula>
    </cfRule>
    <cfRule type="containsText" dxfId="2012" priority="2057" operator="containsText" text="o1b">
      <formula>NOT(ISERROR(SEARCH("o1b",F465)))</formula>
    </cfRule>
    <cfRule type="containsText" dxfId="2011" priority="2058" operator="containsText" text="o1a">
      <formula>NOT(ISERROR(SEARCH("o1a",F465)))</formula>
    </cfRule>
  </conditionalFormatting>
  <conditionalFormatting sqref="G466">
    <cfRule type="containsText" dxfId="2010" priority="2047" operator="containsText" text="o5">
      <formula>NOT(ISERROR(SEARCH("o5",G466)))</formula>
    </cfRule>
    <cfRule type="containsText" dxfId="2009" priority="2048" operator="containsText" text="o4">
      <formula>NOT(ISERROR(SEARCH("o4",G466)))</formula>
    </cfRule>
    <cfRule type="containsText" dxfId="2008" priority="2049" operator="containsText" text="o3">
      <formula>NOT(ISERROR(SEARCH("o3",G466)))</formula>
    </cfRule>
    <cfRule type="containsText" dxfId="2007" priority="2050" operator="containsText" text="o2">
      <formula>NOT(ISERROR(SEARCH("o2",G466)))</formula>
    </cfRule>
    <cfRule type="containsText" dxfId="2006" priority="2051" operator="containsText" text="o1b">
      <formula>NOT(ISERROR(SEARCH("o1b",G466)))</formula>
    </cfRule>
    <cfRule type="containsText" dxfId="2005" priority="2052" operator="containsText" text="o1a">
      <formula>NOT(ISERROR(SEARCH("o1a",G466)))</formula>
    </cfRule>
  </conditionalFormatting>
  <conditionalFormatting sqref="E483:H483 E474:E476 E481:F481 H481 E482 G482:H482 E508:H508 E484:E485 E490:E491 E496:E497 E502:E503 E513:H515 E509:F509 E510:E511 E512:F512 H509:H512 E516:F517 H516:H517 E518:H519 E520:F520 H520 E521:H522 E523:E524 G523:H524">
    <cfRule type="containsText" dxfId="2004" priority="2041" operator="containsText" text="o5">
      <formula>NOT(ISERROR(SEARCH("o5",E474)))</formula>
    </cfRule>
    <cfRule type="containsText" dxfId="2003" priority="2042" operator="containsText" text="o4">
      <formula>NOT(ISERROR(SEARCH("o4",E474)))</formula>
    </cfRule>
    <cfRule type="containsText" dxfId="2002" priority="2043" operator="containsText" text="o3">
      <formula>NOT(ISERROR(SEARCH("o3",E474)))</formula>
    </cfRule>
    <cfRule type="containsText" dxfId="2001" priority="2044" operator="containsText" text="o2">
      <formula>NOT(ISERROR(SEARCH("o2",E474)))</formula>
    </cfRule>
    <cfRule type="containsText" dxfId="2000" priority="2045" operator="containsText" text="o1b">
      <formula>NOT(ISERROR(SEARCH("o1b",E474)))</formula>
    </cfRule>
    <cfRule type="containsText" dxfId="1999" priority="2046" operator="containsText" text="o1a">
      <formula>NOT(ISERROR(SEARCH("o1a",E474)))</formula>
    </cfRule>
  </conditionalFormatting>
  <conditionalFormatting sqref="G468">
    <cfRule type="containsText" dxfId="1998" priority="2023" operator="containsText" text="o5">
      <formula>NOT(ISERROR(SEARCH("o5",G468)))</formula>
    </cfRule>
    <cfRule type="containsText" dxfId="1997" priority="2024" operator="containsText" text="o4">
      <formula>NOT(ISERROR(SEARCH("o4",G468)))</formula>
    </cfRule>
    <cfRule type="containsText" dxfId="1996" priority="2025" operator="containsText" text="o3">
      <formula>NOT(ISERROR(SEARCH("o3",G468)))</formula>
    </cfRule>
    <cfRule type="containsText" dxfId="1995" priority="2026" operator="containsText" text="o2">
      <formula>NOT(ISERROR(SEARCH("o2",G468)))</formula>
    </cfRule>
    <cfRule type="containsText" dxfId="1994" priority="2027" operator="containsText" text="o1b">
      <formula>NOT(ISERROR(SEARCH("o1b",G468)))</formula>
    </cfRule>
    <cfRule type="containsText" dxfId="1993" priority="2028" operator="containsText" text="o1a">
      <formula>NOT(ISERROR(SEARCH("o1a",G468)))</formula>
    </cfRule>
  </conditionalFormatting>
  <conditionalFormatting sqref="H467:H468">
    <cfRule type="containsText" dxfId="1992" priority="2035" operator="containsText" text="o5">
      <formula>NOT(ISERROR(SEARCH("o5",H467)))</formula>
    </cfRule>
    <cfRule type="containsText" dxfId="1991" priority="2036" operator="containsText" text="o4">
      <formula>NOT(ISERROR(SEARCH("o4",H467)))</formula>
    </cfRule>
    <cfRule type="containsText" dxfId="1990" priority="2037" operator="containsText" text="o3">
      <formula>NOT(ISERROR(SEARCH("o3",H467)))</formula>
    </cfRule>
    <cfRule type="containsText" dxfId="1989" priority="2038" operator="containsText" text="o2">
      <formula>NOT(ISERROR(SEARCH("o2",H467)))</formula>
    </cfRule>
    <cfRule type="containsText" dxfId="1988" priority="2039" operator="containsText" text="o1b">
      <formula>NOT(ISERROR(SEARCH("o1b",H467)))</formula>
    </cfRule>
    <cfRule type="containsText" dxfId="1987" priority="2040" operator="containsText" text="o1a">
      <formula>NOT(ISERROR(SEARCH("o1a",H467)))</formula>
    </cfRule>
  </conditionalFormatting>
  <conditionalFormatting sqref="F467:G467 F468">
    <cfRule type="containsText" dxfId="1986" priority="2029" operator="containsText" text="o5">
      <formula>NOT(ISERROR(SEARCH("o5",F467)))</formula>
    </cfRule>
    <cfRule type="containsText" dxfId="1985" priority="2030" operator="containsText" text="o4">
      <formula>NOT(ISERROR(SEARCH("o4",F467)))</formula>
    </cfRule>
    <cfRule type="containsText" dxfId="1984" priority="2031" operator="containsText" text="o3">
      <formula>NOT(ISERROR(SEARCH("o3",F467)))</formula>
    </cfRule>
    <cfRule type="containsText" dxfId="1983" priority="2032" operator="containsText" text="o2">
      <formula>NOT(ISERROR(SEARCH("o2",F467)))</formula>
    </cfRule>
    <cfRule type="containsText" dxfId="1982" priority="2033" operator="containsText" text="o1b">
      <formula>NOT(ISERROR(SEARCH("o1b",F467)))</formula>
    </cfRule>
    <cfRule type="containsText" dxfId="1981" priority="2034" operator="containsText" text="o1a">
      <formula>NOT(ISERROR(SEARCH("o1a",F467)))</formula>
    </cfRule>
  </conditionalFormatting>
  <conditionalFormatting sqref="E470:F470 H470 E471:H471 E472:E473 H472:H473">
    <cfRule type="containsText" dxfId="1980" priority="2017" operator="containsText" text="o5">
      <formula>NOT(ISERROR(SEARCH("o5",E470)))</formula>
    </cfRule>
    <cfRule type="containsText" dxfId="1979" priority="2018" operator="containsText" text="o4">
      <formula>NOT(ISERROR(SEARCH("o4",E470)))</formula>
    </cfRule>
    <cfRule type="containsText" dxfId="1978" priority="2019" operator="containsText" text="o3">
      <formula>NOT(ISERROR(SEARCH("o3",E470)))</formula>
    </cfRule>
    <cfRule type="containsText" dxfId="1977" priority="2020" operator="containsText" text="o2">
      <formula>NOT(ISERROR(SEARCH("o2",E470)))</formula>
    </cfRule>
    <cfRule type="containsText" dxfId="1976" priority="2021" operator="containsText" text="o1b">
      <formula>NOT(ISERROR(SEARCH("o1b",E470)))</formula>
    </cfRule>
    <cfRule type="containsText" dxfId="1975" priority="2022" operator="containsText" text="o1a">
      <formula>NOT(ISERROR(SEARCH("o1a",E470)))</formula>
    </cfRule>
  </conditionalFormatting>
  <conditionalFormatting sqref="G470">
    <cfRule type="containsText" dxfId="1974" priority="2011" operator="containsText" text="o5">
      <formula>NOT(ISERROR(SEARCH("o5",G470)))</formula>
    </cfRule>
    <cfRule type="containsText" dxfId="1973" priority="2012" operator="containsText" text="o4">
      <formula>NOT(ISERROR(SEARCH("o4",G470)))</formula>
    </cfRule>
    <cfRule type="containsText" dxfId="1972" priority="2013" operator="containsText" text="o3">
      <formula>NOT(ISERROR(SEARCH("o3",G470)))</formula>
    </cfRule>
    <cfRule type="containsText" dxfId="1971" priority="2014" operator="containsText" text="o2">
      <formula>NOT(ISERROR(SEARCH("o2",G470)))</formula>
    </cfRule>
    <cfRule type="containsText" dxfId="1970" priority="2015" operator="containsText" text="o1b">
      <formula>NOT(ISERROR(SEARCH("o1b",G470)))</formula>
    </cfRule>
    <cfRule type="containsText" dxfId="1969" priority="2016" operator="containsText" text="o1a">
      <formula>NOT(ISERROR(SEARCH("o1a",G470)))</formula>
    </cfRule>
  </conditionalFormatting>
  <conditionalFormatting sqref="F472:G472 F473">
    <cfRule type="containsText" dxfId="1968" priority="2005" operator="containsText" text="o5">
      <formula>NOT(ISERROR(SEARCH("o5",F472)))</formula>
    </cfRule>
    <cfRule type="containsText" dxfId="1967" priority="2006" operator="containsText" text="o4">
      <formula>NOT(ISERROR(SEARCH("o4",F472)))</formula>
    </cfRule>
    <cfRule type="containsText" dxfId="1966" priority="2007" operator="containsText" text="o3">
      <formula>NOT(ISERROR(SEARCH("o3",F472)))</formula>
    </cfRule>
    <cfRule type="containsText" dxfId="1965" priority="2008" operator="containsText" text="o2">
      <formula>NOT(ISERROR(SEARCH("o2",F472)))</formula>
    </cfRule>
    <cfRule type="containsText" dxfId="1964" priority="2009" operator="containsText" text="o1b">
      <formula>NOT(ISERROR(SEARCH("o1b",F472)))</formula>
    </cfRule>
    <cfRule type="containsText" dxfId="1963" priority="2010" operator="containsText" text="o1a">
      <formula>NOT(ISERROR(SEARCH("o1a",F472)))</formula>
    </cfRule>
  </conditionalFormatting>
  <conditionalFormatting sqref="G473">
    <cfRule type="containsText" dxfId="1962" priority="1999" operator="containsText" text="o5">
      <formula>NOT(ISERROR(SEARCH("o5",G473)))</formula>
    </cfRule>
    <cfRule type="containsText" dxfId="1961" priority="2000" operator="containsText" text="o4">
      <formula>NOT(ISERROR(SEARCH("o4",G473)))</formula>
    </cfRule>
    <cfRule type="containsText" dxfId="1960" priority="2001" operator="containsText" text="o3">
      <formula>NOT(ISERROR(SEARCH("o3",G473)))</formula>
    </cfRule>
    <cfRule type="containsText" dxfId="1959" priority="2002" operator="containsText" text="o2">
      <formula>NOT(ISERROR(SEARCH("o2",G473)))</formula>
    </cfRule>
    <cfRule type="containsText" dxfId="1958" priority="2003" operator="containsText" text="o1b">
      <formula>NOT(ISERROR(SEARCH("o1b",G473)))</formula>
    </cfRule>
    <cfRule type="containsText" dxfId="1957" priority="2004" operator="containsText" text="o1a">
      <formula>NOT(ISERROR(SEARCH("o1a",G473)))</formula>
    </cfRule>
  </conditionalFormatting>
  <conditionalFormatting sqref="F476:H476">
    <cfRule type="containsText" dxfId="1956" priority="1993" operator="containsText" text="o5">
      <formula>NOT(ISERROR(SEARCH("o5",F476)))</formula>
    </cfRule>
    <cfRule type="containsText" dxfId="1955" priority="1994" operator="containsText" text="o4">
      <formula>NOT(ISERROR(SEARCH("o4",F476)))</formula>
    </cfRule>
    <cfRule type="containsText" dxfId="1954" priority="1995" operator="containsText" text="o3">
      <formula>NOT(ISERROR(SEARCH("o3",F476)))</formula>
    </cfRule>
    <cfRule type="containsText" dxfId="1953" priority="1996" operator="containsText" text="o2">
      <formula>NOT(ISERROR(SEARCH("o2",F476)))</formula>
    </cfRule>
    <cfRule type="containsText" dxfId="1952" priority="1997" operator="containsText" text="o1b">
      <formula>NOT(ISERROR(SEARCH("o1b",F476)))</formula>
    </cfRule>
    <cfRule type="containsText" dxfId="1951" priority="1998" operator="containsText" text="o1a">
      <formula>NOT(ISERROR(SEARCH("o1a",F476)))</formula>
    </cfRule>
  </conditionalFormatting>
  <conditionalFormatting sqref="G475">
    <cfRule type="containsText" dxfId="1950" priority="1975" operator="containsText" text="o5">
      <formula>NOT(ISERROR(SEARCH("o5",G475)))</formula>
    </cfRule>
    <cfRule type="containsText" dxfId="1949" priority="1976" operator="containsText" text="o4">
      <formula>NOT(ISERROR(SEARCH("o4",G475)))</formula>
    </cfRule>
    <cfRule type="containsText" dxfId="1948" priority="1977" operator="containsText" text="o3">
      <formula>NOT(ISERROR(SEARCH("o3",G475)))</formula>
    </cfRule>
    <cfRule type="containsText" dxfId="1947" priority="1978" operator="containsText" text="o2">
      <formula>NOT(ISERROR(SEARCH("o2",G475)))</formula>
    </cfRule>
    <cfRule type="containsText" dxfId="1946" priority="1979" operator="containsText" text="o1b">
      <formula>NOT(ISERROR(SEARCH("o1b",G475)))</formula>
    </cfRule>
    <cfRule type="containsText" dxfId="1945" priority="1980" operator="containsText" text="o1a">
      <formula>NOT(ISERROR(SEARCH("o1a",G475)))</formula>
    </cfRule>
  </conditionalFormatting>
  <conditionalFormatting sqref="H474:H475">
    <cfRule type="containsText" dxfId="1944" priority="1987" operator="containsText" text="o5">
      <formula>NOT(ISERROR(SEARCH("o5",H474)))</formula>
    </cfRule>
    <cfRule type="containsText" dxfId="1943" priority="1988" operator="containsText" text="o4">
      <formula>NOT(ISERROR(SEARCH("o4",H474)))</formula>
    </cfRule>
    <cfRule type="containsText" dxfId="1942" priority="1989" operator="containsText" text="o3">
      <formula>NOT(ISERROR(SEARCH("o3",H474)))</formula>
    </cfRule>
    <cfRule type="containsText" dxfId="1941" priority="1990" operator="containsText" text="o2">
      <formula>NOT(ISERROR(SEARCH("o2",H474)))</formula>
    </cfRule>
    <cfRule type="containsText" dxfId="1940" priority="1991" operator="containsText" text="o1b">
      <formula>NOT(ISERROR(SEARCH("o1b",H474)))</formula>
    </cfRule>
    <cfRule type="containsText" dxfId="1939" priority="1992" operator="containsText" text="o1a">
      <formula>NOT(ISERROR(SEARCH("o1a",H474)))</formula>
    </cfRule>
  </conditionalFormatting>
  <conditionalFormatting sqref="F474:G474 F475">
    <cfRule type="containsText" dxfId="1938" priority="1981" operator="containsText" text="o5">
      <formula>NOT(ISERROR(SEARCH("o5",F474)))</formula>
    </cfRule>
    <cfRule type="containsText" dxfId="1937" priority="1982" operator="containsText" text="o4">
      <formula>NOT(ISERROR(SEARCH("o4",F474)))</formula>
    </cfRule>
    <cfRule type="containsText" dxfId="1936" priority="1983" operator="containsText" text="o3">
      <formula>NOT(ISERROR(SEARCH("o3",F474)))</formula>
    </cfRule>
    <cfRule type="containsText" dxfId="1935" priority="1984" operator="containsText" text="o2">
      <formula>NOT(ISERROR(SEARCH("o2",F474)))</formula>
    </cfRule>
    <cfRule type="containsText" dxfId="1934" priority="1985" operator="containsText" text="o1b">
      <formula>NOT(ISERROR(SEARCH("o1b",F474)))</formula>
    </cfRule>
    <cfRule type="containsText" dxfId="1933" priority="1986" operator="containsText" text="o1a">
      <formula>NOT(ISERROR(SEARCH("o1a",F474)))</formula>
    </cfRule>
  </conditionalFormatting>
  <conditionalFormatting sqref="E477:F477 H477 E478:H478 E479:E480 H479:H480">
    <cfRule type="containsText" dxfId="1932" priority="1969" operator="containsText" text="o5">
      <formula>NOT(ISERROR(SEARCH("o5",E477)))</formula>
    </cfRule>
    <cfRule type="containsText" dxfId="1931" priority="1970" operator="containsText" text="o4">
      <formula>NOT(ISERROR(SEARCH("o4",E477)))</formula>
    </cfRule>
    <cfRule type="containsText" dxfId="1930" priority="1971" operator="containsText" text="o3">
      <formula>NOT(ISERROR(SEARCH("o3",E477)))</formula>
    </cfRule>
    <cfRule type="containsText" dxfId="1929" priority="1972" operator="containsText" text="o2">
      <formula>NOT(ISERROR(SEARCH("o2",E477)))</formula>
    </cfRule>
    <cfRule type="containsText" dxfId="1928" priority="1973" operator="containsText" text="o1b">
      <formula>NOT(ISERROR(SEARCH("o1b",E477)))</formula>
    </cfRule>
    <cfRule type="containsText" dxfId="1927" priority="1974" operator="containsText" text="o1a">
      <formula>NOT(ISERROR(SEARCH("o1a",E477)))</formula>
    </cfRule>
  </conditionalFormatting>
  <conditionalFormatting sqref="G477">
    <cfRule type="containsText" dxfId="1926" priority="1963" operator="containsText" text="o5">
      <formula>NOT(ISERROR(SEARCH("o5",G477)))</formula>
    </cfRule>
    <cfRule type="containsText" dxfId="1925" priority="1964" operator="containsText" text="o4">
      <formula>NOT(ISERROR(SEARCH("o4",G477)))</formula>
    </cfRule>
    <cfRule type="containsText" dxfId="1924" priority="1965" operator="containsText" text="o3">
      <formula>NOT(ISERROR(SEARCH("o3",G477)))</formula>
    </cfRule>
    <cfRule type="containsText" dxfId="1923" priority="1966" operator="containsText" text="o2">
      <formula>NOT(ISERROR(SEARCH("o2",G477)))</formula>
    </cfRule>
    <cfRule type="containsText" dxfId="1922" priority="1967" operator="containsText" text="o1b">
      <formula>NOT(ISERROR(SEARCH("o1b",G477)))</formula>
    </cfRule>
    <cfRule type="containsText" dxfId="1921" priority="1968" operator="containsText" text="o1a">
      <formula>NOT(ISERROR(SEARCH("o1a",G477)))</formula>
    </cfRule>
  </conditionalFormatting>
  <conditionalFormatting sqref="F479:G479 F480">
    <cfRule type="containsText" dxfId="1920" priority="1957" operator="containsText" text="o5">
      <formula>NOT(ISERROR(SEARCH("o5",F479)))</formula>
    </cfRule>
    <cfRule type="containsText" dxfId="1919" priority="1958" operator="containsText" text="o4">
      <formula>NOT(ISERROR(SEARCH("o4",F479)))</formula>
    </cfRule>
    <cfRule type="containsText" dxfId="1918" priority="1959" operator="containsText" text="o3">
      <formula>NOT(ISERROR(SEARCH("o3",F479)))</formula>
    </cfRule>
    <cfRule type="containsText" dxfId="1917" priority="1960" operator="containsText" text="o2">
      <formula>NOT(ISERROR(SEARCH("o2",F479)))</formula>
    </cfRule>
    <cfRule type="containsText" dxfId="1916" priority="1961" operator="containsText" text="o1b">
      <formula>NOT(ISERROR(SEARCH("o1b",F479)))</formula>
    </cfRule>
    <cfRule type="containsText" dxfId="1915" priority="1962" operator="containsText" text="o1a">
      <formula>NOT(ISERROR(SEARCH("o1a",F479)))</formula>
    </cfRule>
  </conditionalFormatting>
  <conditionalFormatting sqref="G480">
    <cfRule type="containsText" dxfId="1914" priority="1951" operator="containsText" text="o5">
      <formula>NOT(ISERROR(SEARCH("o5",G480)))</formula>
    </cfRule>
    <cfRule type="containsText" dxfId="1913" priority="1952" operator="containsText" text="o4">
      <formula>NOT(ISERROR(SEARCH("o4",G480)))</formula>
    </cfRule>
    <cfRule type="containsText" dxfId="1912" priority="1953" operator="containsText" text="o3">
      <formula>NOT(ISERROR(SEARCH("o3",G480)))</formula>
    </cfRule>
    <cfRule type="containsText" dxfId="1911" priority="1954" operator="containsText" text="o2">
      <formula>NOT(ISERROR(SEARCH("o2",G480)))</formula>
    </cfRule>
    <cfRule type="containsText" dxfId="1910" priority="1955" operator="containsText" text="o1b">
      <formula>NOT(ISERROR(SEARCH("o1b",G480)))</formula>
    </cfRule>
    <cfRule type="containsText" dxfId="1909" priority="1956" operator="containsText" text="o1a">
      <formula>NOT(ISERROR(SEARCH("o1a",G480)))</formula>
    </cfRule>
  </conditionalFormatting>
  <conditionalFormatting sqref="G481">
    <cfRule type="containsText" dxfId="1908" priority="1945" operator="containsText" text="o5">
      <formula>NOT(ISERROR(SEARCH("o5",G481)))</formula>
    </cfRule>
    <cfRule type="containsText" dxfId="1907" priority="1946" operator="containsText" text="o4">
      <formula>NOT(ISERROR(SEARCH("o4",G481)))</formula>
    </cfRule>
    <cfRule type="containsText" dxfId="1906" priority="1947" operator="containsText" text="o3">
      <formula>NOT(ISERROR(SEARCH("o3",G481)))</formula>
    </cfRule>
    <cfRule type="containsText" dxfId="1905" priority="1948" operator="containsText" text="o2">
      <formula>NOT(ISERROR(SEARCH("o2",G481)))</formula>
    </cfRule>
    <cfRule type="containsText" dxfId="1904" priority="1949" operator="containsText" text="o1b">
      <formula>NOT(ISERROR(SEARCH("o1b",G481)))</formula>
    </cfRule>
    <cfRule type="containsText" dxfId="1903" priority="1950" operator="containsText" text="o1a">
      <formula>NOT(ISERROR(SEARCH("o1a",G481)))</formula>
    </cfRule>
  </conditionalFormatting>
  <conditionalFormatting sqref="F482">
    <cfRule type="containsText" dxfId="1902" priority="1939" operator="containsText" text="o5">
      <formula>NOT(ISERROR(SEARCH("o5",F482)))</formula>
    </cfRule>
    <cfRule type="containsText" dxfId="1901" priority="1940" operator="containsText" text="o4">
      <formula>NOT(ISERROR(SEARCH("o4",F482)))</formula>
    </cfRule>
    <cfRule type="containsText" dxfId="1900" priority="1941" operator="containsText" text="o3">
      <formula>NOT(ISERROR(SEARCH("o3",F482)))</formula>
    </cfRule>
    <cfRule type="containsText" dxfId="1899" priority="1942" operator="containsText" text="o2">
      <formula>NOT(ISERROR(SEARCH("o2",F482)))</formula>
    </cfRule>
    <cfRule type="containsText" dxfId="1898" priority="1943" operator="containsText" text="o1b">
      <formula>NOT(ISERROR(SEARCH("o1b",F482)))</formula>
    </cfRule>
    <cfRule type="containsText" dxfId="1897" priority="1944" operator="containsText" text="o1a">
      <formula>NOT(ISERROR(SEARCH("o1a",F482)))</formula>
    </cfRule>
  </conditionalFormatting>
  <conditionalFormatting sqref="G485">
    <cfRule type="containsText" dxfId="1896" priority="1921" operator="containsText" text="o5">
      <formula>NOT(ISERROR(SEARCH("o5",G485)))</formula>
    </cfRule>
    <cfRule type="containsText" dxfId="1895" priority="1922" operator="containsText" text="o4">
      <formula>NOT(ISERROR(SEARCH("o4",G485)))</formula>
    </cfRule>
    <cfRule type="containsText" dxfId="1894" priority="1923" operator="containsText" text="o3">
      <formula>NOT(ISERROR(SEARCH("o3",G485)))</formula>
    </cfRule>
    <cfRule type="containsText" dxfId="1893" priority="1924" operator="containsText" text="o2">
      <formula>NOT(ISERROR(SEARCH("o2",G485)))</formula>
    </cfRule>
    <cfRule type="containsText" dxfId="1892" priority="1925" operator="containsText" text="o1b">
      <formula>NOT(ISERROR(SEARCH("o1b",G485)))</formula>
    </cfRule>
    <cfRule type="containsText" dxfId="1891" priority="1926" operator="containsText" text="o1a">
      <formula>NOT(ISERROR(SEARCH("o1a",G485)))</formula>
    </cfRule>
  </conditionalFormatting>
  <conditionalFormatting sqref="H484:H485">
    <cfRule type="containsText" dxfId="1890" priority="1933" operator="containsText" text="o5">
      <formula>NOT(ISERROR(SEARCH("o5",H484)))</formula>
    </cfRule>
    <cfRule type="containsText" dxfId="1889" priority="1934" operator="containsText" text="o4">
      <formula>NOT(ISERROR(SEARCH("o4",H484)))</formula>
    </cfRule>
    <cfRule type="containsText" dxfId="1888" priority="1935" operator="containsText" text="o3">
      <formula>NOT(ISERROR(SEARCH("o3",H484)))</formula>
    </cfRule>
    <cfRule type="containsText" dxfId="1887" priority="1936" operator="containsText" text="o2">
      <formula>NOT(ISERROR(SEARCH("o2",H484)))</formula>
    </cfRule>
    <cfRule type="containsText" dxfId="1886" priority="1937" operator="containsText" text="o1b">
      <formula>NOT(ISERROR(SEARCH("o1b",H484)))</formula>
    </cfRule>
    <cfRule type="containsText" dxfId="1885" priority="1938" operator="containsText" text="o1a">
      <formula>NOT(ISERROR(SEARCH("o1a",H484)))</formula>
    </cfRule>
  </conditionalFormatting>
  <conditionalFormatting sqref="F484:G484 F485">
    <cfRule type="containsText" dxfId="1884" priority="1927" operator="containsText" text="o5">
      <formula>NOT(ISERROR(SEARCH("o5",F484)))</formula>
    </cfRule>
    <cfRule type="containsText" dxfId="1883" priority="1928" operator="containsText" text="o4">
      <formula>NOT(ISERROR(SEARCH("o4",F484)))</formula>
    </cfRule>
    <cfRule type="containsText" dxfId="1882" priority="1929" operator="containsText" text="o3">
      <formula>NOT(ISERROR(SEARCH("o3",F484)))</formula>
    </cfRule>
    <cfRule type="containsText" dxfId="1881" priority="1930" operator="containsText" text="o2">
      <formula>NOT(ISERROR(SEARCH("o2",F484)))</formula>
    </cfRule>
    <cfRule type="containsText" dxfId="1880" priority="1931" operator="containsText" text="o1b">
      <formula>NOT(ISERROR(SEARCH("o1b",F484)))</formula>
    </cfRule>
    <cfRule type="containsText" dxfId="1879" priority="1932" operator="containsText" text="o1a">
      <formula>NOT(ISERROR(SEARCH("o1a",F484)))</formula>
    </cfRule>
  </conditionalFormatting>
  <conditionalFormatting sqref="E486:F486 H486 E487:H487 E488:E489 H488:H489">
    <cfRule type="containsText" dxfId="1878" priority="1915" operator="containsText" text="o5">
      <formula>NOT(ISERROR(SEARCH("o5",E486)))</formula>
    </cfRule>
    <cfRule type="containsText" dxfId="1877" priority="1916" operator="containsText" text="o4">
      <formula>NOT(ISERROR(SEARCH("o4",E486)))</formula>
    </cfRule>
    <cfRule type="containsText" dxfId="1876" priority="1917" operator="containsText" text="o3">
      <formula>NOT(ISERROR(SEARCH("o3",E486)))</formula>
    </cfRule>
    <cfRule type="containsText" dxfId="1875" priority="1918" operator="containsText" text="o2">
      <formula>NOT(ISERROR(SEARCH("o2",E486)))</formula>
    </cfRule>
    <cfRule type="containsText" dxfId="1874" priority="1919" operator="containsText" text="o1b">
      <formula>NOT(ISERROR(SEARCH("o1b",E486)))</formula>
    </cfRule>
    <cfRule type="containsText" dxfId="1873" priority="1920" operator="containsText" text="o1a">
      <formula>NOT(ISERROR(SEARCH("o1a",E486)))</formula>
    </cfRule>
  </conditionalFormatting>
  <conditionalFormatting sqref="G486">
    <cfRule type="containsText" dxfId="1872" priority="1909" operator="containsText" text="o5">
      <formula>NOT(ISERROR(SEARCH("o5",G486)))</formula>
    </cfRule>
    <cfRule type="containsText" dxfId="1871" priority="1910" operator="containsText" text="o4">
      <formula>NOT(ISERROR(SEARCH("o4",G486)))</formula>
    </cfRule>
    <cfRule type="containsText" dxfId="1870" priority="1911" operator="containsText" text="o3">
      <formula>NOT(ISERROR(SEARCH("o3",G486)))</formula>
    </cfRule>
    <cfRule type="containsText" dxfId="1869" priority="1912" operator="containsText" text="o2">
      <formula>NOT(ISERROR(SEARCH("o2",G486)))</formula>
    </cfRule>
    <cfRule type="containsText" dxfId="1868" priority="1913" operator="containsText" text="o1b">
      <formula>NOT(ISERROR(SEARCH("o1b",G486)))</formula>
    </cfRule>
    <cfRule type="containsText" dxfId="1867" priority="1914" operator="containsText" text="o1a">
      <formula>NOT(ISERROR(SEARCH("o1a",G486)))</formula>
    </cfRule>
  </conditionalFormatting>
  <conditionalFormatting sqref="F488:G488 F489">
    <cfRule type="containsText" dxfId="1866" priority="1903" operator="containsText" text="o5">
      <formula>NOT(ISERROR(SEARCH("o5",F488)))</formula>
    </cfRule>
    <cfRule type="containsText" dxfId="1865" priority="1904" operator="containsText" text="o4">
      <formula>NOT(ISERROR(SEARCH("o4",F488)))</formula>
    </cfRule>
    <cfRule type="containsText" dxfId="1864" priority="1905" operator="containsText" text="o3">
      <formula>NOT(ISERROR(SEARCH("o3",F488)))</formula>
    </cfRule>
    <cfRule type="containsText" dxfId="1863" priority="1906" operator="containsText" text="o2">
      <formula>NOT(ISERROR(SEARCH("o2",F488)))</formula>
    </cfRule>
    <cfRule type="containsText" dxfId="1862" priority="1907" operator="containsText" text="o1b">
      <formula>NOT(ISERROR(SEARCH("o1b",F488)))</formula>
    </cfRule>
    <cfRule type="containsText" dxfId="1861" priority="1908" operator="containsText" text="o1a">
      <formula>NOT(ISERROR(SEARCH("o1a",F488)))</formula>
    </cfRule>
  </conditionalFormatting>
  <conditionalFormatting sqref="G489">
    <cfRule type="containsText" dxfId="1860" priority="1897" operator="containsText" text="o5">
      <formula>NOT(ISERROR(SEARCH("o5",G489)))</formula>
    </cfRule>
    <cfRule type="containsText" dxfId="1859" priority="1898" operator="containsText" text="o4">
      <formula>NOT(ISERROR(SEARCH("o4",G489)))</formula>
    </cfRule>
    <cfRule type="containsText" dxfId="1858" priority="1899" operator="containsText" text="o3">
      <formula>NOT(ISERROR(SEARCH("o3",G489)))</formula>
    </cfRule>
    <cfRule type="containsText" dxfId="1857" priority="1900" operator="containsText" text="o2">
      <formula>NOT(ISERROR(SEARCH("o2",G489)))</formula>
    </cfRule>
    <cfRule type="containsText" dxfId="1856" priority="1901" operator="containsText" text="o1b">
      <formula>NOT(ISERROR(SEARCH("o1b",G489)))</formula>
    </cfRule>
    <cfRule type="containsText" dxfId="1855" priority="1902" operator="containsText" text="o1a">
      <formula>NOT(ISERROR(SEARCH("o1a",G489)))</formula>
    </cfRule>
  </conditionalFormatting>
  <conditionalFormatting sqref="G491">
    <cfRule type="containsText" dxfId="1854" priority="1879" operator="containsText" text="o5">
      <formula>NOT(ISERROR(SEARCH("o5",G491)))</formula>
    </cfRule>
    <cfRule type="containsText" dxfId="1853" priority="1880" operator="containsText" text="o4">
      <formula>NOT(ISERROR(SEARCH("o4",G491)))</formula>
    </cfRule>
    <cfRule type="containsText" dxfId="1852" priority="1881" operator="containsText" text="o3">
      <formula>NOT(ISERROR(SEARCH("o3",G491)))</formula>
    </cfRule>
    <cfRule type="containsText" dxfId="1851" priority="1882" operator="containsText" text="o2">
      <formula>NOT(ISERROR(SEARCH("o2",G491)))</formula>
    </cfRule>
    <cfRule type="containsText" dxfId="1850" priority="1883" operator="containsText" text="o1b">
      <formula>NOT(ISERROR(SEARCH("o1b",G491)))</formula>
    </cfRule>
    <cfRule type="containsText" dxfId="1849" priority="1884" operator="containsText" text="o1a">
      <formula>NOT(ISERROR(SEARCH("o1a",G491)))</formula>
    </cfRule>
  </conditionalFormatting>
  <conditionalFormatting sqref="H490:H491">
    <cfRule type="containsText" dxfId="1848" priority="1891" operator="containsText" text="o5">
      <formula>NOT(ISERROR(SEARCH("o5",H490)))</formula>
    </cfRule>
    <cfRule type="containsText" dxfId="1847" priority="1892" operator="containsText" text="o4">
      <formula>NOT(ISERROR(SEARCH("o4",H490)))</formula>
    </cfRule>
    <cfRule type="containsText" dxfId="1846" priority="1893" operator="containsText" text="o3">
      <formula>NOT(ISERROR(SEARCH("o3",H490)))</formula>
    </cfRule>
    <cfRule type="containsText" dxfId="1845" priority="1894" operator="containsText" text="o2">
      <formula>NOT(ISERROR(SEARCH("o2",H490)))</formula>
    </cfRule>
    <cfRule type="containsText" dxfId="1844" priority="1895" operator="containsText" text="o1b">
      <formula>NOT(ISERROR(SEARCH("o1b",H490)))</formula>
    </cfRule>
    <cfRule type="containsText" dxfId="1843" priority="1896" operator="containsText" text="o1a">
      <formula>NOT(ISERROR(SEARCH("o1a",H490)))</formula>
    </cfRule>
  </conditionalFormatting>
  <conditionalFormatting sqref="F490:G490 F491">
    <cfRule type="containsText" dxfId="1842" priority="1885" operator="containsText" text="o5">
      <formula>NOT(ISERROR(SEARCH("o5",F490)))</formula>
    </cfRule>
    <cfRule type="containsText" dxfId="1841" priority="1886" operator="containsText" text="o4">
      <formula>NOT(ISERROR(SEARCH("o4",F490)))</formula>
    </cfRule>
    <cfRule type="containsText" dxfId="1840" priority="1887" operator="containsText" text="o3">
      <formula>NOT(ISERROR(SEARCH("o3",F490)))</formula>
    </cfRule>
    <cfRule type="containsText" dxfId="1839" priority="1888" operator="containsText" text="o2">
      <formula>NOT(ISERROR(SEARCH("o2",F490)))</formula>
    </cfRule>
    <cfRule type="containsText" dxfId="1838" priority="1889" operator="containsText" text="o1b">
      <formula>NOT(ISERROR(SEARCH("o1b",F490)))</formula>
    </cfRule>
    <cfRule type="containsText" dxfId="1837" priority="1890" operator="containsText" text="o1a">
      <formula>NOT(ISERROR(SEARCH("o1a",F490)))</formula>
    </cfRule>
  </conditionalFormatting>
  <conditionalFormatting sqref="E492:F492 H492 E493:H493 E494:E495 H494:H495">
    <cfRule type="containsText" dxfId="1836" priority="1873" operator="containsText" text="o5">
      <formula>NOT(ISERROR(SEARCH("o5",E492)))</formula>
    </cfRule>
    <cfRule type="containsText" dxfId="1835" priority="1874" operator="containsText" text="o4">
      <formula>NOT(ISERROR(SEARCH("o4",E492)))</formula>
    </cfRule>
    <cfRule type="containsText" dxfId="1834" priority="1875" operator="containsText" text="o3">
      <formula>NOT(ISERROR(SEARCH("o3",E492)))</formula>
    </cfRule>
    <cfRule type="containsText" dxfId="1833" priority="1876" operator="containsText" text="o2">
      <formula>NOT(ISERROR(SEARCH("o2",E492)))</formula>
    </cfRule>
    <cfRule type="containsText" dxfId="1832" priority="1877" operator="containsText" text="o1b">
      <formula>NOT(ISERROR(SEARCH("o1b",E492)))</formula>
    </cfRule>
    <cfRule type="containsText" dxfId="1831" priority="1878" operator="containsText" text="o1a">
      <formula>NOT(ISERROR(SEARCH("o1a",E492)))</formula>
    </cfRule>
  </conditionalFormatting>
  <conditionalFormatting sqref="G492">
    <cfRule type="containsText" dxfId="1830" priority="1867" operator="containsText" text="o5">
      <formula>NOT(ISERROR(SEARCH("o5",G492)))</formula>
    </cfRule>
    <cfRule type="containsText" dxfId="1829" priority="1868" operator="containsText" text="o4">
      <formula>NOT(ISERROR(SEARCH("o4",G492)))</formula>
    </cfRule>
    <cfRule type="containsText" dxfId="1828" priority="1869" operator="containsText" text="o3">
      <formula>NOT(ISERROR(SEARCH("o3",G492)))</formula>
    </cfRule>
    <cfRule type="containsText" dxfId="1827" priority="1870" operator="containsText" text="o2">
      <formula>NOT(ISERROR(SEARCH("o2",G492)))</formula>
    </cfRule>
    <cfRule type="containsText" dxfId="1826" priority="1871" operator="containsText" text="o1b">
      <formula>NOT(ISERROR(SEARCH("o1b",G492)))</formula>
    </cfRule>
    <cfRule type="containsText" dxfId="1825" priority="1872" operator="containsText" text="o1a">
      <formula>NOT(ISERROR(SEARCH("o1a",G492)))</formula>
    </cfRule>
  </conditionalFormatting>
  <conditionalFormatting sqref="F494:G494 F495">
    <cfRule type="containsText" dxfId="1824" priority="1861" operator="containsText" text="o5">
      <formula>NOT(ISERROR(SEARCH("o5",F494)))</formula>
    </cfRule>
    <cfRule type="containsText" dxfId="1823" priority="1862" operator="containsText" text="o4">
      <formula>NOT(ISERROR(SEARCH("o4",F494)))</formula>
    </cfRule>
    <cfRule type="containsText" dxfId="1822" priority="1863" operator="containsText" text="o3">
      <formula>NOT(ISERROR(SEARCH("o3",F494)))</formula>
    </cfRule>
    <cfRule type="containsText" dxfId="1821" priority="1864" operator="containsText" text="o2">
      <formula>NOT(ISERROR(SEARCH("o2",F494)))</formula>
    </cfRule>
    <cfRule type="containsText" dxfId="1820" priority="1865" operator="containsText" text="o1b">
      <formula>NOT(ISERROR(SEARCH("o1b",F494)))</formula>
    </cfRule>
    <cfRule type="containsText" dxfId="1819" priority="1866" operator="containsText" text="o1a">
      <formula>NOT(ISERROR(SEARCH("o1a",F494)))</formula>
    </cfRule>
  </conditionalFormatting>
  <conditionalFormatting sqref="G495">
    <cfRule type="containsText" dxfId="1818" priority="1855" operator="containsText" text="o5">
      <formula>NOT(ISERROR(SEARCH("o5",G495)))</formula>
    </cfRule>
    <cfRule type="containsText" dxfId="1817" priority="1856" operator="containsText" text="o4">
      <formula>NOT(ISERROR(SEARCH("o4",G495)))</formula>
    </cfRule>
    <cfRule type="containsText" dxfId="1816" priority="1857" operator="containsText" text="o3">
      <formula>NOT(ISERROR(SEARCH("o3",G495)))</formula>
    </cfRule>
    <cfRule type="containsText" dxfId="1815" priority="1858" operator="containsText" text="o2">
      <formula>NOT(ISERROR(SEARCH("o2",G495)))</formula>
    </cfRule>
    <cfRule type="containsText" dxfId="1814" priority="1859" operator="containsText" text="o1b">
      <formula>NOT(ISERROR(SEARCH("o1b",G495)))</formula>
    </cfRule>
    <cfRule type="containsText" dxfId="1813" priority="1860" operator="containsText" text="o1a">
      <formula>NOT(ISERROR(SEARCH("o1a",G495)))</formula>
    </cfRule>
  </conditionalFormatting>
  <conditionalFormatting sqref="G497">
    <cfRule type="containsText" dxfId="1812" priority="1837" operator="containsText" text="o5">
      <formula>NOT(ISERROR(SEARCH("o5",G497)))</formula>
    </cfRule>
    <cfRule type="containsText" dxfId="1811" priority="1838" operator="containsText" text="o4">
      <formula>NOT(ISERROR(SEARCH("o4",G497)))</formula>
    </cfRule>
    <cfRule type="containsText" dxfId="1810" priority="1839" operator="containsText" text="o3">
      <formula>NOT(ISERROR(SEARCH("o3",G497)))</formula>
    </cfRule>
    <cfRule type="containsText" dxfId="1809" priority="1840" operator="containsText" text="o2">
      <formula>NOT(ISERROR(SEARCH("o2",G497)))</formula>
    </cfRule>
    <cfRule type="containsText" dxfId="1808" priority="1841" operator="containsText" text="o1b">
      <formula>NOT(ISERROR(SEARCH("o1b",G497)))</formula>
    </cfRule>
    <cfRule type="containsText" dxfId="1807" priority="1842" operator="containsText" text="o1a">
      <formula>NOT(ISERROR(SEARCH("o1a",G497)))</formula>
    </cfRule>
  </conditionalFormatting>
  <conditionalFormatting sqref="H496:H497">
    <cfRule type="containsText" dxfId="1806" priority="1849" operator="containsText" text="o5">
      <formula>NOT(ISERROR(SEARCH("o5",H496)))</formula>
    </cfRule>
    <cfRule type="containsText" dxfId="1805" priority="1850" operator="containsText" text="o4">
      <formula>NOT(ISERROR(SEARCH("o4",H496)))</formula>
    </cfRule>
    <cfRule type="containsText" dxfId="1804" priority="1851" operator="containsText" text="o3">
      <formula>NOT(ISERROR(SEARCH("o3",H496)))</formula>
    </cfRule>
    <cfRule type="containsText" dxfId="1803" priority="1852" operator="containsText" text="o2">
      <formula>NOT(ISERROR(SEARCH("o2",H496)))</formula>
    </cfRule>
    <cfRule type="containsText" dxfId="1802" priority="1853" operator="containsText" text="o1b">
      <formula>NOT(ISERROR(SEARCH("o1b",H496)))</formula>
    </cfRule>
    <cfRule type="containsText" dxfId="1801" priority="1854" operator="containsText" text="o1a">
      <formula>NOT(ISERROR(SEARCH("o1a",H496)))</formula>
    </cfRule>
  </conditionalFormatting>
  <conditionalFormatting sqref="F496:G496 F497">
    <cfRule type="containsText" dxfId="1800" priority="1843" operator="containsText" text="o5">
      <formula>NOT(ISERROR(SEARCH("o5",F496)))</formula>
    </cfRule>
    <cfRule type="containsText" dxfId="1799" priority="1844" operator="containsText" text="o4">
      <formula>NOT(ISERROR(SEARCH("o4",F496)))</formula>
    </cfRule>
    <cfRule type="containsText" dxfId="1798" priority="1845" operator="containsText" text="o3">
      <formula>NOT(ISERROR(SEARCH("o3",F496)))</formula>
    </cfRule>
    <cfRule type="containsText" dxfId="1797" priority="1846" operator="containsText" text="o2">
      <formula>NOT(ISERROR(SEARCH("o2",F496)))</formula>
    </cfRule>
    <cfRule type="containsText" dxfId="1796" priority="1847" operator="containsText" text="o1b">
      <formula>NOT(ISERROR(SEARCH("o1b",F496)))</formula>
    </cfRule>
    <cfRule type="containsText" dxfId="1795" priority="1848" operator="containsText" text="o1a">
      <formula>NOT(ISERROR(SEARCH("o1a",F496)))</formula>
    </cfRule>
  </conditionalFormatting>
  <conditionalFormatting sqref="E498:F498 H498 E499:H499 E500:E501 H500:H501">
    <cfRule type="containsText" dxfId="1794" priority="1831" operator="containsText" text="o5">
      <formula>NOT(ISERROR(SEARCH("o5",E498)))</formula>
    </cfRule>
    <cfRule type="containsText" dxfId="1793" priority="1832" operator="containsText" text="o4">
      <formula>NOT(ISERROR(SEARCH("o4",E498)))</formula>
    </cfRule>
    <cfRule type="containsText" dxfId="1792" priority="1833" operator="containsText" text="o3">
      <formula>NOT(ISERROR(SEARCH("o3",E498)))</formula>
    </cfRule>
    <cfRule type="containsText" dxfId="1791" priority="1834" operator="containsText" text="o2">
      <formula>NOT(ISERROR(SEARCH("o2",E498)))</formula>
    </cfRule>
    <cfRule type="containsText" dxfId="1790" priority="1835" operator="containsText" text="o1b">
      <formula>NOT(ISERROR(SEARCH("o1b",E498)))</formula>
    </cfRule>
    <cfRule type="containsText" dxfId="1789" priority="1836" operator="containsText" text="o1a">
      <formula>NOT(ISERROR(SEARCH("o1a",E498)))</formula>
    </cfRule>
  </conditionalFormatting>
  <conditionalFormatting sqref="G498">
    <cfRule type="containsText" dxfId="1788" priority="1825" operator="containsText" text="o5">
      <formula>NOT(ISERROR(SEARCH("o5",G498)))</formula>
    </cfRule>
    <cfRule type="containsText" dxfId="1787" priority="1826" operator="containsText" text="o4">
      <formula>NOT(ISERROR(SEARCH("o4",G498)))</formula>
    </cfRule>
    <cfRule type="containsText" dxfId="1786" priority="1827" operator="containsText" text="o3">
      <formula>NOT(ISERROR(SEARCH("o3",G498)))</formula>
    </cfRule>
    <cfRule type="containsText" dxfId="1785" priority="1828" operator="containsText" text="o2">
      <formula>NOT(ISERROR(SEARCH("o2",G498)))</formula>
    </cfRule>
    <cfRule type="containsText" dxfId="1784" priority="1829" operator="containsText" text="o1b">
      <formula>NOT(ISERROR(SEARCH("o1b",G498)))</formula>
    </cfRule>
    <cfRule type="containsText" dxfId="1783" priority="1830" operator="containsText" text="o1a">
      <formula>NOT(ISERROR(SEARCH("o1a",G498)))</formula>
    </cfRule>
  </conditionalFormatting>
  <conditionalFormatting sqref="F500:G500 F501">
    <cfRule type="containsText" dxfId="1782" priority="1819" operator="containsText" text="o5">
      <formula>NOT(ISERROR(SEARCH("o5",F500)))</formula>
    </cfRule>
    <cfRule type="containsText" dxfId="1781" priority="1820" operator="containsText" text="o4">
      <formula>NOT(ISERROR(SEARCH("o4",F500)))</formula>
    </cfRule>
    <cfRule type="containsText" dxfId="1780" priority="1821" operator="containsText" text="o3">
      <formula>NOT(ISERROR(SEARCH("o3",F500)))</formula>
    </cfRule>
    <cfRule type="containsText" dxfId="1779" priority="1822" operator="containsText" text="o2">
      <formula>NOT(ISERROR(SEARCH("o2",F500)))</formula>
    </cfRule>
    <cfRule type="containsText" dxfId="1778" priority="1823" operator="containsText" text="o1b">
      <formula>NOT(ISERROR(SEARCH("o1b",F500)))</formula>
    </cfRule>
    <cfRule type="containsText" dxfId="1777" priority="1824" operator="containsText" text="o1a">
      <formula>NOT(ISERROR(SEARCH("o1a",F500)))</formula>
    </cfRule>
  </conditionalFormatting>
  <conditionalFormatting sqref="G501">
    <cfRule type="containsText" dxfId="1776" priority="1813" operator="containsText" text="o5">
      <formula>NOT(ISERROR(SEARCH("o5",G501)))</formula>
    </cfRule>
    <cfRule type="containsText" dxfId="1775" priority="1814" operator="containsText" text="o4">
      <formula>NOT(ISERROR(SEARCH("o4",G501)))</formula>
    </cfRule>
    <cfRule type="containsText" dxfId="1774" priority="1815" operator="containsText" text="o3">
      <formula>NOT(ISERROR(SEARCH("o3",G501)))</formula>
    </cfRule>
    <cfRule type="containsText" dxfId="1773" priority="1816" operator="containsText" text="o2">
      <formula>NOT(ISERROR(SEARCH("o2",G501)))</formula>
    </cfRule>
    <cfRule type="containsText" dxfId="1772" priority="1817" operator="containsText" text="o1b">
      <formula>NOT(ISERROR(SEARCH("o1b",G501)))</formula>
    </cfRule>
    <cfRule type="containsText" dxfId="1771" priority="1818" operator="containsText" text="o1a">
      <formula>NOT(ISERROR(SEARCH("o1a",G501)))</formula>
    </cfRule>
  </conditionalFormatting>
  <conditionalFormatting sqref="G503">
    <cfRule type="containsText" dxfId="1770" priority="1795" operator="containsText" text="o5">
      <formula>NOT(ISERROR(SEARCH("o5",G503)))</formula>
    </cfRule>
    <cfRule type="containsText" dxfId="1769" priority="1796" operator="containsText" text="o4">
      <formula>NOT(ISERROR(SEARCH("o4",G503)))</formula>
    </cfRule>
    <cfRule type="containsText" dxfId="1768" priority="1797" operator="containsText" text="o3">
      <formula>NOT(ISERROR(SEARCH("o3",G503)))</formula>
    </cfRule>
    <cfRule type="containsText" dxfId="1767" priority="1798" operator="containsText" text="o2">
      <formula>NOT(ISERROR(SEARCH("o2",G503)))</formula>
    </cfRule>
    <cfRule type="containsText" dxfId="1766" priority="1799" operator="containsText" text="o1b">
      <formula>NOT(ISERROR(SEARCH("o1b",G503)))</formula>
    </cfRule>
    <cfRule type="containsText" dxfId="1765" priority="1800" operator="containsText" text="o1a">
      <formula>NOT(ISERROR(SEARCH("o1a",G503)))</formula>
    </cfRule>
  </conditionalFormatting>
  <conditionalFormatting sqref="H502:H503">
    <cfRule type="containsText" dxfId="1764" priority="1807" operator="containsText" text="o5">
      <formula>NOT(ISERROR(SEARCH("o5",H502)))</formula>
    </cfRule>
    <cfRule type="containsText" dxfId="1763" priority="1808" operator="containsText" text="o4">
      <formula>NOT(ISERROR(SEARCH("o4",H502)))</formula>
    </cfRule>
    <cfRule type="containsText" dxfId="1762" priority="1809" operator="containsText" text="o3">
      <formula>NOT(ISERROR(SEARCH("o3",H502)))</formula>
    </cfRule>
    <cfRule type="containsText" dxfId="1761" priority="1810" operator="containsText" text="o2">
      <formula>NOT(ISERROR(SEARCH("o2",H502)))</formula>
    </cfRule>
    <cfRule type="containsText" dxfId="1760" priority="1811" operator="containsText" text="o1b">
      <formula>NOT(ISERROR(SEARCH("o1b",H502)))</formula>
    </cfRule>
    <cfRule type="containsText" dxfId="1759" priority="1812" operator="containsText" text="o1a">
      <formula>NOT(ISERROR(SEARCH("o1a",H502)))</formula>
    </cfRule>
  </conditionalFormatting>
  <conditionalFormatting sqref="F502:G502 F503">
    <cfRule type="containsText" dxfId="1758" priority="1801" operator="containsText" text="o5">
      <formula>NOT(ISERROR(SEARCH("o5",F502)))</formula>
    </cfRule>
    <cfRule type="containsText" dxfId="1757" priority="1802" operator="containsText" text="o4">
      <formula>NOT(ISERROR(SEARCH("o4",F502)))</formula>
    </cfRule>
    <cfRule type="containsText" dxfId="1756" priority="1803" operator="containsText" text="o3">
      <formula>NOT(ISERROR(SEARCH("o3",F502)))</formula>
    </cfRule>
    <cfRule type="containsText" dxfId="1755" priority="1804" operator="containsText" text="o2">
      <formula>NOT(ISERROR(SEARCH("o2",F502)))</formula>
    </cfRule>
    <cfRule type="containsText" dxfId="1754" priority="1805" operator="containsText" text="o1b">
      <formula>NOT(ISERROR(SEARCH("o1b",F502)))</formula>
    </cfRule>
    <cfRule type="containsText" dxfId="1753" priority="1806" operator="containsText" text="o1a">
      <formula>NOT(ISERROR(SEARCH("o1a",F502)))</formula>
    </cfRule>
  </conditionalFormatting>
  <conditionalFormatting sqref="E504:F504 H504 E505:H505 E506:E507 H506:H507">
    <cfRule type="containsText" dxfId="1752" priority="1789" operator="containsText" text="o5">
      <formula>NOT(ISERROR(SEARCH("o5",E504)))</formula>
    </cfRule>
    <cfRule type="containsText" dxfId="1751" priority="1790" operator="containsText" text="o4">
      <formula>NOT(ISERROR(SEARCH("o4",E504)))</formula>
    </cfRule>
    <cfRule type="containsText" dxfId="1750" priority="1791" operator="containsText" text="o3">
      <formula>NOT(ISERROR(SEARCH("o3",E504)))</formula>
    </cfRule>
    <cfRule type="containsText" dxfId="1749" priority="1792" operator="containsText" text="o2">
      <formula>NOT(ISERROR(SEARCH("o2",E504)))</formula>
    </cfRule>
    <cfRule type="containsText" dxfId="1748" priority="1793" operator="containsText" text="o1b">
      <formula>NOT(ISERROR(SEARCH("o1b",E504)))</formula>
    </cfRule>
    <cfRule type="containsText" dxfId="1747" priority="1794" operator="containsText" text="o1a">
      <formula>NOT(ISERROR(SEARCH("o1a",E504)))</formula>
    </cfRule>
  </conditionalFormatting>
  <conditionalFormatting sqref="G504">
    <cfRule type="containsText" dxfId="1746" priority="1783" operator="containsText" text="o5">
      <formula>NOT(ISERROR(SEARCH("o5",G504)))</formula>
    </cfRule>
    <cfRule type="containsText" dxfId="1745" priority="1784" operator="containsText" text="o4">
      <formula>NOT(ISERROR(SEARCH("o4",G504)))</formula>
    </cfRule>
    <cfRule type="containsText" dxfId="1744" priority="1785" operator="containsText" text="o3">
      <formula>NOT(ISERROR(SEARCH("o3",G504)))</formula>
    </cfRule>
    <cfRule type="containsText" dxfId="1743" priority="1786" operator="containsText" text="o2">
      <formula>NOT(ISERROR(SEARCH("o2",G504)))</formula>
    </cfRule>
    <cfRule type="containsText" dxfId="1742" priority="1787" operator="containsText" text="o1b">
      <formula>NOT(ISERROR(SEARCH("o1b",G504)))</formula>
    </cfRule>
    <cfRule type="containsText" dxfId="1741" priority="1788" operator="containsText" text="o1a">
      <formula>NOT(ISERROR(SEARCH("o1a",G504)))</formula>
    </cfRule>
  </conditionalFormatting>
  <conditionalFormatting sqref="F506:G506 F507">
    <cfRule type="containsText" dxfId="1740" priority="1777" operator="containsText" text="o5">
      <formula>NOT(ISERROR(SEARCH("o5",F506)))</formula>
    </cfRule>
    <cfRule type="containsText" dxfId="1739" priority="1778" operator="containsText" text="o4">
      <formula>NOT(ISERROR(SEARCH("o4",F506)))</formula>
    </cfRule>
    <cfRule type="containsText" dxfId="1738" priority="1779" operator="containsText" text="o3">
      <formula>NOT(ISERROR(SEARCH("o3",F506)))</formula>
    </cfRule>
    <cfRule type="containsText" dxfId="1737" priority="1780" operator="containsText" text="o2">
      <formula>NOT(ISERROR(SEARCH("o2",F506)))</formula>
    </cfRule>
    <cfRule type="containsText" dxfId="1736" priority="1781" operator="containsText" text="o1b">
      <formula>NOT(ISERROR(SEARCH("o1b",F506)))</formula>
    </cfRule>
    <cfRule type="containsText" dxfId="1735" priority="1782" operator="containsText" text="o1a">
      <formula>NOT(ISERROR(SEARCH("o1a",F506)))</formula>
    </cfRule>
  </conditionalFormatting>
  <conditionalFormatting sqref="G507">
    <cfRule type="containsText" dxfId="1734" priority="1771" operator="containsText" text="o5">
      <formula>NOT(ISERROR(SEARCH("o5",G507)))</formula>
    </cfRule>
    <cfRule type="containsText" dxfId="1733" priority="1772" operator="containsText" text="o4">
      <formula>NOT(ISERROR(SEARCH("o4",G507)))</formula>
    </cfRule>
    <cfRule type="containsText" dxfId="1732" priority="1773" operator="containsText" text="o3">
      <formula>NOT(ISERROR(SEARCH("o3",G507)))</formula>
    </cfRule>
    <cfRule type="containsText" dxfId="1731" priority="1774" operator="containsText" text="o2">
      <formula>NOT(ISERROR(SEARCH("o2",G507)))</formula>
    </cfRule>
    <cfRule type="containsText" dxfId="1730" priority="1775" operator="containsText" text="o1b">
      <formula>NOT(ISERROR(SEARCH("o1b",G507)))</formula>
    </cfRule>
    <cfRule type="containsText" dxfId="1729" priority="1776" operator="containsText" text="o1a">
      <formula>NOT(ISERROR(SEARCH("o1a",G507)))</formula>
    </cfRule>
  </conditionalFormatting>
  <conditionalFormatting sqref="G509">
    <cfRule type="containsText" dxfId="1728" priority="1765" operator="containsText" text="o5">
      <formula>NOT(ISERROR(SEARCH("o5",G509)))</formula>
    </cfRule>
    <cfRule type="containsText" dxfId="1727" priority="1766" operator="containsText" text="o4">
      <formula>NOT(ISERROR(SEARCH("o4",G509)))</formula>
    </cfRule>
    <cfRule type="containsText" dxfId="1726" priority="1767" operator="containsText" text="o3">
      <formula>NOT(ISERROR(SEARCH("o3",G509)))</formula>
    </cfRule>
    <cfRule type="containsText" dxfId="1725" priority="1768" operator="containsText" text="o2">
      <formula>NOT(ISERROR(SEARCH("o2",G509)))</formula>
    </cfRule>
    <cfRule type="containsText" dxfId="1724" priority="1769" operator="containsText" text="o1b">
      <formula>NOT(ISERROR(SEARCH("o1b",G509)))</formula>
    </cfRule>
    <cfRule type="containsText" dxfId="1723" priority="1770" operator="containsText" text="o1a">
      <formula>NOT(ISERROR(SEARCH("o1a",G509)))</formula>
    </cfRule>
  </conditionalFormatting>
  <conditionalFormatting sqref="F510:G510 F511">
    <cfRule type="containsText" dxfId="1722" priority="1759" operator="containsText" text="o5">
      <formula>NOT(ISERROR(SEARCH("o5",F510)))</formula>
    </cfRule>
    <cfRule type="containsText" dxfId="1721" priority="1760" operator="containsText" text="o4">
      <formula>NOT(ISERROR(SEARCH("o4",F510)))</formula>
    </cfRule>
    <cfRule type="containsText" dxfId="1720" priority="1761" operator="containsText" text="o3">
      <formula>NOT(ISERROR(SEARCH("o3",F510)))</formula>
    </cfRule>
    <cfRule type="containsText" dxfId="1719" priority="1762" operator="containsText" text="o2">
      <formula>NOT(ISERROR(SEARCH("o2",F510)))</formula>
    </cfRule>
    <cfRule type="containsText" dxfId="1718" priority="1763" operator="containsText" text="o1b">
      <formula>NOT(ISERROR(SEARCH("o1b",F510)))</formula>
    </cfRule>
    <cfRule type="containsText" dxfId="1717" priority="1764" operator="containsText" text="o1a">
      <formula>NOT(ISERROR(SEARCH("o1a",F510)))</formula>
    </cfRule>
  </conditionalFormatting>
  <conditionalFormatting sqref="G511">
    <cfRule type="containsText" dxfId="1716" priority="1753" operator="containsText" text="o5">
      <formula>NOT(ISERROR(SEARCH("o5",G511)))</formula>
    </cfRule>
    <cfRule type="containsText" dxfId="1715" priority="1754" operator="containsText" text="o4">
      <formula>NOT(ISERROR(SEARCH("o4",G511)))</formula>
    </cfRule>
    <cfRule type="containsText" dxfId="1714" priority="1755" operator="containsText" text="o3">
      <formula>NOT(ISERROR(SEARCH("o3",G511)))</formula>
    </cfRule>
    <cfRule type="containsText" dxfId="1713" priority="1756" operator="containsText" text="o2">
      <formula>NOT(ISERROR(SEARCH("o2",G511)))</formula>
    </cfRule>
    <cfRule type="containsText" dxfId="1712" priority="1757" operator="containsText" text="o1b">
      <formula>NOT(ISERROR(SEARCH("o1b",G511)))</formula>
    </cfRule>
    <cfRule type="containsText" dxfId="1711" priority="1758" operator="containsText" text="o1a">
      <formula>NOT(ISERROR(SEARCH("o1a",G511)))</formula>
    </cfRule>
  </conditionalFormatting>
  <conditionalFormatting sqref="G512">
    <cfRule type="containsText" dxfId="1710" priority="1747" operator="containsText" text="o5">
      <formula>NOT(ISERROR(SEARCH("o5",G512)))</formula>
    </cfRule>
    <cfRule type="containsText" dxfId="1709" priority="1748" operator="containsText" text="o4">
      <formula>NOT(ISERROR(SEARCH("o4",G512)))</formula>
    </cfRule>
    <cfRule type="containsText" dxfId="1708" priority="1749" operator="containsText" text="o3">
      <formula>NOT(ISERROR(SEARCH("o3",G512)))</formula>
    </cfRule>
    <cfRule type="containsText" dxfId="1707" priority="1750" operator="containsText" text="o2">
      <formula>NOT(ISERROR(SEARCH("o2",G512)))</formula>
    </cfRule>
    <cfRule type="containsText" dxfId="1706" priority="1751" operator="containsText" text="o1b">
      <formula>NOT(ISERROR(SEARCH("o1b",G512)))</formula>
    </cfRule>
    <cfRule type="containsText" dxfId="1705" priority="1752" operator="containsText" text="o1a">
      <formula>NOT(ISERROR(SEARCH("o1a",G512)))</formula>
    </cfRule>
  </conditionalFormatting>
  <conditionalFormatting sqref="G516">
    <cfRule type="containsText" dxfId="1704" priority="1741" operator="containsText" text="o5">
      <formula>NOT(ISERROR(SEARCH("o5",G516)))</formula>
    </cfRule>
    <cfRule type="containsText" dxfId="1703" priority="1742" operator="containsText" text="o4">
      <formula>NOT(ISERROR(SEARCH("o4",G516)))</formula>
    </cfRule>
    <cfRule type="containsText" dxfId="1702" priority="1743" operator="containsText" text="o3">
      <formula>NOT(ISERROR(SEARCH("o3",G516)))</formula>
    </cfRule>
    <cfRule type="containsText" dxfId="1701" priority="1744" operator="containsText" text="o2">
      <formula>NOT(ISERROR(SEARCH("o2",G516)))</formula>
    </cfRule>
    <cfRule type="containsText" dxfId="1700" priority="1745" operator="containsText" text="o1b">
      <formula>NOT(ISERROR(SEARCH("o1b",G516)))</formula>
    </cfRule>
    <cfRule type="containsText" dxfId="1699" priority="1746" operator="containsText" text="o1a">
      <formula>NOT(ISERROR(SEARCH("o1a",G516)))</formula>
    </cfRule>
  </conditionalFormatting>
  <conditionalFormatting sqref="G517">
    <cfRule type="containsText" dxfId="1698" priority="1735" operator="containsText" text="o5">
      <formula>NOT(ISERROR(SEARCH("o5",G517)))</formula>
    </cfRule>
    <cfRule type="containsText" dxfId="1697" priority="1736" operator="containsText" text="o4">
      <formula>NOT(ISERROR(SEARCH("o4",G517)))</formula>
    </cfRule>
    <cfRule type="containsText" dxfId="1696" priority="1737" operator="containsText" text="o3">
      <formula>NOT(ISERROR(SEARCH("o3",G517)))</formula>
    </cfRule>
    <cfRule type="containsText" dxfId="1695" priority="1738" operator="containsText" text="o2">
      <formula>NOT(ISERROR(SEARCH("o2",G517)))</formula>
    </cfRule>
    <cfRule type="containsText" dxfId="1694" priority="1739" operator="containsText" text="o1b">
      <formula>NOT(ISERROR(SEARCH("o1b",G517)))</formula>
    </cfRule>
    <cfRule type="containsText" dxfId="1693" priority="1740" operator="containsText" text="o1a">
      <formula>NOT(ISERROR(SEARCH("o1a",G517)))</formula>
    </cfRule>
  </conditionalFormatting>
  <conditionalFormatting sqref="G520">
    <cfRule type="containsText" dxfId="1692" priority="1729" operator="containsText" text="o5">
      <formula>NOT(ISERROR(SEARCH("o5",G520)))</formula>
    </cfRule>
    <cfRule type="containsText" dxfId="1691" priority="1730" operator="containsText" text="o4">
      <formula>NOT(ISERROR(SEARCH("o4",G520)))</formula>
    </cfRule>
    <cfRule type="containsText" dxfId="1690" priority="1731" operator="containsText" text="o3">
      <formula>NOT(ISERROR(SEARCH("o3",G520)))</formula>
    </cfRule>
    <cfRule type="containsText" dxfId="1689" priority="1732" operator="containsText" text="o2">
      <formula>NOT(ISERROR(SEARCH("o2",G520)))</formula>
    </cfRule>
    <cfRule type="containsText" dxfId="1688" priority="1733" operator="containsText" text="o1b">
      <formula>NOT(ISERROR(SEARCH("o1b",G520)))</formula>
    </cfRule>
    <cfRule type="containsText" dxfId="1687" priority="1734" operator="containsText" text="o1a">
      <formula>NOT(ISERROR(SEARCH("o1a",G520)))</formula>
    </cfRule>
  </conditionalFormatting>
  <conditionalFormatting sqref="F523:F525 F528:F535">
    <cfRule type="containsText" dxfId="1686" priority="1723" operator="containsText" text="o5">
      <formula>NOT(ISERROR(SEARCH("o5",F523)))</formula>
    </cfRule>
    <cfRule type="containsText" dxfId="1685" priority="1724" operator="containsText" text="o4">
      <formula>NOT(ISERROR(SEARCH("o4",F523)))</formula>
    </cfRule>
    <cfRule type="containsText" dxfId="1684" priority="1725" operator="containsText" text="o3">
      <formula>NOT(ISERROR(SEARCH("o3",F523)))</formula>
    </cfRule>
    <cfRule type="containsText" dxfId="1683" priority="1726" operator="containsText" text="o2">
      <formula>NOT(ISERROR(SEARCH("o2",F523)))</formula>
    </cfRule>
    <cfRule type="containsText" dxfId="1682" priority="1727" operator="containsText" text="o1b">
      <formula>NOT(ISERROR(SEARCH("o1b",F523)))</formula>
    </cfRule>
    <cfRule type="containsText" dxfId="1681" priority="1728" operator="containsText" text="o1a">
      <formula>NOT(ISERROR(SEARCH("o1a",F523)))</formula>
    </cfRule>
  </conditionalFormatting>
  <conditionalFormatting sqref="E557:H558 E568:H568 E569:F570 H569:H570 E571:H571 E572:E575 H572:H575 E580:E581 E586:E587 E592:E593 E600:H600 E598:F598 H598 E599 G599:H599 E601:E602 E637:E638 E678:H679 E680:F680 H680 E681:H681 E717:E718 E767:H767 E765:E766 E682:E683 G682:H683">
    <cfRule type="containsText" dxfId="1680" priority="1705" operator="containsText" text="o5">
      <formula>NOT(ISERROR(SEARCH("o5",E557)))</formula>
    </cfRule>
    <cfRule type="containsText" dxfId="1679" priority="1706" operator="containsText" text="o4">
      <formula>NOT(ISERROR(SEARCH("o4",E557)))</formula>
    </cfRule>
    <cfRule type="containsText" dxfId="1678" priority="1707" operator="containsText" text="o3">
      <formula>NOT(ISERROR(SEARCH("o3",E557)))</formula>
    </cfRule>
    <cfRule type="containsText" dxfId="1677" priority="1708" operator="containsText" text="o2">
      <formula>NOT(ISERROR(SEARCH("o2",E557)))</formula>
    </cfRule>
    <cfRule type="containsText" dxfId="1676" priority="1709" operator="containsText" text="o1b">
      <formula>NOT(ISERROR(SEARCH("o1b",E557)))</formula>
    </cfRule>
    <cfRule type="containsText" dxfId="1675" priority="1710" operator="containsText" text="o1a">
      <formula>NOT(ISERROR(SEARCH("o1a",E557)))</formula>
    </cfRule>
  </conditionalFormatting>
  <conditionalFormatting sqref="E555:H556">
    <cfRule type="containsText" dxfId="1674" priority="1699" operator="containsText" text="o5">
      <formula>NOT(ISERROR(SEARCH("o5",E555)))</formula>
    </cfRule>
    <cfRule type="containsText" dxfId="1673" priority="1700" operator="containsText" text="o4">
      <formula>NOT(ISERROR(SEARCH("o4",E555)))</formula>
    </cfRule>
    <cfRule type="containsText" dxfId="1672" priority="1701" operator="containsText" text="o3">
      <formula>NOT(ISERROR(SEARCH("o3",E555)))</formula>
    </cfRule>
    <cfRule type="containsText" dxfId="1671" priority="1702" operator="containsText" text="o2">
      <formula>NOT(ISERROR(SEARCH("o2",E555)))</formula>
    </cfRule>
    <cfRule type="containsText" dxfId="1670" priority="1703" operator="containsText" text="o1b">
      <formula>NOT(ISERROR(SEARCH("o1b",E555)))</formula>
    </cfRule>
    <cfRule type="containsText" dxfId="1669" priority="1704" operator="containsText" text="o1a">
      <formula>NOT(ISERROR(SEARCH("o1a",E555)))</formula>
    </cfRule>
  </conditionalFormatting>
  <conditionalFormatting sqref="E561:H562">
    <cfRule type="containsText" dxfId="1668" priority="1693" operator="containsText" text="o5">
      <formula>NOT(ISERROR(SEARCH("o5",E561)))</formula>
    </cfRule>
    <cfRule type="containsText" dxfId="1667" priority="1694" operator="containsText" text="o4">
      <formula>NOT(ISERROR(SEARCH("o4",E561)))</formula>
    </cfRule>
    <cfRule type="containsText" dxfId="1666" priority="1695" operator="containsText" text="o3">
      <formula>NOT(ISERROR(SEARCH("o3",E561)))</formula>
    </cfRule>
    <cfRule type="containsText" dxfId="1665" priority="1696" operator="containsText" text="o2">
      <formula>NOT(ISERROR(SEARCH("o2",E561)))</formula>
    </cfRule>
    <cfRule type="containsText" dxfId="1664" priority="1697" operator="containsText" text="o1b">
      <formula>NOT(ISERROR(SEARCH("o1b",E561)))</formula>
    </cfRule>
    <cfRule type="containsText" dxfId="1663" priority="1698" operator="containsText" text="o1a">
      <formula>NOT(ISERROR(SEARCH("o1a",E561)))</formula>
    </cfRule>
  </conditionalFormatting>
  <conditionalFormatting sqref="E559:H560">
    <cfRule type="containsText" dxfId="1662" priority="1687" operator="containsText" text="o5">
      <formula>NOT(ISERROR(SEARCH("o5",E559)))</formula>
    </cfRule>
    <cfRule type="containsText" dxfId="1661" priority="1688" operator="containsText" text="o4">
      <formula>NOT(ISERROR(SEARCH("o4",E559)))</formula>
    </cfRule>
    <cfRule type="containsText" dxfId="1660" priority="1689" operator="containsText" text="o3">
      <formula>NOT(ISERROR(SEARCH("o3",E559)))</formula>
    </cfRule>
    <cfRule type="containsText" dxfId="1659" priority="1690" operator="containsText" text="o2">
      <formula>NOT(ISERROR(SEARCH("o2",E559)))</formula>
    </cfRule>
    <cfRule type="containsText" dxfId="1658" priority="1691" operator="containsText" text="o1b">
      <formula>NOT(ISERROR(SEARCH("o1b",E559)))</formula>
    </cfRule>
    <cfRule type="containsText" dxfId="1657" priority="1692" operator="containsText" text="o1a">
      <formula>NOT(ISERROR(SEARCH("o1a",E559)))</formula>
    </cfRule>
  </conditionalFormatting>
  <conditionalFormatting sqref="E566:H567">
    <cfRule type="containsText" dxfId="1656" priority="1681" operator="containsText" text="o5">
      <formula>NOT(ISERROR(SEARCH("o5",E566)))</formula>
    </cfRule>
    <cfRule type="containsText" dxfId="1655" priority="1682" operator="containsText" text="o4">
      <formula>NOT(ISERROR(SEARCH("o4",E566)))</formula>
    </cfRule>
    <cfRule type="containsText" dxfId="1654" priority="1683" operator="containsText" text="o3">
      <formula>NOT(ISERROR(SEARCH("o3",E566)))</formula>
    </cfRule>
    <cfRule type="containsText" dxfId="1653" priority="1684" operator="containsText" text="o2">
      <formula>NOT(ISERROR(SEARCH("o2",E566)))</formula>
    </cfRule>
    <cfRule type="containsText" dxfId="1652" priority="1685" operator="containsText" text="o1b">
      <formula>NOT(ISERROR(SEARCH("o1b",E566)))</formula>
    </cfRule>
    <cfRule type="containsText" dxfId="1651" priority="1686" operator="containsText" text="o1a">
      <formula>NOT(ISERROR(SEARCH("o1a",E566)))</formula>
    </cfRule>
  </conditionalFormatting>
  <conditionalFormatting sqref="E563:H564 F565:H565">
    <cfRule type="containsText" dxfId="1650" priority="1675" operator="containsText" text="o5">
      <formula>NOT(ISERROR(SEARCH("o5",E563)))</formula>
    </cfRule>
    <cfRule type="containsText" dxfId="1649" priority="1676" operator="containsText" text="o4">
      <formula>NOT(ISERROR(SEARCH("o4",E563)))</formula>
    </cfRule>
    <cfRule type="containsText" dxfId="1648" priority="1677" operator="containsText" text="o3">
      <formula>NOT(ISERROR(SEARCH("o3",E563)))</formula>
    </cfRule>
    <cfRule type="containsText" dxfId="1647" priority="1678" operator="containsText" text="o2">
      <formula>NOT(ISERROR(SEARCH("o2",E563)))</formula>
    </cfRule>
    <cfRule type="containsText" dxfId="1646" priority="1679" operator="containsText" text="o1b">
      <formula>NOT(ISERROR(SEARCH("o1b",E563)))</formula>
    </cfRule>
    <cfRule type="containsText" dxfId="1645" priority="1680" operator="containsText" text="o1a">
      <formula>NOT(ISERROR(SEARCH("o1a",E563)))</formula>
    </cfRule>
  </conditionalFormatting>
  <conditionalFormatting sqref="G569">
    <cfRule type="containsText" dxfId="1644" priority="1669" operator="containsText" text="o5">
      <formula>NOT(ISERROR(SEARCH("o5",G569)))</formula>
    </cfRule>
    <cfRule type="containsText" dxfId="1643" priority="1670" operator="containsText" text="o4">
      <formula>NOT(ISERROR(SEARCH("o4",G569)))</formula>
    </cfRule>
    <cfRule type="containsText" dxfId="1642" priority="1671" operator="containsText" text="o3">
      <formula>NOT(ISERROR(SEARCH("o3",G569)))</formula>
    </cfRule>
    <cfRule type="containsText" dxfId="1641" priority="1672" operator="containsText" text="o2">
      <formula>NOT(ISERROR(SEARCH("o2",G569)))</formula>
    </cfRule>
    <cfRule type="containsText" dxfId="1640" priority="1673" operator="containsText" text="o1b">
      <formula>NOT(ISERROR(SEARCH("o1b",G569)))</formula>
    </cfRule>
    <cfRule type="containsText" dxfId="1639" priority="1674" operator="containsText" text="o1a">
      <formula>NOT(ISERROR(SEARCH("o1a",G569)))</formula>
    </cfRule>
  </conditionalFormatting>
  <conditionalFormatting sqref="G570">
    <cfRule type="containsText" dxfId="1638" priority="1663" operator="containsText" text="o5">
      <formula>NOT(ISERROR(SEARCH("o5",G570)))</formula>
    </cfRule>
    <cfRule type="containsText" dxfId="1637" priority="1664" operator="containsText" text="o4">
      <formula>NOT(ISERROR(SEARCH("o4",G570)))</formula>
    </cfRule>
    <cfRule type="containsText" dxfId="1636" priority="1665" operator="containsText" text="o3">
      <formula>NOT(ISERROR(SEARCH("o3",G570)))</formula>
    </cfRule>
    <cfRule type="containsText" dxfId="1635" priority="1666" operator="containsText" text="o2">
      <formula>NOT(ISERROR(SEARCH("o2",G570)))</formula>
    </cfRule>
    <cfRule type="containsText" dxfId="1634" priority="1667" operator="containsText" text="o1b">
      <formula>NOT(ISERROR(SEARCH("o1b",G570)))</formula>
    </cfRule>
    <cfRule type="containsText" dxfId="1633" priority="1668" operator="containsText" text="o1a">
      <formula>NOT(ISERROR(SEARCH("o1a",G570)))</formula>
    </cfRule>
  </conditionalFormatting>
  <conditionalFormatting sqref="F572:G572 F573">
    <cfRule type="containsText" dxfId="1632" priority="1657" operator="containsText" text="o5">
      <formula>NOT(ISERROR(SEARCH("o5",F572)))</formula>
    </cfRule>
    <cfRule type="containsText" dxfId="1631" priority="1658" operator="containsText" text="o4">
      <formula>NOT(ISERROR(SEARCH("o4",F572)))</formula>
    </cfRule>
    <cfRule type="containsText" dxfId="1630" priority="1659" operator="containsText" text="o3">
      <formula>NOT(ISERROR(SEARCH("o3",F572)))</formula>
    </cfRule>
    <cfRule type="containsText" dxfId="1629" priority="1660" operator="containsText" text="o2">
      <formula>NOT(ISERROR(SEARCH("o2",F572)))</formula>
    </cfRule>
    <cfRule type="containsText" dxfId="1628" priority="1661" operator="containsText" text="o1b">
      <formula>NOT(ISERROR(SEARCH("o1b",F572)))</formula>
    </cfRule>
    <cfRule type="containsText" dxfId="1627" priority="1662" operator="containsText" text="o1a">
      <formula>NOT(ISERROR(SEARCH("o1a",F572)))</formula>
    </cfRule>
  </conditionalFormatting>
  <conditionalFormatting sqref="G573">
    <cfRule type="containsText" dxfId="1626" priority="1651" operator="containsText" text="o5">
      <formula>NOT(ISERROR(SEARCH("o5",G573)))</formula>
    </cfRule>
    <cfRule type="containsText" dxfId="1625" priority="1652" operator="containsText" text="o4">
      <formula>NOT(ISERROR(SEARCH("o4",G573)))</formula>
    </cfRule>
    <cfRule type="containsText" dxfId="1624" priority="1653" operator="containsText" text="o3">
      <formula>NOT(ISERROR(SEARCH("o3",G573)))</formula>
    </cfRule>
    <cfRule type="containsText" dxfId="1623" priority="1654" operator="containsText" text="o2">
      <formula>NOT(ISERROR(SEARCH("o2",G573)))</formula>
    </cfRule>
    <cfRule type="containsText" dxfId="1622" priority="1655" operator="containsText" text="o1b">
      <formula>NOT(ISERROR(SEARCH("o1b",G573)))</formula>
    </cfRule>
    <cfRule type="containsText" dxfId="1621" priority="1656" operator="containsText" text="o1a">
      <formula>NOT(ISERROR(SEARCH("o1a",G573)))</formula>
    </cfRule>
  </conditionalFormatting>
  <conditionalFormatting sqref="F574:G574 F575">
    <cfRule type="containsText" dxfId="1620" priority="1645" operator="containsText" text="o5">
      <formula>NOT(ISERROR(SEARCH("o5",F574)))</formula>
    </cfRule>
    <cfRule type="containsText" dxfId="1619" priority="1646" operator="containsText" text="o4">
      <formula>NOT(ISERROR(SEARCH("o4",F574)))</formula>
    </cfRule>
    <cfRule type="containsText" dxfId="1618" priority="1647" operator="containsText" text="o3">
      <formula>NOT(ISERROR(SEARCH("o3",F574)))</formula>
    </cfRule>
    <cfRule type="containsText" dxfId="1617" priority="1648" operator="containsText" text="o2">
      <formula>NOT(ISERROR(SEARCH("o2",F574)))</formula>
    </cfRule>
    <cfRule type="containsText" dxfId="1616" priority="1649" operator="containsText" text="o1b">
      <formula>NOT(ISERROR(SEARCH("o1b",F574)))</formula>
    </cfRule>
    <cfRule type="containsText" dxfId="1615" priority="1650" operator="containsText" text="o1a">
      <formula>NOT(ISERROR(SEARCH("o1a",F574)))</formula>
    </cfRule>
  </conditionalFormatting>
  <conditionalFormatting sqref="G575">
    <cfRule type="containsText" dxfId="1614" priority="1639" operator="containsText" text="o5">
      <formula>NOT(ISERROR(SEARCH("o5",G575)))</formula>
    </cfRule>
    <cfRule type="containsText" dxfId="1613" priority="1640" operator="containsText" text="o4">
      <formula>NOT(ISERROR(SEARCH("o4",G575)))</formula>
    </cfRule>
    <cfRule type="containsText" dxfId="1612" priority="1641" operator="containsText" text="o3">
      <formula>NOT(ISERROR(SEARCH("o3",G575)))</formula>
    </cfRule>
    <cfRule type="containsText" dxfId="1611" priority="1642" operator="containsText" text="o2">
      <formula>NOT(ISERROR(SEARCH("o2",G575)))</formula>
    </cfRule>
    <cfRule type="containsText" dxfId="1610" priority="1643" operator="containsText" text="o1b">
      <formula>NOT(ISERROR(SEARCH("o1b",G575)))</formula>
    </cfRule>
    <cfRule type="containsText" dxfId="1609" priority="1644" operator="containsText" text="o1a">
      <formula>NOT(ISERROR(SEARCH("o1a",G575)))</formula>
    </cfRule>
  </conditionalFormatting>
  <conditionalFormatting sqref="E576:F576 H576 E577:H577 E578:E579 H578:H579">
    <cfRule type="containsText" dxfId="1608" priority="1633" operator="containsText" text="o5">
      <formula>NOT(ISERROR(SEARCH("o5",E576)))</formula>
    </cfRule>
    <cfRule type="containsText" dxfId="1607" priority="1634" operator="containsText" text="o4">
      <formula>NOT(ISERROR(SEARCH("o4",E576)))</formula>
    </cfRule>
    <cfRule type="containsText" dxfId="1606" priority="1635" operator="containsText" text="o3">
      <formula>NOT(ISERROR(SEARCH("o3",E576)))</formula>
    </cfRule>
    <cfRule type="containsText" dxfId="1605" priority="1636" operator="containsText" text="o2">
      <formula>NOT(ISERROR(SEARCH("o2",E576)))</formula>
    </cfRule>
    <cfRule type="containsText" dxfId="1604" priority="1637" operator="containsText" text="o1b">
      <formula>NOT(ISERROR(SEARCH("o1b",E576)))</formula>
    </cfRule>
    <cfRule type="containsText" dxfId="1603" priority="1638" operator="containsText" text="o1a">
      <formula>NOT(ISERROR(SEARCH("o1a",E576)))</formula>
    </cfRule>
  </conditionalFormatting>
  <conditionalFormatting sqref="G576">
    <cfRule type="containsText" dxfId="1602" priority="1627" operator="containsText" text="o5">
      <formula>NOT(ISERROR(SEARCH("o5",G576)))</formula>
    </cfRule>
    <cfRule type="containsText" dxfId="1601" priority="1628" operator="containsText" text="o4">
      <formula>NOT(ISERROR(SEARCH("o4",G576)))</formula>
    </cfRule>
    <cfRule type="containsText" dxfId="1600" priority="1629" operator="containsText" text="o3">
      <formula>NOT(ISERROR(SEARCH("o3",G576)))</formula>
    </cfRule>
    <cfRule type="containsText" dxfId="1599" priority="1630" operator="containsText" text="o2">
      <formula>NOT(ISERROR(SEARCH("o2",G576)))</formula>
    </cfRule>
    <cfRule type="containsText" dxfId="1598" priority="1631" operator="containsText" text="o1b">
      <formula>NOT(ISERROR(SEARCH("o1b",G576)))</formula>
    </cfRule>
    <cfRule type="containsText" dxfId="1597" priority="1632" operator="containsText" text="o1a">
      <formula>NOT(ISERROR(SEARCH("o1a",G576)))</formula>
    </cfRule>
  </conditionalFormatting>
  <conditionalFormatting sqref="F578:G578 F579">
    <cfRule type="containsText" dxfId="1596" priority="1621" operator="containsText" text="o5">
      <formula>NOT(ISERROR(SEARCH("o5",F578)))</formula>
    </cfRule>
    <cfRule type="containsText" dxfId="1595" priority="1622" operator="containsText" text="o4">
      <formula>NOT(ISERROR(SEARCH("o4",F578)))</formula>
    </cfRule>
    <cfRule type="containsText" dxfId="1594" priority="1623" operator="containsText" text="o3">
      <formula>NOT(ISERROR(SEARCH("o3",F578)))</formula>
    </cfRule>
    <cfRule type="containsText" dxfId="1593" priority="1624" operator="containsText" text="o2">
      <formula>NOT(ISERROR(SEARCH("o2",F578)))</formula>
    </cfRule>
    <cfRule type="containsText" dxfId="1592" priority="1625" operator="containsText" text="o1b">
      <formula>NOT(ISERROR(SEARCH("o1b",F578)))</formula>
    </cfRule>
    <cfRule type="containsText" dxfId="1591" priority="1626" operator="containsText" text="o1a">
      <formula>NOT(ISERROR(SEARCH("o1a",F578)))</formula>
    </cfRule>
  </conditionalFormatting>
  <conditionalFormatting sqref="G579">
    <cfRule type="containsText" dxfId="1590" priority="1615" operator="containsText" text="o5">
      <formula>NOT(ISERROR(SEARCH("o5",G579)))</formula>
    </cfRule>
    <cfRule type="containsText" dxfId="1589" priority="1616" operator="containsText" text="o4">
      <formula>NOT(ISERROR(SEARCH("o4",G579)))</formula>
    </cfRule>
    <cfRule type="containsText" dxfId="1588" priority="1617" operator="containsText" text="o3">
      <formula>NOT(ISERROR(SEARCH("o3",G579)))</formula>
    </cfRule>
    <cfRule type="containsText" dxfId="1587" priority="1618" operator="containsText" text="o2">
      <formula>NOT(ISERROR(SEARCH("o2",G579)))</formula>
    </cfRule>
    <cfRule type="containsText" dxfId="1586" priority="1619" operator="containsText" text="o1b">
      <formula>NOT(ISERROR(SEARCH("o1b",G579)))</formula>
    </cfRule>
    <cfRule type="containsText" dxfId="1585" priority="1620" operator="containsText" text="o1a">
      <formula>NOT(ISERROR(SEARCH("o1a",G579)))</formula>
    </cfRule>
  </conditionalFormatting>
  <conditionalFormatting sqref="H580:H581">
    <cfRule type="containsText" dxfId="1584" priority="1609" operator="containsText" text="o5">
      <formula>NOT(ISERROR(SEARCH("o5",H580)))</formula>
    </cfRule>
    <cfRule type="containsText" dxfId="1583" priority="1610" operator="containsText" text="o4">
      <formula>NOT(ISERROR(SEARCH("o4",H580)))</formula>
    </cfRule>
    <cfRule type="containsText" dxfId="1582" priority="1611" operator="containsText" text="o3">
      <formula>NOT(ISERROR(SEARCH("o3",H580)))</formula>
    </cfRule>
    <cfRule type="containsText" dxfId="1581" priority="1612" operator="containsText" text="o2">
      <formula>NOT(ISERROR(SEARCH("o2",H580)))</formula>
    </cfRule>
    <cfRule type="containsText" dxfId="1580" priority="1613" operator="containsText" text="o1b">
      <formula>NOT(ISERROR(SEARCH("o1b",H580)))</formula>
    </cfRule>
    <cfRule type="containsText" dxfId="1579" priority="1614" operator="containsText" text="o1a">
      <formula>NOT(ISERROR(SEARCH("o1a",H580)))</formula>
    </cfRule>
  </conditionalFormatting>
  <conditionalFormatting sqref="F580:G580 F581">
    <cfRule type="containsText" dxfId="1578" priority="1603" operator="containsText" text="o5">
      <formula>NOT(ISERROR(SEARCH("o5",F580)))</formula>
    </cfRule>
    <cfRule type="containsText" dxfId="1577" priority="1604" operator="containsText" text="o4">
      <formula>NOT(ISERROR(SEARCH("o4",F580)))</formula>
    </cfRule>
    <cfRule type="containsText" dxfId="1576" priority="1605" operator="containsText" text="o3">
      <formula>NOT(ISERROR(SEARCH("o3",F580)))</formula>
    </cfRule>
    <cfRule type="containsText" dxfId="1575" priority="1606" operator="containsText" text="o2">
      <formula>NOT(ISERROR(SEARCH("o2",F580)))</formula>
    </cfRule>
    <cfRule type="containsText" dxfId="1574" priority="1607" operator="containsText" text="o1b">
      <formula>NOT(ISERROR(SEARCH("o1b",F580)))</formula>
    </cfRule>
    <cfRule type="containsText" dxfId="1573" priority="1608" operator="containsText" text="o1a">
      <formula>NOT(ISERROR(SEARCH("o1a",F580)))</formula>
    </cfRule>
  </conditionalFormatting>
  <conditionalFormatting sqref="G581">
    <cfRule type="containsText" dxfId="1572" priority="1597" operator="containsText" text="o5">
      <formula>NOT(ISERROR(SEARCH("o5",G581)))</formula>
    </cfRule>
    <cfRule type="containsText" dxfId="1571" priority="1598" operator="containsText" text="o4">
      <formula>NOT(ISERROR(SEARCH("o4",G581)))</formula>
    </cfRule>
    <cfRule type="containsText" dxfId="1570" priority="1599" operator="containsText" text="o3">
      <formula>NOT(ISERROR(SEARCH("o3",G581)))</formula>
    </cfRule>
    <cfRule type="containsText" dxfId="1569" priority="1600" operator="containsText" text="o2">
      <formula>NOT(ISERROR(SEARCH("o2",G581)))</formula>
    </cfRule>
    <cfRule type="containsText" dxfId="1568" priority="1601" operator="containsText" text="o1b">
      <formula>NOT(ISERROR(SEARCH("o1b",G581)))</formula>
    </cfRule>
    <cfRule type="containsText" dxfId="1567" priority="1602" operator="containsText" text="o1a">
      <formula>NOT(ISERROR(SEARCH("o1a",G581)))</formula>
    </cfRule>
  </conditionalFormatting>
  <conditionalFormatting sqref="E582:F582 H582 E583:H583 E584:E585 H584:H585">
    <cfRule type="containsText" dxfId="1566" priority="1591" operator="containsText" text="o5">
      <formula>NOT(ISERROR(SEARCH("o5",E582)))</formula>
    </cfRule>
    <cfRule type="containsText" dxfId="1565" priority="1592" operator="containsText" text="o4">
      <formula>NOT(ISERROR(SEARCH("o4",E582)))</formula>
    </cfRule>
    <cfRule type="containsText" dxfId="1564" priority="1593" operator="containsText" text="o3">
      <formula>NOT(ISERROR(SEARCH("o3",E582)))</formula>
    </cfRule>
    <cfRule type="containsText" dxfId="1563" priority="1594" operator="containsText" text="o2">
      <formula>NOT(ISERROR(SEARCH("o2",E582)))</formula>
    </cfRule>
    <cfRule type="containsText" dxfId="1562" priority="1595" operator="containsText" text="o1b">
      <formula>NOT(ISERROR(SEARCH("o1b",E582)))</formula>
    </cfRule>
    <cfRule type="containsText" dxfId="1561" priority="1596" operator="containsText" text="o1a">
      <formula>NOT(ISERROR(SEARCH("o1a",E582)))</formula>
    </cfRule>
  </conditionalFormatting>
  <conditionalFormatting sqref="G582">
    <cfRule type="containsText" dxfId="1560" priority="1585" operator="containsText" text="o5">
      <formula>NOT(ISERROR(SEARCH("o5",G582)))</formula>
    </cfRule>
    <cfRule type="containsText" dxfId="1559" priority="1586" operator="containsText" text="o4">
      <formula>NOT(ISERROR(SEARCH("o4",G582)))</formula>
    </cfRule>
    <cfRule type="containsText" dxfId="1558" priority="1587" operator="containsText" text="o3">
      <formula>NOT(ISERROR(SEARCH("o3",G582)))</formula>
    </cfRule>
    <cfRule type="containsText" dxfId="1557" priority="1588" operator="containsText" text="o2">
      <formula>NOT(ISERROR(SEARCH("o2",G582)))</formula>
    </cfRule>
    <cfRule type="containsText" dxfId="1556" priority="1589" operator="containsText" text="o1b">
      <formula>NOT(ISERROR(SEARCH("o1b",G582)))</formula>
    </cfRule>
    <cfRule type="containsText" dxfId="1555" priority="1590" operator="containsText" text="o1a">
      <formula>NOT(ISERROR(SEARCH("o1a",G582)))</formula>
    </cfRule>
  </conditionalFormatting>
  <conditionalFormatting sqref="F584:G584 F585">
    <cfRule type="containsText" dxfId="1554" priority="1579" operator="containsText" text="o5">
      <formula>NOT(ISERROR(SEARCH("o5",F584)))</formula>
    </cfRule>
    <cfRule type="containsText" dxfId="1553" priority="1580" operator="containsText" text="o4">
      <formula>NOT(ISERROR(SEARCH("o4",F584)))</formula>
    </cfRule>
    <cfRule type="containsText" dxfId="1552" priority="1581" operator="containsText" text="o3">
      <formula>NOT(ISERROR(SEARCH("o3",F584)))</formula>
    </cfRule>
    <cfRule type="containsText" dxfId="1551" priority="1582" operator="containsText" text="o2">
      <formula>NOT(ISERROR(SEARCH("o2",F584)))</formula>
    </cfRule>
    <cfRule type="containsText" dxfId="1550" priority="1583" operator="containsText" text="o1b">
      <formula>NOT(ISERROR(SEARCH("o1b",F584)))</formula>
    </cfRule>
    <cfRule type="containsText" dxfId="1549" priority="1584" operator="containsText" text="o1a">
      <formula>NOT(ISERROR(SEARCH("o1a",F584)))</formula>
    </cfRule>
  </conditionalFormatting>
  <conditionalFormatting sqref="G585">
    <cfRule type="containsText" dxfId="1548" priority="1573" operator="containsText" text="o5">
      <formula>NOT(ISERROR(SEARCH("o5",G585)))</formula>
    </cfRule>
    <cfRule type="containsText" dxfId="1547" priority="1574" operator="containsText" text="o4">
      <formula>NOT(ISERROR(SEARCH("o4",G585)))</formula>
    </cfRule>
    <cfRule type="containsText" dxfId="1546" priority="1575" operator="containsText" text="o3">
      <formula>NOT(ISERROR(SEARCH("o3",G585)))</formula>
    </cfRule>
    <cfRule type="containsText" dxfId="1545" priority="1576" operator="containsText" text="o2">
      <formula>NOT(ISERROR(SEARCH("o2",G585)))</formula>
    </cfRule>
    <cfRule type="containsText" dxfId="1544" priority="1577" operator="containsText" text="o1b">
      <formula>NOT(ISERROR(SEARCH("o1b",G585)))</formula>
    </cfRule>
    <cfRule type="containsText" dxfId="1543" priority="1578" operator="containsText" text="o1a">
      <formula>NOT(ISERROR(SEARCH("o1a",G585)))</formula>
    </cfRule>
  </conditionalFormatting>
  <conditionalFormatting sqref="H586:H587">
    <cfRule type="containsText" dxfId="1542" priority="1567" operator="containsText" text="o5">
      <formula>NOT(ISERROR(SEARCH("o5",H586)))</formula>
    </cfRule>
    <cfRule type="containsText" dxfId="1541" priority="1568" operator="containsText" text="o4">
      <formula>NOT(ISERROR(SEARCH("o4",H586)))</formula>
    </cfRule>
    <cfRule type="containsText" dxfId="1540" priority="1569" operator="containsText" text="o3">
      <formula>NOT(ISERROR(SEARCH("o3",H586)))</formula>
    </cfRule>
    <cfRule type="containsText" dxfId="1539" priority="1570" operator="containsText" text="o2">
      <formula>NOT(ISERROR(SEARCH("o2",H586)))</formula>
    </cfRule>
    <cfRule type="containsText" dxfId="1538" priority="1571" operator="containsText" text="o1b">
      <formula>NOT(ISERROR(SEARCH("o1b",H586)))</formula>
    </cfRule>
    <cfRule type="containsText" dxfId="1537" priority="1572" operator="containsText" text="o1a">
      <formula>NOT(ISERROR(SEARCH("o1a",H586)))</formula>
    </cfRule>
  </conditionalFormatting>
  <conditionalFormatting sqref="F586:G586 F587">
    <cfRule type="containsText" dxfId="1536" priority="1561" operator="containsText" text="o5">
      <formula>NOT(ISERROR(SEARCH("o5",F586)))</formula>
    </cfRule>
    <cfRule type="containsText" dxfId="1535" priority="1562" operator="containsText" text="o4">
      <formula>NOT(ISERROR(SEARCH("o4",F586)))</formula>
    </cfRule>
    <cfRule type="containsText" dxfId="1534" priority="1563" operator="containsText" text="o3">
      <formula>NOT(ISERROR(SEARCH("o3",F586)))</formula>
    </cfRule>
    <cfRule type="containsText" dxfId="1533" priority="1564" operator="containsText" text="o2">
      <formula>NOT(ISERROR(SEARCH("o2",F586)))</formula>
    </cfRule>
    <cfRule type="containsText" dxfId="1532" priority="1565" operator="containsText" text="o1b">
      <formula>NOT(ISERROR(SEARCH("o1b",F586)))</formula>
    </cfRule>
    <cfRule type="containsText" dxfId="1531" priority="1566" operator="containsText" text="o1a">
      <formula>NOT(ISERROR(SEARCH("o1a",F586)))</formula>
    </cfRule>
  </conditionalFormatting>
  <conditionalFormatting sqref="G587">
    <cfRule type="containsText" dxfId="1530" priority="1555" operator="containsText" text="o5">
      <formula>NOT(ISERROR(SEARCH("o5",G587)))</formula>
    </cfRule>
    <cfRule type="containsText" dxfId="1529" priority="1556" operator="containsText" text="o4">
      <formula>NOT(ISERROR(SEARCH("o4",G587)))</formula>
    </cfRule>
    <cfRule type="containsText" dxfId="1528" priority="1557" operator="containsText" text="o3">
      <formula>NOT(ISERROR(SEARCH("o3",G587)))</formula>
    </cfRule>
    <cfRule type="containsText" dxfId="1527" priority="1558" operator="containsText" text="o2">
      <formula>NOT(ISERROR(SEARCH("o2",G587)))</formula>
    </cfRule>
    <cfRule type="containsText" dxfId="1526" priority="1559" operator="containsText" text="o1b">
      <formula>NOT(ISERROR(SEARCH("o1b",G587)))</formula>
    </cfRule>
    <cfRule type="containsText" dxfId="1525" priority="1560" operator="containsText" text="o1a">
      <formula>NOT(ISERROR(SEARCH("o1a",G587)))</formula>
    </cfRule>
  </conditionalFormatting>
  <conditionalFormatting sqref="E588:F588 H588 E589:H589 E590:E591 H590:H591">
    <cfRule type="containsText" dxfId="1524" priority="1549" operator="containsText" text="o5">
      <formula>NOT(ISERROR(SEARCH("o5",E588)))</formula>
    </cfRule>
    <cfRule type="containsText" dxfId="1523" priority="1550" operator="containsText" text="o4">
      <formula>NOT(ISERROR(SEARCH("o4",E588)))</formula>
    </cfRule>
    <cfRule type="containsText" dxfId="1522" priority="1551" operator="containsText" text="o3">
      <formula>NOT(ISERROR(SEARCH("o3",E588)))</formula>
    </cfRule>
    <cfRule type="containsText" dxfId="1521" priority="1552" operator="containsText" text="o2">
      <formula>NOT(ISERROR(SEARCH("o2",E588)))</formula>
    </cfRule>
    <cfRule type="containsText" dxfId="1520" priority="1553" operator="containsText" text="o1b">
      <formula>NOT(ISERROR(SEARCH("o1b",E588)))</formula>
    </cfRule>
    <cfRule type="containsText" dxfId="1519" priority="1554" operator="containsText" text="o1a">
      <formula>NOT(ISERROR(SEARCH("o1a",E588)))</formula>
    </cfRule>
  </conditionalFormatting>
  <conditionalFormatting sqref="G588">
    <cfRule type="containsText" dxfId="1518" priority="1543" operator="containsText" text="o5">
      <formula>NOT(ISERROR(SEARCH("o5",G588)))</formula>
    </cfRule>
    <cfRule type="containsText" dxfId="1517" priority="1544" operator="containsText" text="o4">
      <formula>NOT(ISERROR(SEARCH("o4",G588)))</formula>
    </cfRule>
    <cfRule type="containsText" dxfId="1516" priority="1545" operator="containsText" text="o3">
      <formula>NOT(ISERROR(SEARCH("o3",G588)))</formula>
    </cfRule>
    <cfRule type="containsText" dxfId="1515" priority="1546" operator="containsText" text="o2">
      <formula>NOT(ISERROR(SEARCH("o2",G588)))</formula>
    </cfRule>
    <cfRule type="containsText" dxfId="1514" priority="1547" operator="containsText" text="o1b">
      <formula>NOT(ISERROR(SEARCH("o1b",G588)))</formula>
    </cfRule>
    <cfRule type="containsText" dxfId="1513" priority="1548" operator="containsText" text="o1a">
      <formula>NOT(ISERROR(SEARCH("o1a",G588)))</formula>
    </cfRule>
  </conditionalFormatting>
  <conditionalFormatting sqref="F590:G590 F591">
    <cfRule type="containsText" dxfId="1512" priority="1537" operator="containsText" text="o5">
      <formula>NOT(ISERROR(SEARCH("o5",F590)))</formula>
    </cfRule>
    <cfRule type="containsText" dxfId="1511" priority="1538" operator="containsText" text="o4">
      <formula>NOT(ISERROR(SEARCH("o4",F590)))</formula>
    </cfRule>
    <cfRule type="containsText" dxfId="1510" priority="1539" operator="containsText" text="o3">
      <formula>NOT(ISERROR(SEARCH("o3",F590)))</formula>
    </cfRule>
    <cfRule type="containsText" dxfId="1509" priority="1540" operator="containsText" text="o2">
      <formula>NOT(ISERROR(SEARCH("o2",F590)))</formula>
    </cfRule>
    <cfRule type="containsText" dxfId="1508" priority="1541" operator="containsText" text="o1b">
      <formula>NOT(ISERROR(SEARCH("o1b",F590)))</formula>
    </cfRule>
    <cfRule type="containsText" dxfId="1507" priority="1542" operator="containsText" text="o1a">
      <formula>NOT(ISERROR(SEARCH("o1a",F590)))</formula>
    </cfRule>
  </conditionalFormatting>
  <conditionalFormatting sqref="G591">
    <cfRule type="containsText" dxfId="1506" priority="1531" operator="containsText" text="o5">
      <formula>NOT(ISERROR(SEARCH("o5",G591)))</formula>
    </cfRule>
    <cfRule type="containsText" dxfId="1505" priority="1532" operator="containsText" text="o4">
      <formula>NOT(ISERROR(SEARCH("o4",G591)))</formula>
    </cfRule>
    <cfRule type="containsText" dxfId="1504" priority="1533" operator="containsText" text="o3">
      <formula>NOT(ISERROR(SEARCH("o3",G591)))</formula>
    </cfRule>
    <cfRule type="containsText" dxfId="1503" priority="1534" operator="containsText" text="o2">
      <formula>NOT(ISERROR(SEARCH("o2",G591)))</formula>
    </cfRule>
    <cfRule type="containsText" dxfId="1502" priority="1535" operator="containsText" text="o1b">
      <formula>NOT(ISERROR(SEARCH("o1b",G591)))</formula>
    </cfRule>
    <cfRule type="containsText" dxfId="1501" priority="1536" operator="containsText" text="o1a">
      <formula>NOT(ISERROR(SEARCH("o1a",G591)))</formula>
    </cfRule>
  </conditionalFormatting>
  <conditionalFormatting sqref="H592:H593">
    <cfRule type="containsText" dxfId="1500" priority="1525" operator="containsText" text="o5">
      <formula>NOT(ISERROR(SEARCH("o5",H592)))</formula>
    </cfRule>
    <cfRule type="containsText" dxfId="1499" priority="1526" operator="containsText" text="o4">
      <formula>NOT(ISERROR(SEARCH("o4",H592)))</formula>
    </cfRule>
    <cfRule type="containsText" dxfId="1498" priority="1527" operator="containsText" text="o3">
      <formula>NOT(ISERROR(SEARCH("o3",H592)))</formula>
    </cfRule>
    <cfRule type="containsText" dxfId="1497" priority="1528" operator="containsText" text="o2">
      <formula>NOT(ISERROR(SEARCH("o2",H592)))</formula>
    </cfRule>
    <cfRule type="containsText" dxfId="1496" priority="1529" operator="containsText" text="o1b">
      <formula>NOT(ISERROR(SEARCH("o1b",H592)))</formula>
    </cfRule>
    <cfRule type="containsText" dxfId="1495" priority="1530" operator="containsText" text="o1a">
      <formula>NOT(ISERROR(SEARCH("o1a",H592)))</formula>
    </cfRule>
  </conditionalFormatting>
  <conditionalFormatting sqref="F592:G592 F593">
    <cfRule type="containsText" dxfId="1494" priority="1519" operator="containsText" text="o5">
      <formula>NOT(ISERROR(SEARCH("o5",F592)))</formula>
    </cfRule>
    <cfRule type="containsText" dxfId="1493" priority="1520" operator="containsText" text="o4">
      <formula>NOT(ISERROR(SEARCH("o4",F592)))</formula>
    </cfRule>
    <cfRule type="containsText" dxfId="1492" priority="1521" operator="containsText" text="o3">
      <formula>NOT(ISERROR(SEARCH("o3",F592)))</formula>
    </cfRule>
    <cfRule type="containsText" dxfId="1491" priority="1522" operator="containsText" text="o2">
      <formula>NOT(ISERROR(SEARCH("o2",F592)))</formula>
    </cfRule>
    <cfRule type="containsText" dxfId="1490" priority="1523" operator="containsText" text="o1b">
      <formula>NOT(ISERROR(SEARCH("o1b",F592)))</formula>
    </cfRule>
    <cfRule type="containsText" dxfId="1489" priority="1524" operator="containsText" text="o1a">
      <formula>NOT(ISERROR(SEARCH("o1a",F592)))</formula>
    </cfRule>
  </conditionalFormatting>
  <conditionalFormatting sqref="G593">
    <cfRule type="containsText" dxfId="1488" priority="1513" operator="containsText" text="o5">
      <formula>NOT(ISERROR(SEARCH("o5",G593)))</formula>
    </cfRule>
    <cfRule type="containsText" dxfId="1487" priority="1514" operator="containsText" text="o4">
      <formula>NOT(ISERROR(SEARCH("o4",G593)))</formula>
    </cfRule>
    <cfRule type="containsText" dxfId="1486" priority="1515" operator="containsText" text="o3">
      <formula>NOT(ISERROR(SEARCH("o3",G593)))</formula>
    </cfRule>
    <cfRule type="containsText" dxfId="1485" priority="1516" operator="containsText" text="o2">
      <formula>NOT(ISERROR(SEARCH("o2",G593)))</formula>
    </cfRule>
    <cfRule type="containsText" dxfId="1484" priority="1517" operator="containsText" text="o1b">
      <formula>NOT(ISERROR(SEARCH("o1b",G593)))</formula>
    </cfRule>
    <cfRule type="containsText" dxfId="1483" priority="1518" operator="containsText" text="o1a">
      <formula>NOT(ISERROR(SEARCH("o1a",G593)))</formula>
    </cfRule>
  </conditionalFormatting>
  <conditionalFormatting sqref="E594:F594 H594 E595:H595 E596:E597 H596:H597">
    <cfRule type="containsText" dxfId="1482" priority="1507" operator="containsText" text="o5">
      <formula>NOT(ISERROR(SEARCH("o5",E594)))</formula>
    </cfRule>
    <cfRule type="containsText" dxfId="1481" priority="1508" operator="containsText" text="o4">
      <formula>NOT(ISERROR(SEARCH("o4",E594)))</formula>
    </cfRule>
    <cfRule type="containsText" dxfId="1480" priority="1509" operator="containsText" text="o3">
      <formula>NOT(ISERROR(SEARCH("o3",E594)))</formula>
    </cfRule>
    <cfRule type="containsText" dxfId="1479" priority="1510" operator="containsText" text="o2">
      <formula>NOT(ISERROR(SEARCH("o2",E594)))</formula>
    </cfRule>
    <cfRule type="containsText" dxfId="1478" priority="1511" operator="containsText" text="o1b">
      <formula>NOT(ISERROR(SEARCH("o1b",E594)))</formula>
    </cfRule>
    <cfRule type="containsText" dxfId="1477" priority="1512" operator="containsText" text="o1a">
      <formula>NOT(ISERROR(SEARCH("o1a",E594)))</formula>
    </cfRule>
  </conditionalFormatting>
  <conditionalFormatting sqref="G594">
    <cfRule type="containsText" dxfId="1476" priority="1501" operator="containsText" text="o5">
      <formula>NOT(ISERROR(SEARCH("o5",G594)))</formula>
    </cfRule>
    <cfRule type="containsText" dxfId="1475" priority="1502" operator="containsText" text="o4">
      <formula>NOT(ISERROR(SEARCH("o4",G594)))</formula>
    </cfRule>
    <cfRule type="containsText" dxfId="1474" priority="1503" operator="containsText" text="o3">
      <formula>NOT(ISERROR(SEARCH("o3",G594)))</formula>
    </cfRule>
    <cfRule type="containsText" dxfId="1473" priority="1504" operator="containsText" text="o2">
      <formula>NOT(ISERROR(SEARCH("o2",G594)))</formula>
    </cfRule>
    <cfRule type="containsText" dxfId="1472" priority="1505" operator="containsText" text="o1b">
      <formula>NOT(ISERROR(SEARCH("o1b",G594)))</formula>
    </cfRule>
    <cfRule type="containsText" dxfId="1471" priority="1506" operator="containsText" text="o1a">
      <formula>NOT(ISERROR(SEARCH("o1a",G594)))</formula>
    </cfRule>
  </conditionalFormatting>
  <conditionalFormatting sqref="F596:G596 F597">
    <cfRule type="containsText" dxfId="1470" priority="1495" operator="containsText" text="o5">
      <formula>NOT(ISERROR(SEARCH("o5",F596)))</formula>
    </cfRule>
    <cfRule type="containsText" dxfId="1469" priority="1496" operator="containsText" text="o4">
      <formula>NOT(ISERROR(SEARCH("o4",F596)))</formula>
    </cfRule>
    <cfRule type="containsText" dxfId="1468" priority="1497" operator="containsText" text="o3">
      <formula>NOT(ISERROR(SEARCH("o3",F596)))</formula>
    </cfRule>
    <cfRule type="containsText" dxfId="1467" priority="1498" operator="containsText" text="o2">
      <formula>NOT(ISERROR(SEARCH("o2",F596)))</formula>
    </cfRule>
    <cfRule type="containsText" dxfId="1466" priority="1499" operator="containsText" text="o1b">
      <formula>NOT(ISERROR(SEARCH("o1b",F596)))</formula>
    </cfRule>
    <cfRule type="containsText" dxfId="1465" priority="1500" operator="containsText" text="o1a">
      <formula>NOT(ISERROR(SEARCH("o1a",F596)))</formula>
    </cfRule>
  </conditionalFormatting>
  <conditionalFormatting sqref="G597">
    <cfRule type="containsText" dxfId="1464" priority="1489" operator="containsText" text="o5">
      <formula>NOT(ISERROR(SEARCH("o5",G597)))</formula>
    </cfRule>
    <cfRule type="containsText" dxfId="1463" priority="1490" operator="containsText" text="o4">
      <formula>NOT(ISERROR(SEARCH("o4",G597)))</formula>
    </cfRule>
    <cfRule type="containsText" dxfId="1462" priority="1491" operator="containsText" text="o3">
      <formula>NOT(ISERROR(SEARCH("o3",G597)))</formula>
    </cfRule>
    <cfRule type="containsText" dxfId="1461" priority="1492" operator="containsText" text="o2">
      <formula>NOT(ISERROR(SEARCH("o2",G597)))</formula>
    </cfRule>
    <cfRule type="containsText" dxfId="1460" priority="1493" operator="containsText" text="o1b">
      <formula>NOT(ISERROR(SEARCH("o1b",G597)))</formula>
    </cfRule>
    <cfRule type="containsText" dxfId="1459" priority="1494" operator="containsText" text="o1a">
      <formula>NOT(ISERROR(SEARCH("o1a",G597)))</formula>
    </cfRule>
  </conditionalFormatting>
  <conditionalFormatting sqref="E607:E608 E613:E614 E619:E620 E625:E626 E631:E632">
    <cfRule type="containsText" dxfId="1458" priority="1483" operator="containsText" text="o5">
      <formula>NOT(ISERROR(SEARCH("o5",E607)))</formula>
    </cfRule>
    <cfRule type="containsText" dxfId="1457" priority="1484" operator="containsText" text="o4">
      <formula>NOT(ISERROR(SEARCH("o4",E607)))</formula>
    </cfRule>
    <cfRule type="containsText" dxfId="1456" priority="1485" operator="containsText" text="o3">
      <formula>NOT(ISERROR(SEARCH("o3",E607)))</formula>
    </cfRule>
    <cfRule type="containsText" dxfId="1455" priority="1486" operator="containsText" text="o2">
      <formula>NOT(ISERROR(SEARCH("o2",E607)))</formula>
    </cfRule>
    <cfRule type="containsText" dxfId="1454" priority="1487" operator="containsText" text="o1b">
      <formula>NOT(ISERROR(SEARCH("o1b",E607)))</formula>
    </cfRule>
    <cfRule type="containsText" dxfId="1453" priority="1488" operator="containsText" text="o1a">
      <formula>NOT(ISERROR(SEARCH("o1a",E607)))</formula>
    </cfRule>
  </conditionalFormatting>
  <conditionalFormatting sqref="G598">
    <cfRule type="containsText" dxfId="1452" priority="1477" operator="containsText" text="o5">
      <formula>NOT(ISERROR(SEARCH("o5",G598)))</formula>
    </cfRule>
    <cfRule type="containsText" dxfId="1451" priority="1478" operator="containsText" text="o4">
      <formula>NOT(ISERROR(SEARCH("o4",G598)))</formula>
    </cfRule>
    <cfRule type="containsText" dxfId="1450" priority="1479" operator="containsText" text="o3">
      <formula>NOT(ISERROR(SEARCH("o3",G598)))</formula>
    </cfRule>
    <cfRule type="containsText" dxfId="1449" priority="1480" operator="containsText" text="o2">
      <formula>NOT(ISERROR(SEARCH("o2",G598)))</formula>
    </cfRule>
    <cfRule type="containsText" dxfId="1448" priority="1481" operator="containsText" text="o1b">
      <formula>NOT(ISERROR(SEARCH("o1b",G598)))</formula>
    </cfRule>
    <cfRule type="containsText" dxfId="1447" priority="1482" operator="containsText" text="o1a">
      <formula>NOT(ISERROR(SEARCH("o1a",G598)))</formula>
    </cfRule>
  </conditionalFormatting>
  <conditionalFormatting sqref="F599">
    <cfRule type="containsText" dxfId="1446" priority="1471" operator="containsText" text="o5">
      <formula>NOT(ISERROR(SEARCH("o5",F599)))</formula>
    </cfRule>
    <cfRule type="containsText" dxfId="1445" priority="1472" operator="containsText" text="o4">
      <formula>NOT(ISERROR(SEARCH("o4",F599)))</formula>
    </cfRule>
    <cfRule type="containsText" dxfId="1444" priority="1473" operator="containsText" text="o3">
      <formula>NOT(ISERROR(SEARCH("o3",F599)))</formula>
    </cfRule>
    <cfRule type="containsText" dxfId="1443" priority="1474" operator="containsText" text="o2">
      <formula>NOT(ISERROR(SEARCH("o2",F599)))</formula>
    </cfRule>
    <cfRule type="containsText" dxfId="1442" priority="1475" operator="containsText" text="o1b">
      <formula>NOT(ISERROR(SEARCH("o1b",F599)))</formula>
    </cfRule>
    <cfRule type="containsText" dxfId="1441" priority="1476" operator="containsText" text="o1a">
      <formula>NOT(ISERROR(SEARCH("o1a",F599)))</formula>
    </cfRule>
  </conditionalFormatting>
  <conditionalFormatting sqref="H601:H602">
    <cfRule type="containsText" dxfId="1440" priority="1465" operator="containsText" text="o5">
      <formula>NOT(ISERROR(SEARCH("o5",H601)))</formula>
    </cfRule>
    <cfRule type="containsText" dxfId="1439" priority="1466" operator="containsText" text="o4">
      <formula>NOT(ISERROR(SEARCH("o4",H601)))</formula>
    </cfRule>
    <cfRule type="containsText" dxfId="1438" priority="1467" operator="containsText" text="o3">
      <formula>NOT(ISERROR(SEARCH("o3",H601)))</formula>
    </cfRule>
    <cfRule type="containsText" dxfId="1437" priority="1468" operator="containsText" text="o2">
      <formula>NOT(ISERROR(SEARCH("o2",H601)))</formula>
    </cfRule>
    <cfRule type="containsText" dxfId="1436" priority="1469" operator="containsText" text="o1b">
      <formula>NOT(ISERROR(SEARCH("o1b",H601)))</formula>
    </cfRule>
    <cfRule type="containsText" dxfId="1435" priority="1470" operator="containsText" text="o1a">
      <formula>NOT(ISERROR(SEARCH("o1a",H601)))</formula>
    </cfRule>
  </conditionalFormatting>
  <conditionalFormatting sqref="F601:G601 F602">
    <cfRule type="containsText" dxfId="1434" priority="1459" operator="containsText" text="o5">
      <formula>NOT(ISERROR(SEARCH("o5",F601)))</formula>
    </cfRule>
    <cfRule type="containsText" dxfId="1433" priority="1460" operator="containsText" text="o4">
      <formula>NOT(ISERROR(SEARCH("o4",F601)))</formula>
    </cfRule>
    <cfRule type="containsText" dxfId="1432" priority="1461" operator="containsText" text="o3">
      <formula>NOT(ISERROR(SEARCH("o3",F601)))</formula>
    </cfRule>
    <cfRule type="containsText" dxfId="1431" priority="1462" operator="containsText" text="o2">
      <formula>NOT(ISERROR(SEARCH("o2",F601)))</formula>
    </cfRule>
    <cfRule type="containsText" dxfId="1430" priority="1463" operator="containsText" text="o1b">
      <formula>NOT(ISERROR(SEARCH("o1b",F601)))</formula>
    </cfRule>
    <cfRule type="containsText" dxfId="1429" priority="1464" operator="containsText" text="o1a">
      <formula>NOT(ISERROR(SEARCH("o1a",F601)))</formula>
    </cfRule>
  </conditionalFormatting>
  <conditionalFormatting sqref="G602">
    <cfRule type="containsText" dxfId="1428" priority="1453" operator="containsText" text="o5">
      <formula>NOT(ISERROR(SEARCH("o5",G602)))</formula>
    </cfRule>
    <cfRule type="containsText" dxfId="1427" priority="1454" operator="containsText" text="o4">
      <formula>NOT(ISERROR(SEARCH("o4",G602)))</formula>
    </cfRule>
    <cfRule type="containsText" dxfId="1426" priority="1455" operator="containsText" text="o3">
      <formula>NOT(ISERROR(SEARCH("o3",G602)))</formula>
    </cfRule>
    <cfRule type="containsText" dxfId="1425" priority="1456" operator="containsText" text="o2">
      <formula>NOT(ISERROR(SEARCH("o2",G602)))</formula>
    </cfRule>
    <cfRule type="containsText" dxfId="1424" priority="1457" operator="containsText" text="o1b">
      <formula>NOT(ISERROR(SEARCH("o1b",G602)))</formula>
    </cfRule>
    <cfRule type="containsText" dxfId="1423" priority="1458" operator="containsText" text="o1a">
      <formula>NOT(ISERROR(SEARCH("o1a",G602)))</formula>
    </cfRule>
  </conditionalFormatting>
  <conditionalFormatting sqref="E603:F603 H603 E604:H604 E605:E606 H605:H606">
    <cfRule type="containsText" dxfId="1422" priority="1447" operator="containsText" text="o5">
      <formula>NOT(ISERROR(SEARCH("o5",E603)))</formula>
    </cfRule>
    <cfRule type="containsText" dxfId="1421" priority="1448" operator="containsText" text="o4">
      <formula>NOT(ISERROR(SEARCH("o4",E603)))</formula>
    </cfRule>
    <cfRule type="containsText" dxfId="1420" priority="1449" operator="containsText" text="o3">
      <formula>NOT(ISERROR(SEARCH("o3",E603)))</formula>
    </cfRule>
    <cfRule type="containsText" dxfId="1419" priority="1450" operator="containsText" text="o2">
      <formula>NOT(ISERROR(SEARCH("o2",E603)))</formula>
    </cfRule>
    <cfRule type="containsText" dxfId="1418" priority="1451" operator="containsText" text="o1b">
      <formula>NOT(ISERROR(SEARCH("o1b",E603)))</formula>
    </cfRule>
    <cfRule type="containsText" dxfId="1417" priority="1452" operator="containsText" text="o1a">
      <formula>NOT(ISERROR(SEARCH("o1a",E603)))</formula>
    </cfRule>
  </conditionalFormatting>
  <conditionalFormatting sqref="G603">
    <cfRule type="containsText" dxfId="1416" priority="1441" operator="containsText" text="o5">
      <formula>NOT(ISERROR(SEARCH("o5",G603)))</formula>
    </cfRule>
    <cfRule type="containsText" dxfId="1415" priority="1442" operator="containsText" text="o4">
      <formula>NOT(ISERROR(SEARCH("o4",G603)))</formula>
    </cfRule>
    <cfRule type="containsText" dxfId="1414" priority="1443" operator="containsText" text="o3">
      <formula>NOT(ISERROR(SEARCH("o3",G603)))</formula>
    </cfRule>
    <cfRule type="containsText" dxfId="1413" priority="1444" operator="containsText" text="o2">
      <formula>NOT(ISERROR(SEARCH("o2",G603)))</formula>
    </cfRule>
    <cfRule type="containsText" dxfId="1412" priority="1445" operator="containsText" text="o1b">
      <formula>NOT(ISERROR(SEARCH("o1b",G603)))</formula>
    </cfRule>
    <cfRule type="containsText" dxfId="1411" priority="1446" operator="containsText" text="o1a">
      <formula>NOT(ISERROR(SEARCH("o1a",G603)))</formula>
    </cfRule>
  </conditionalFormatting>
  <conditionalFormatting sqref="F605:G605 F606">
    <cfRule type="containsText" dxfId="1410" priority="1435" operator="containsText" text="o5">
      <formula>NOT(ISERROR(SEARCH("o5",F605)))</formula>
    </cfRule>
    <cfRule type="containsText" dxfId="1409" priority="1436" operator="containsText" text="o4">
      <formula>NOT(ISERROR(SEARCH("o4",F605)))</formula>
    </cfRule>
    <cfRule type="containsText" dxfId="1408" priority="1437" operator="containsText" text="o3">
      <formula>NOT(ISERROR(SEARCH("o3",F605)))</formula>
    </cfRule>
    <cfRule type="containsText" dxfId="1407" priority="1438" operator="containsText" text="o2">
      <formula>NOT(ISERROR(SEARCH("o2",F605)))</formula>
    </cfRule>
    <cfRule type="containsText" dxfId="1406" priority="1439" operator="containsText" text="o1b">
      <formula>NOT(ISERROR(SEARCH("o1b",F605)))</formula>
    </cfRule>
    <cfRule type="containsText" dxfId="1405" priority="1440" operator="containsText" text="o1a">
      <formula>NOT(ISERROR(SEARCH("o1a",F605)))</formula>
    </cfRule>
  </conditionalFormatting>
  <conditionalFormatting sqref="G606">
    <cfRule type="containsText" dxfId="1404" priority="1429" operator="containsText" text="o5">
      <formula>NOT(ISERROR(SEARCH("o5",G606)))</formula>
    </cfRule>
    <cfRule type="containsText" dxfId="1403" priority="1430" operator="containsText" text="o4">
      <formula>NOT(ISERROR(SEARCH("o4",G606)))</formula>
    </cfRule>
    <cfRule type="containsText" dxfId="1402" priority="1431" operator="containsText" text="o3">
      <formula>NOT(ISERROR(SEARCH("o3",G606)))</formula>
    </cfRule>
    <cfRule type="containsText" dxfId="1401" priority="1432" operator="containsText" text="o2">
      <formula>NOT(ISERROR(SEARCH("o2",G606)))</formula>
    </cfRule>
    <cfRule type="containsText" dxfId="1400" priority="1433" operator="containsText" text="o1b">
      <formula>NOT(ISERROR(SEARCH("o1b",G606)))</formula>
    </cfRule>
    <cfRule type="containsText" dxfId="1399" priority="1434" operator="containsText" text="o1a">
      <formula>NOT(ISERROR(SEARCH("o1a",G606)))</formula>
    </cfRule>
  </conditionalFormatting>
  <conditionalFormatting sqref="H607:H608">
    <cfRule type="containsText" dxfId="1398" priority="1423" operator="containsText" text="o5">
      <formula>NOT(ISERROR(SEARCH("o5",H607)))</formula>
    </cfRule>
    <cfRule type="containsText" dxfId="1397" priority="1424" operator="containsText" text="o4">
      <formula>NOT(ISERROR(SEARCH("o4",H607)))</formula>
    </cfRule>
    <cfRule type="containsText" dxfId="1396" priority="1425" operator="containsText" text="o3">
      <formula>NOT(ISERROR(SEARCH("o3",H607)))</formula>
    </cfRule>
    <cfRule type="containsText" dxfId="1395" priority="1426" operator="containsText" text="o2">
      <formula>NOT(ISERROR(SEARCH("o2",H607)))</formula>
    </cfRule>
    <cfRule type="containsText" dxfId="1394" priority="1427" operator="containsText" text="o1b">
      <formula>NOT(ISERROR(SEARCH("o1b",H607)))</formula>
    </cfRule>
    <cfRule type="containsText" dxfId="1393" priority="1428" operator="containsText" text="o1a">
      <formula>NOT(ISERROR(SEARCH("o1a",H607)))</formula>
    </cfRule>
  </conditionalFormatting>
  <conditionalFormatting sqref="F607:G607 F608">
    <cfRule type="containsText" dxfId="1392" priority="1417" operator="containsText" text="o5">
      <formula>NOT(ISERROR(SEARCH("o5",F607)))</formula>
    </cfRule>
    <cfRule type="containsText" dxfId="1391" priority="1418" operator="containsText" text="o4">
      <formula>NOT(ISERROR(SEARCH("o4",F607)))</formula>
    </cfRule>
    <cfRule type="containsText" dxfId="1390" priority="1419" operator="containsText" text="o3">
      <formula>NOT(ISERROR(SEARCH("o3",F607)))</formula>
    </cfRule>
    <cfRule type="containsText" dxfId="1389" priority="1420" operator="containsText" text="o2">
      <formula>NOT(ISERROR(SEARCH("o2",F607)))</formula>
    </cfRule>
    <cfRule type="containsText" dxfId="1388" priority="1421" operator="containsText" text="o1b">
      <formula>NOT(ISERROR(SEARCH("o1b",F607)))</formula>
    </cfRule>
    <cfRule type="containsText" dxfId="1387" priority="1422" operator="containsText" text="o1a">
      <formula>NOT(ISERROR(SEARCH("o1a",F607)))</formula>
    </cfRule>
  </conditionalFormatting>
  <conditionalFormatting sqref="G608">
    <cfRule type="containsText" dxfId="1386" priority="1411" operator="containsText" text="o5">
      <formula>NOT(ISERROR(SEARCH("o5",G608)))</formula>
    </cfRule>
    <cfRule type="containsText" dxfId="1385" priority="1412" operator="containsText" text="o4">
      <formula>NOT(ISERROR(SEARCH("o4",G608)))</formula>
    </cfRule>
    <cfRule type="containsText" dxfId="1384" priority="1413" operator="containsText" text="o3">
      <formula>NOT(ISERROR(SEARCH("o3",G608)))</formula>
    </cfRule>
    <cfRule type="containsText" dxfId="1383" priority="1414" operator="containsText" text="o2">
      <formula>NOT(ISERROR(SEARCH("o2",G608)))</formula>
    </cfRule>
    <cfRule type="containsText" dxfId="1382" priority="1415" operator="containsText" text="o1b">
      <formula>NOT(ISERROR(SEARCH("o1b",G608)))</formula>
    </cfRule>
    <cfRule type="containsText" dxfId="1381" priority="1416" operator="containsText" text="o1a">
      <formula>NOT(ISERROR(SEARCH("o1a",G608)))</formula>
    </cfRule>
  </conditionalFormatting>
  <conditionalFormatting sqref="E609:F609 H609 E610:H610 E611:E612 H611:H612">
    <cfRule type="containsText" dxfId="1380" priority="1405" operator="containsText" text="o5">
      <formula>NOT(ISERROR(SEARCH("o5",E609)))</formula>
    </cfRule>
    <cfRule type="containsText" dxfId="1379" priority="1406" operator="containsText" text="o4">
      <formula>NOT(ISERROR(SEARCH("o4",E609)))</formula>
    </cfRule>
    <cfRule type="containsText" dxfId="1378" priority="1407" operator="containsText" text="o3">
      <formula>NOT(ISERROR(SEARCH("o3",E609)))</formula>
    </cfRule>
    <cfRule type="containsText" dxfId="1377" priority="1408" operator="containsText" text="o2">
      <formula>NOT(ISERROR(SEARCH("o2",E609)))</formula>
    </cfRule>
    <cfRule type="containsText" dxfId="1376" priority="1409" operator="containsText" text="o1b">
      <formula>NOT(ISERROR(SEARCH("o1b",E609)))</formula>
    </cfRule>
    <cfRule type="containsText" dxfId="1375" priority="1410" operator="containsText" text="o1a">
      <formula>NOT(ISERROR(SEARCH("o1a",E609)))</formula>
    </cfRule>
  </conditionalFormatting>
  <conditionalFormatting sqref="G609">
    <cfRule type="containsText" dxfId="1374" priority="1399" operator="containsText" text="o5">
      <formula>NOT(ISERROR(SEARCH("o5",G609)))</formula>
    </cfRule>
    <cfRule type="containsText" dxfId="1373" priority="1400" operator="containsText" text="o4">
      <formula>NOT(ISERROR(SEARCH("o4",G609)))</formula>
    </cfRule>
    <cfRule type="containsText" dxfId="1372" priority="1401" operator="containsText" text="o3">
      <formula>NOT(ISERROR(SEARCH("o3",G609)))</formula>
    </cfRule>
    <cfRule type="containsText" dxfId="1371" priority="1402" operator="containsText" text="o2">
      <formula>NOT(ISERROR(SEARCH("o2",G609)))</formula>
    </cfRule>
    <cfRule type="containsText" dxfId="1370" priority="1403" operator="containsText" text="o1b">
      <formula>NOT(ISERROR(SEARCH("o1b",G609)))</formula>
    </cfRule>
    <cfRule type="containsText" dxfId="1369" priority="1404" operator="containsText" text="o1a">
      <formula>NOT(ISERROR(SEARCH("o1a",G609)))</formula>
    </cfRule>
  </conditionalFormatting>
  <conditionalFormatting sqref="F611:G611 F612">
    <cfRule type="containsText" dxfId="1368" priority="1393" operator="containsText" text="o5">
      <formula>NOT(ISERROR(SEARCH("o5",F611)))</formula>
    </cfRule>
    <cfRule type="containsText" dxfId="1367" priority="1394" operator="containsText" text="o4">
      <formula>NOT(ISERROR(SEARCH("o4",F611)))</formula>
    </cfRule>
    <cfRule type="containsText" dxfId="1366" priority="1395" operator="containsText" text="o3">
      <formula>NOT(ISERROR(SEARCH("o3",F611)))</formula>
    </cfRule>
    <cfRule type="containsText" dxfId="1365" priority="1396" operator="containsText" text="o2">
      <formula>NOT(ISERROR(SEARCH("o2",F611)))</formula>
    </cfRule>
    <cfRule type="containsText" dxfId="1364" priority="1397" operator="containsText" text="o1b">
      <formula>NOT(ISERROR(SEARCH("o1b",F611)))</formula>
    </cfRule>
    <cfRule type="containsText" dxfId="1363" priority="1398" operator="containsText" text="o1a">
      <formula>NOT(ISERROR(SEARCH("o1a",F611)))</formula>
    </cfRule>
  </conditionalFormatting>
  <conditionalFormatting sqref="G612">
    <cfRule type="containsText" dxfId="1362" priority="1387" operator="containsText" text="o5">
      <formula>NOT(ISERROR(SEARCH("o5",G612)))</formula>
    </cfRule>
    <cfRule type="containsText" dxfId="1361" priority="1388" operator="containsText" text="o4">
      <formula>NOT(ISERROR(SEARCH("o4",G612)))</formula>
    </cfRule>
    <cfRule type="containsText" dxfId="1360" priority="1389" operator="containsText" text="o3">
      <formula>NOT(ISERROR(SEARCH("o3",G612)))</formula>
    </cfRule>
    <cfRule type="containsText" dxfId="1359" priority="1390" operator="containsText" text="o2">
      <formula>NOT(ISERROR(SEARCH("o2",G612)))</formula>
    </cfRule>
    <cfRule type="containsText" dxfId="1358" priority="1391" operator="containsText" text="o1b">
      <formula>NOT(ISERROR(SEARCH("o1b",G612)))</formula>
    </cfRule>
    <cfRule type="containsText" dxfId="1357" priority="1392" operator="containsText" text="o1a">
      <formula>NOT(ISERROR(SEARCH("o1a",G612)))</formula>
    </cfRule>
  </conditionalFormatting>
  <conditionalFormatting sqref="H613:H614">
    <cfRule type="containsText" dxfId="1356" priority="1381" operator="containsText" text="o5">
      <formula>NOT(ISERROR(SEARCH("o5",H613)))</formula>
    </cfRule>
    <cfRule type="containsText" dxfId="1355" priority="1382" operator="containsText" text="o4">
      <formula>NOT(ISERROR(SEARCH("o4",H613)))</formula>
    </cfRule>
    <cfRule type="containsText" dxfId="1354" priority="1383" operator="containsText" text="o3">
      <formula>NOT(ISERROR(SEARCH("o3",H613)))</formula>
    </cfRule>
    <cfRule type="containsText" dxfId="1353" priority="1384" operator="containsText" text="o2">
      <formula>NOT(ISERROR(SEARCH("o2",H613)))</formula>
    </cfRule>
    <cfRule type="containsText" dxfId="1352" priority="1385" operator="containsText" text="o1b">
      <formula>NOT(ISERROR(SEARCH("o1b",H613)))</formula>
    </cfRule>
    <cfRule type="containsText" dxfId="1351" priority="1386" operator="containsText" text="o1a">
      <formula>NOT(ISERROR(SEARCH("o1a",H613)))</formula>
    </cfRule>
  </conditionalFormatting>
  <conditionalFormatting sqref="F613:G613 F614">
    <cfRule type="containsText" dxfId="1350" priority="1375" operator="containsText" text="o5">
      <formula>NOT(ISERROR(SEARCH("o5",F613)))</formula>
    </cfRule>
    <cfRule type="containsText" dxfId="1349" priority="1376" operator="containsText" text="o4">
      <formula>NOT(ISERROR(SEARCH("o4",F613)))</formula>
    </cfRule>
    <cfRule type="containsText" dxfId="1348" priority="1377" operator="containsText" text="o3">
      <formula>NOT(ISERROR(SEARCH("o3",F613)))</formula>
    </cfRule>
    <cfRule type="containsText" dxfId="1347" priority="1378" operator="containsText" text="o2">
      <formula>NOT(ISERROR(SEARCH("o2",F613)))</formula>
    </cfRule>
    <cfRule type="containsText" dxfId="1346" priority="1379" operator="containsText" text="o1b">
      <formula>NOT(ISERROR(SEARCH("o1b",F613)))</formula>
    </cfRule>
    <cfRule type="containsText" dxfId="1345" priority="1380" operator="containsText" text="o1a">
      <formula>NOT(ISERROR(SEARCH("o1a",F613)))</formula>
    </cfRule>
  </conditionalFormatting>
  <conditionalFormatting sqref="G614">
    <cfRule type="containsText" dxfId="1344" priority="1369" operator="containsText" text="o5">
      <formula>NOT(ISERROR(SEARCH("o5",G614)))</formula>
    </cfRule>
    <cfRule type="containsText" dxfId="1343" priority="1370" operator="containsText" text="o4">
      <formula>NOT(ISERROR(SEARCH("o4",G614)))</formula>
    </cfRule>
    <cfRule type="containsText" dxfId="1342" priority="1371" operator="containsText" text="o3">
      <formula>NOT(ISERROR(SEARCH("o3",G614)))</formula>
    </cfRule>
    <cfRule type="containsText" dxfId="1341" priority="1372" operator="containsText" text="o2">
      <formula>NOT(ISERROR(SEARCH("o2",G614)))</formula>
    </cfRule>
    <cfRule type="containsText" dxfId="1340" priority="1373" operator="containsText" text="o1b">
      <formula>NOT(ISERROR(SEARCH("o1b",G614)))</formula>
    </cfRule>
    <cfRule type="containsText" dxfId="1339" priority="1374" operator="containsText" text="o1a">
      <formula>NOT(ISERROR(SEARCH("o1a",G614)))</formula>
    </cfRule>
  </conditionalFormatting>
  <conditionalFormatting sqref="E615:F615 H615 E616:H616 E617:E618 H617:H618">
    <cfRule type="containsText" dxfId="1338" priority="1363" operator="containsText" text="o5">
      <formula>NOT(ISERROR(SEARCH("o5",E615)))</formula>
    </cfRule>
    <cfRule type="containsText" dxfId="1337" priority="1364" operator="containsText" text="o4">
      <formula>NOT(ISERROR(SEARCH("o4",E615)))</formula>
    </cfRule>
    <cfRule type="containsText" dxfId="1336" priority="1365" operator="containsText" text="o3">
      <formula>NOT(ISERROR(SEARCH("o3",E615)))</formula>
    </cfRule>
    <cfRule type="containsText" dxfId="1335" priority="1366" operator="containsText" text="o2">
      <formula>NOT(ISERROR(SEARCH("o2",E615)))</formula>
    </cfRule>
    <cfRule type="containsText" dxfId="1334" priority="1367" operator="containsText" text="o1b">
      <formula>NOT(ISERROR(SEARCH("o1b",E615)))</formula>
    </cfRule>
    <cfRule type="containsText" dxfId="1333" priority="1368" operator="containsText" text="o1a">
      <formula>NOT(ISERROR(SEARCH("o1a",E615)))</formula>
    </cfRule>
  </conditionalFormatting>
  <conditionalFormatting sqref="G615">
    <cfRule type="containsText" dxfId="1332" priority="1357" operator="containsText" text="o5">
      <formula>NOT(ISERROR(SEARCH("o5",G615)))</formula>
    </cfRule>
    <cfRule type="containsText" dxfId="1331" priority="1358" operator="containsText" text="o4">
      <formula>NOT(ISERROR(SEARCH("o4",G615)))</formula>
    </cfRule>
    <cfRule type="containsText" dxfId="1330" priority="1359" operator="containsText" text="o3">
      <formula>NOT(ISERROR(SEARCH("o3",G615)))</formula>
    </cfRule>
    <cfRule type="containsText" dxfId="1329" priority="1360" operator="containsText" text="o2">
      <formula>NOT(ISERROR(SEARCH("o2",G615)))</formula>
    </cfRule>
    <cfRule type="containsText" dxfId="1328" priority="1361" operator="containsText" text="o1b">
      <formula>NOT(ISERROR(SEARCH("o1b",G615)))</formula>
    </cfRule>
    <cfRule type="containsText" dxfId="1327" priority="1362" operator="containsText" text="o1a">
      <formula>NOT(ISERROR(SEARCH("o1a",G615)))</formula>
    </cfRule>
  </conditionalFormatting>
  <conditionalFormatting sqref="F617:G617 F618">
    <cfRule type="containsText" dxfId="1326" priority="1351" operator="containsText" text="o5">
      <formula>NOT(ISERROR(SEARCH("o5",F617)))</formula>
    </cfRule>
    <cfRule type="containsText" dxfId="1325" priority="1352" operator="containsText" text="o4">
      <formula>NOT(ISERROR(SEARCH("o4",F617)))</formula>
    </cfRule>
    <cfRule type="containsText" dxfId="1324" priority="1353" operator="containsText" text="o3">
      <formula>NOT(ISERROR(SEARCH("o3",F617)))</formula>
    </cfRule>
    <cfRule type="containsText" dxfId="1323" priority="1354" operator="containsText" text="o2">
      <formula>NOT(ISERROR(SEARCH("o2",F617)))</formula>
    </cfRule>
    <cfRule type="containsText" dxfId="1322" priority="1355" operator="containsText" text="o1b">
      <formula>NOT(ISERROR(SEARCH("o1b",F617)))</formula>
    </cfRule>
    <cfRule type="containsText" dxfId="1321" priority="1356" operator="containsText" text="o1a">
      <formula>NOT(ISERROR(SEARCH("o1a",F617)))</formula>
    </cfRule>
  </conditionalFormatting>
  <conditionalFormatting sqref="G618">
    <cfRule type="containsText" dxfId="1320" priority="1345" operator="containsText" text="o5">
      <formula>NOT(ISERROR(SEARCH("o5",G618)))</formula>
    </cfRule>
    <cfRule type="containsText" dxfId="1319" priority="1346" operator="containsText" text="o4">
      <formula>NOT(ISERROR(SEARCH("o4",G618)))</formula>
    </cfRule>
    <cfRule type="containsText" dxfId="1318" priority="1347" operator="containsText" text="o3">
      <formula>NOT(ISERROR(SEARCH("o3",G618)))</formula>
    </cfRule>
    <cfRule type="containsText" dxfId="1317" priority="1348" operator="containsText" text="o2">
      <formula>NOT(ISERROR(SEARCH("o2",G618)))</formula>
    </cfRule>
    <cfRule type="containsText" dxfId="1316" priority="1349" operator="containsText" text="o1b">
      <formula>NOT(ISERROR(SEARCH("o1b",G618)))</formula>
    </cfRule>
    <cfRule type="containsText" dxfId="1315" priority="1350" operator="containsText" text="o1a">
      <formula>NOT(ISERROR(SEARCH("o1a",G618)))</formula>
    </cfRule>
  </conditionalFormatting>
  <conditionalFormatting sqref="H619:H620">
    <cfRule type="containsText" dxfId="1314" priority="1339" operator="containsText" text="o5">
      <formula>NOT(ISERROR(SEARCH("o5",H619)))</formula>
    </cfRule>
    <cfRule type="containsText" dxfId="1313" priority="1340" operator="containsText" text="o4">
      <formula>NOT(ISERROR(SEARCH("o4",H619)))</formula>
    </cfRule>
    <cfRule type="containsText" dxfId="1312" priority="1341" operator="containsText" text="o3">
      <formula>NOT(ISERROR(SEARCH("o3",H619)))</formula>
    </cfRule>
    <cfRule type="containsText" dxfId="1311" priority="1342" operator="containsText" text="o2">
      <formula>NOT(ISERROR(SEARCH("o2",H619)))</formula>
    </cfRule>
    <cfRule type="containsText" dxfId="1310" priority="1343" operator="containsText" text="o1b">
      <formula>NOT(ISERROR(SEARCH("o1b",H619)))</formula>
    </cfRule>
    <cfRule type="containsText" dxfId="1309" priority="1344" operator="containsText" text="o1a">
      <formula>NOT(ISERROR(SEARCH("o1a",H619)))</formula>
    </cfRule>
  </conditionalFormatting>
  <conditionalFormatting sqref="F619:G619 F620">
    <cfRule type="containsText" dxfId="1308" priority="1333" operator="containsText" text="o5">
      <formula>NOT(ISERROR(SEARCH("o5",F619)))</formula>
    </cfRule>
    <cfRule type="containsText" dxfId="1307" priority="1334" operator="containsText" text="o4">
      <formula>NOT(ISERROR(SEARCH("o4",F619)))</formula>
    </cfRule>
    <cfRule type="containsText" dxfId="1306" priority="1335" operator="containsText" text="o3">
      <formula>NOT(ISERROR(SEARCH("o3",F619)))</formula>
    </cfRule>
    <cfRule type="containsText" dxfId="1305" priority="1336" operator="containsText" text="o2">
      <formula>NOT(ISERROR(SEARCH("o2",F619)))</formula>
    </cfRule>
    <cfRule type="containsText" dxfId="1304" priority="1337" operator="containsText" text="o1b">
      <formula>NOT(ISERROR(SEARCH("o1b",F619)))</formula>
    </cfRule>
    <cfRule type="containsText" dxfId="1303" priority="1338" operator="containsText" text="o1a">
      <formula>NOT(ISERROR(SEARCH("o1a",F619)))</formula>
    </cfRule>
  </conditionalFormatting>
  <conditionalFormatting sqref="G620">
    <cfRule type="containsText" dxfId="1302" priority="1327" operator="containsText" text="o5">
      <formula>NOT(ISERROR(SEARCH("o5",G620)))</formula>
    </cfRule>
    <cfRule type="containsText" dxfId="1301" priority="1328" operator="containsText" text="o4">
      <formula>NOT(ISERROR(SEARCH("o4",G620)))</formula>
    </cfRule>
    <cfRule type="containsText" dxfId="1300" priority="1329" operator="containsText" text="o3">
      <formula>NOT(ISERROR(SEARCH("o3",G620)))</formula>
    </cfRule>
    <cfRule type="containsText" dxfId="1299" priority="1330" operator="containsText" text="o2">
      <formula>NOT(ISERROR(SEARCH("o2",G620)))</formula>
    </cfRule>
    <cfRule type="containsText" dxfId="1298" priority="1331" operator="containsText" text="o1b">
      <formula>NOT(ISERROR(SEARCH("o1b",G620)))</formula>
    </cfRule>
    <cfRule type="containsText" dxfId="1297" priority="1332" operator="containsText" text="o1a">
      <formula>NOT(ISERROR(SEARCH("o1a",G620)))</formula>
    </cfRule>
  </conditionalFormatting>
  <conditionalFormatting sqref="E621:F621 H621 E622:H622 E623:E624 H623:H624">
    <cfRule type="containsText" dxfId="1296" priority="1321" operator="containsText" text="o5">
      <formula>NOT(ISERROR(SEARCH("o5",E621)))</formula>
    </cfRule>
    <cfRule type="containsText" dxfId="1295" priority="1322" operator="containsText" text="o4">
      <formula>NOT(ISERROR(SEARCH("o4",E621)))</formula>
    </cfRule>
    <cfRule type="containsText" dxfId="1294" priority="1323" operator="containsText" text="o3">
      <formula>NOT(ISERROR(SEARCH("o3",E621)))</formula>
    </cfRule>
    <cfRule type="containsText" dxfId="1293" priority="1324" operator="containsText" text="o2">
      <formula>NOT(ISERROR(SEARCH("o2",E621)))</formula>
    </cfRule>
    <cfRule type="containsText" dxfId="1292" priority="1325" operator="containsText" text="o1b">
      <formula>NOT(ISERROR(SEARCH("o1b",E621)))</formula>
    </cfRule>
    <cfRule type="containsText" dxfId="1291" priority="1326" operator="containsText" text="o1a">
      <formula>NOT(ISERROR(SEARCH("o1a",E621)))</formula>
    </cfRule>
  </conditionalFormatting>
  <conditionalFormatting sqref="G621">
    <cfRule type="containsText" dxfId="1290" priority="1315" operator="containsText" text="o5">
      <formula>NOT(ISERROR(SEARCH("o5",G621)))</formula>
    </cfRule>
    <cfRule type="containsText" dxfId="1289" priority="1316" operator="containsText" text="o4">
      <formula>NOT(ISERROR(SEARCH("o4",G621)))</formula>
    </cfRule>
    <cfRule type="containsText" dxfId="1288" priority="1317" operator="containsText" text="o3">
      <formula>NOT(ISERROR(SEARCH("o3",G621)))</formula>
    </cfRule>
    <cfRule type="containsText" dxfId="1287" priority="1318" operator="containsText" text="o2">
      <formula>NOT(ISERROR(SEARCH("o2",G621)))</formula>
    </cfRule>
    <cfRule type="containsText" dxfId="1286" priority="1319" operator="containsText" text="o1b">
      <formula>NOT(ISERROR(SEARCH("o1b",G621)))</formula>
    </cfRule>
    <cfRule type="containsText" dxfId="1285" priority="1320" operator="containsText" text="o1a">
      <formula>NOT(ISERROR(SEARCH("o1a",G621)))</formula>
    </cfRule>
  </conditionalFormatting>
  <conditionalFormatting sqref="F623:G623 F624">
    <cfRule type="containsText" dxfId="1284" priority="1309" operator="containsText" text="o5">
      <formula>NOT(ISERROR(SEARCH("o5",F623)))</formula>
    </cfRule>
    <cfRule type="containsText" dxfId="1283" priority="1310" operator="containsText" text="o4">
      <formula>NOT(ISERROR(SEARCH("o4",F623)))</formula>
    </cfRule>
    <cfRule type="containsText" dxfId="1282" priority="1311" operator="containsText" text="o3">
      <formula>NOT(ISERROR(SEARCH("o3",F623)))</formula>
    </cfRule>
    <cfRule type="containsText" dxfId="1281" priority="1312" operator="containsText" text="o2">
      <formula>NOT(ISERROR(SEARCH("o2",F623)))</formula>
    </cfRule>
    <cfRule type="containsText" dxfId="1280" priority="1313" operator="containsText" text="o1b">
      <formula>NOT(ISERROR(SEARCH("o1b",F623)))</formula>
    </cfRule>
    <cfRule type="containsText" dxfId="1279" priority="1314" operator="containsText" text="o1a">
      <formula>NOT(ISERROR(SEARCH("o1a",F623)))</formula>
    </cfRule>
  </conditionalFormatting>
  <conditionalFormatting sqref="G624">
    <cfRule type="containsText" dxfId="1278" priority="1303" operator="containsText" text="o5">
      <formula>NOT(ISERROR(SEARCH("o5",G624)))</formula>
    </cfRule>
    <cfRule type="containsText" dxfId="1277" priority="1304" operator="containsText" text="o4">
      <formula>NOT(ISERROR(SEARCH("o4",G624)))</formula>
    </cfRule>
    <cfRule type="containsText" dxfId="1276" priority="1305" operator="containsText" text="o3">
      <formula>NOT(ISERROR(SEARCH("o3",G624)))</formula>
    </cfRule>
    <cfRule type="containsText" dxfId="1275" priority="1306" operator="containsText" text="o2">
      <formula>NOT(ISERROR(SEARCH("o2",G624)))</formula>
    </cfRule>
    <cfRule type="containsText" dxfId="1274" priority="1307" operator="containsText" text="o1b">
      <formula>NOT(ISERROR(SEARCH("o1b",G624)))</formula>
    </cfRule>
    <cfRule type="containsText" dxfId="1273" priority="1308" operator="containsText" text="o1a">
      <formula>NOT(ISERROR(SEARCH("o1a",G624)))</formula>
    </cfRule>
  </conditionalFormatting>
  <conditionalFormatting sqref="H625:H626">
    <cfRule type="containsText" dxfId="1272" priority="1297" operator="containsText" text="o5">
      <formula>NOT(ISERROR(SEARCH("o5",H625)))</formula>
    </cfRule>
    <cfRule type="containsText" dxfId="1271" priority="1298" operator="containsText" text="o4">
      <formula>NOT(ISERROR(SEARCH("o4",H625)))</formula>
    </cfRule>
    <cfRule type="containsText" dxfId="1270" priority="1299" operator="containsText" text="o3">
      <formula>NOT(ISERROR(SEARCH("o3",H625)))</formula>
    </cfRule>
    <cfRule type="containsText" dxfId="1269" priority="1300" operator="containsText" text="o2">
      <formula>NOT(ISERROR(SEARCH("o2",H625)))</formula>
    </cfRule>
    <cfRule type="containsText" dxfId="1268" priority="1301" operator="containsText" text="o1b">
      <formula>NOT(ISERROR(SEARCH("o1b",H625)))</formula>
    </cfRule>
    <cfRule type="containsText" dxfId="1267" priority="1302" operator="containsText" text="o1a">
      <formula>NOT(ISERROR(SEARCH("o1a",H625)))</formula>
    </cfRule>
  </conditionalFormatting>
  <conditionalFormatting sqref="F625:G625 F626">
    <cfRule type="containsText" dxfId="1266" priority="1291" operator="containsText" text="o5">
      <formula>NOT(ISERROR(SEARCH("o5",F625)))</formula>
    </cfRule>
    <cfRule type="containsText" dxfId="1265" priority="1292" operator="containsText" text="o4">
      <formula>NOT(ISERROR(SEARCH("o4",F625)))</formula>
    </cfRule>
    <cfRule type="containsText" dxfId="1264" priority="1293" operator="containsText" text="o3">
      <formula>NOT(ISERROR(SEARCH("o3",F625)))</formula>
    </cfRule>
    <cfRule type="containsText" dxfId="1263" priority="1294" operator="containsText" text="o2">
      <formula>NOT(ISERROR(SEARCH("o2",F625)))</formula>
    </cfRule>
    <cfRule type="containsText" dxfId="1262" priority="1295" operator="containsText" text="o1b">
      <formula>NOT(ISERROR(SEARCH("o1b",F625)))</formula>
    </cfRule>
    <cfRule type="containsText" dxfId="1261" priority="1296" operator="containsText" text="o1a">
      <formula>NOT(ISERROR(SEARCH("o1a",F625)))</formula>
    </cfRule>
  </conditionalFormatting>
  <conditionalFormatting sqref="G626">
    <cfRule type="containsText" dxfId="1260" priority="1285" operator="containsText" text="o5">
      <formula>NOT(ISERROR(SEARCH("o5",G626)))</formula>
    </cfRule>
    <cfRule type="containsText" dxfId="1259" priority="1286" operator="containsText" text="o4">
      <formula>NOT(ISERROR(SEARCH("o4",G626)))</formula>
    </cfRule>
    <cfRule type="containsText" dxfId="1258" priority="1287" operator="containsText" text="o3">
      <formula>NOT(ISERROR(SEARCH("o3",G626)))</formula>
    </cfRule>
    <cfRule type="containsText" dxfId="1257" priority="1288" operator="containsText" text="o2">
      <formula>NOT(ISERROR(SEARCH("o2",G626)))</formula>
    </cfRule>
    <cfRule type="containsText" dxfId="1256" priority="1289" operator="containsText" text="o1b">
      <formula>NOT(ISERROR(SEARCH("o1b",G626)))</formula>
    </cfRule>
    <cfRule type="containsText" dxfId="1255" priority="1290" operator="containsText" text="o1a">
      <formula>NOT(ISERROR(SEARCH("o1a",G626)))</formula>
    </cfRule>
  </conditionalFormatting>
  <conditionalFormatting sqref="E627:F627 H627 E628:H628 E629:E630 H629:H630">
    <cfRule type="containsText" dxfId="1254" priority="1279" operator="containsText" text="o5">
      <formula>NOT(ISERROR(SEARCH("o5",E627)))</formula>
    </cfRule>
    <cfRule type="containsText" dxfId="1253" priority="1280" operator="containsText" text="o4">
      <formula>NOT(ISERROR(SEARCH("o4",E627)))</formula>
    </cfRule>
    <cfRule type="containsText" dxfId="1252" priority="1281" operator="containsText" text="o3">
      <formula>NOT(ISERROR(SEARCH("o3",E627)))</formula>
    </cfRule>
    <cfRule type="containsText" dxfId="1251" priority="1282" operator="containsText" text="o2">
      <formula>NOT(ISERROR(SEARCH("o2",E627)))</formula>
    </cfRule>
    <cfRule type="containsText" dxfId="1250" priority="1283" operator="containsText" text="o1b">
      <formula>NOT(ISERROR(SEARCH("o1b",E627)))</formula>
    </cfRule>
    <cfRule type="containsText" dxfId="1249" priority="1284" operator="containsText" text="o1a">
      <formula>NOT(ISERROR(SEARCH("o1a",E627)))</formula>
    </cfRule>
  </conditionalFormatting>
  <conditionalFormatting sqref="G627">
    <cfRule type="containsText" dxfId="1248" priority="1273" operator="containsText" text="o5">
      <formula>NOT(ISERROR(SEARCH("o5",G627)))</formula>
    </cfRule>
    <cfRule type="containsText" dxfId="1247" priority="1274" operator="containsText" text="o4">
      <formula>NOT(ISERROR(SEARCH("o4",G627)))</formula>
    </cfRule>
    <cfRule type="containsText" dxfId="1246" priority="1275" operator="containsText" text="o3">
      <formula>NOT(ISERROR(SEARCH("o3",G627)))</formula>
    </cfRule>
    <cfRule type="containsText" dxfId="1245" priority="1276" operator="containsText" text="o2">
      <formula>NOT(ISERROR(SEARCH("o2",G627)))</formula>
    </cfRule>
    <cfRule type="containsText" dxfId="1244" priority="1277" operator="containsText" text="o1b">
      <formula>NOT(ISERROR(SEARCH("o1b",G627)))</formula>
    </cfRule>
    <cfRule type="containsText" dxfId="1243" priority="1278" operator="containsText" text="o1a">
      <formula>NOT(ISERROR(SEARCH("o1a",G627)))</formula>
    </cfRule>
  </conditionalFormatting>
  <conditionalFormatting sqref="F629:G629 F630">
    <cfRule type="containsText" dxfId="1242" priority="1267" operator="containsText" text="o5">
      <formula>NOT(ISERROR(SEARCH("o5",F629)))</formula>
    </cfRule>
    <cfRule type="containsText" dxfId="1241" priority="1268" operator="containsText" text="o4">
      <formula>NOT(ISERROR(SEARCH("o4",F629)))</formula>
    </cfRule>
    <cfRule type="containsText" dxfId="1240" priority="1269" operator="containsText" text="o3">
      <formula>NOT(ISERROR(SEARCH("o3",F629)))</formula>
    </cfRule>
    <cfRule type="containsText" dxfId="1239" priority="1270" operator="containsText" text="o2">
      <formula>NOT(ISERROR(SEARCH("o2",F629)))</formula>
    </cfRule>
    <cfRule type="containsText" dxfId="1238" priority="1271" operator="containsText" text="o1b">
      <formula>NOT(ISERROR(SEARCH("o1b",F629)))</formula>
    </cfRule>
    <cfRule type="containsText" dxfId="1237" priority="1272" operator="containsText" text="o1a">
      <formula>NOT(ISERROR(SEARCH("o1a",F629)))</formula>
    </cfRule>
  </conditionalFormatting>
  <conditionalFormatting sqref="G630">
    <cfRule type="containsText" dxfId="1236" priority="1261" operator="containsText" text="o5">
      <formula>NOT(ISERROR(SEARCH("o5",G630)))</formula>
    </cfRule>
    <cfRule type="containsText" dxfId="1235" priority="1262" operator="containsText" text="o4">
      <formula>NOT(ISERROR(SEARCH("o4",G630)))</formula>
    </cfRule>
    <cfRule type="containsText" dxfId="1234" priority="1263" operator="containsText" text="o3">
      <formula>NOT(ISERROR(SEARCH("o3",G630)))</formula>
    </cfRule>
    <cfRule type="containsText" dxfId="1233" priority="1264" operator="containsText" text="o2">
      <formula>NOT(ISERROR(SEARCH("o2",G630)))</formula>
    </cfRule>
    <cfRule type="containsText" dxfId="1232" priority="1265" operator="containsText" text="o1b">
      <formula>NOT(ISERROR(SEARCH("o1b",G630)))</formula>
    </cfRule>
    <cfRule type="containsText" dxfId="1231" priority="1266" operator="containsText" text="o1a">
      <formula>NOT(ISERROR(SEARCH("o1a",G630)))</formula>
    </cfRule>
  </conditionalFormatting>
  <conditionalFormatting sqref="H631:H632">
    <cfRule type="containsText" dxfId="1230" priority="1255" operator="containsText" text="o5">
      <formula>NOT(ISERROR(SEARCH("o5",H631)))</formula>
    </cfRule>
    <cfRule type="containsText" dxfId="1229" priority="1256" operator="containsText" text="o4">
      <formula>NOT(ISERROR(SEARCH("o4",H631)))</formula>
    </cfRule>
    <cfRule type="containsText" dxfId="1228" priority="1257" operator="containsText" text="o3">
      <formula>NOT(ISERROR(SEARCH("o3",H631)))</formula>
    </cfRule>
    <cfRule type="containsText" dxfId="1227" priority="1258" operator="containsText" text="o2">
      <formula>NOT(ISERROR(SEARCH("o2",H631)))</formula>
    </cfRule>
    <cfRule type="containsText" dxfId="1226" priority="1259" operator="containsText" text="o1b">
      <formula>NOT(ISERROR(SEARCH("o1b",H631)))</formula>
    </cfRule>
    <cfRule type="containsText" dxfId="1225" priority="1260" operator="containsText" text="o1a">
      <formula>NOT(ISERROR(SEARCH("o1a",H631)))</formula>
    </cfRule>
  </conditionalFormatting>
  <conditionalFormatting sqref="F631:G631 F632">
    <cfRule type="containsText" dxfId="1224" priority="1249" operator="containsText" text="o5">
      <formula>NOT(ISERROR(SEARCH("o5",F631)))</formula>
    </cfRule>
    <cfRule type="containsText" dxfId="1223" priority="1250" operator="containsText" text="o4">
      <formula>NOT(ISERROR(SEARCH("o4",F631)))</formula>
    </cfRule>
    <cfRule type="containsText" dxfId="1222" priority="1251" operator="containsText" text="o3">
      <formula>NOT(ISERROR(SEARCH("o3",F631)))</formula>
    </cfRule>
    <cfRule type="containsText" dxfId="1221" priority="1252" operator="containsText" text="o2">
      <formula>NOT(ISERROR(SEARCH("o2",F631)))</formula>
    </cfRule>
    <cfRule type="containsText" dxfId="1220" priority="1253" operator="containsText" text="o1b">
      <formula>NOT(ISERROR(SEARCH("o1b",F631)))</formula>
    </cfRule>
    <cfRule type="containsText" dxfId="1219" priority="1254" operator="containsText" text="o1a">
      <formula>NOT(ISERROR(SEARCH("o1a",F631)))</formula>
    </cfRule>
  </conditionalFormatting>
  <conditionalFormatting sqref="G632">
    <cfRule type="containsText" dxfId="1218" priority="1243" operator="containsText" text="o5">
      <formula>NOT(ISERROR(SEARCH("o5",G632)))</formula>
    </cfRule>
    <cfRule type="containsText" dxfId="1217" priority="1244" operator="containsText" text="o4">
      <formula>NOT(ISERROR(SEARCH("o4",G632)))</formula>
    </cfRule>
    <cfRule type="containsText" dxfId="1216" priority="1245" operator="containsText" text="o3">
      <formula>NOT(ISERROR(SEARCH("o3",G632)))</formula>
    </cfRule>
    <cfRule type="containsText" dxfId="1215" priority="1246" operator="containsText" text="o2">
      <formula>NOT(ISERROR(SEARCH("o2",G632)))</formula>
    </cfRule>
    <cfRule type="containsText" dxfId="1214" priority="1247" operator="containsText" text="o1b">
      <formula>NOT(ISERROR(SEARCH("o1b",G632)))</formula>
    </cfRule>
    <cfRule type="containsText" dxfId="1213" priority="1248" operator="containsText" text="o1a">
      <formula>NOT(ISERROR(SEARCH("o1a",G632)))</formula>
    </cfRule>
  </conditionalFormatting>
  <conditionalFormatting sqref="E633:F633 H633 E634:H634 E635:E636 H635:H636">
    <cfRule type="containsText" dxfId="1212" priority="1237" operator="containsText" text="o5">
      <formula>NOT(ISERROR(SEARCH("o5",E633)))</formula>
    </cfRule>
    <cfRule type="containsText" dxfId="1211" priority="1238" operator="containsText" text="o4">
      <formula>NOT(ISERROR(SEARCH("o4",E633)))</formula>
    </cfRule>
    <cfRule type="containsText" dxfId="1210" priority="1239" operator="containsText" text="o3">
      <formula>NOT(ISERROR(SEARCH("o3",E633)))</formula>
    </cfRule>
    <cfRule type="containsText" dxfId="1209" priority="1240" operator="containsText" text="o2">
      <formula>NOT(ISERROR(SEARCH("o2",E633)))</formula>
    </cfRule>
    <cfRule type="containsText" dxfId="1208" priority="1241" operator="containsText" text="o1b">
      <formula>NOT(ISERROR(SEARCH("o1b",E633)))</formula>
    </cfRule>
    <cfRule type="containsText" dxfId="1207" priority="1242" operator="containsText" text="o1a">
      <formula>NOT(ISERROR(SEARCH("o1a",E633)))</formula>
    </cfRule>
  </conditionalFormatting>
  <conditionalFormatting sqref="G633">
    <cfRule type="containsText" dxfId="1206" priority="1231" operator="containsText" text="o5">
      <formula>NOT(ISERROR(SEARCH("o5",G633)))</formula>
    </cfRule>
    <cfRule type="containsText" dxfId="1205" priority="1232" operator="containsText" text="o4">
      <formula>NOT(ISERROR(SEARCH("o4",G633)))</formula>
    </cfRule>
    <cfRule type="containsText" dxfId="1204" priority="1233" operator="containsText" text="o3">
      <formula>NOT(ISERROR(SEARCH("o3",G633)))</formula>
    </cfRule>
    <cfRule type="containsText" dxfId="1203" priority="1234" operator="containsText" text="o2">
      <formula>NOT(ISERROR(SEARCH("o2",G633)))</formula>
    </cfRule>
    <cfRule type="containsText" dxfId="1202" priority="1235" operator="containsText" text="o1b">
      <formula>NOT(ISERROR(SEARCH("o1b",G633)))</formula>
    </cfRule>
    <cfRule type="containsText" dxfId="1201" priority="1236" operator="containsText" text="o1a">
      <formula>NOT(ISERROR(SEARCH("o1a",G633)))</formula>
    </cfRule>
  </conditionalFormatting>
  <conditionalFormatting sqref="F635:G635 F636">
    <cfRule type="containsText" dxfId="1200" priority="1225" operator="containsText" text="o5">
      <formula>NOT(ISERROR(SEARCH("o5",F635)))</formula>
    </cfRule>
    <cfRule type="containsText" dxfId="1199" priority="1226" operator="containsText" text="o4">
      <formula>NOT(ISERROR(SEARCH("o4",F635)))</formula>
    </cfRule>
    <cfRule type="containsText" dxfId="1198" priority="1227" operator="containsText" text="o3">
      <formula>NOT(ISERROR(SEARCH("o3",F635)))</formula>
    </cfRule>
    <cfRule type="containsText" dxfId="1197" priority="1228" operator="containsText" text="o2">
      <formula>NOT(ISERROR(SEARCH("o2",F635)))</formula>
    </cfRule>
    <cfRule type="containsText" dxfId="1196" priority="1229" operator="containsText" text="o1b">
      <formula>NOT(ISERROR(SEARCH("o1b",F635)))</formula>
    </cfRule>
    <cfRule type="containsText" dxfId="1195" priority="1230" operator="containsText" text="o1a">
      <formula>NOT(ISERROR(SEARCH("o1a",F635)))</formula>
    </cfRule>
  </conditionalFormatting>
  <conditionalFormatting sqref="G636">
    <cfRule type="containsText" dxfId="1194" priority="1219" operator="containsText" text="o5">
      <formula>NOT(ISERROR(SEARCH("o5",G636)))</formula>
    </cfRule>
    <cfRule type="containsText" dxfId="1193" priority="1220" operator="containsText" text="o4">
      <formula>NOT(ISERROR(SEARCH("o4",G636)))</formula>
    </cfRule>
    <cfRule type="containsText" dxfId="1192" priority="1221" operator="containsText" text="o3">
      <formula>NOT(ISERROR(SEARCH("o3",G636)))</formula>
    </cfRule>
    <cfRule type="containsText" dxfId="1191" priority="1222" operator="containsText" text="o2">
      <formula>NOT(ISERROR(SEARCH("o2",G636)))</formula>
    </cfRule>
    <cfRule type="containsText" dxfId="1190" priority="1223" operator="containsText" text="o1b">
      <formula>NOT(ISERROR(SEARCH("o1b",G636)))</formula>
    </cfRule>
    <cfRule type="containsText" dxfId="1189" priority="1224" operator="containsText" text="o1a">
      <formula>NOT(ISERROR(SEARCH("o1a",G636)))</formula>
    </cfRule>
  </conditionalFormatting>
  <conditionalFormatting sqref="E651:H651 E643:E644 E649:E650 E677:H677 E656:E658 E664:F664 H664 E671:F671 H671 E672 G672:H672">
    <cfRule type="containsText" dxfId="1188" priority="1213" operator="containsText" text="o5">
      <formula>NOT(ISERROR(SEARCH("o5",E643)))</formula>
    </cfRule>
    <cfRule type="containsText" dxfId="1187" priority="1214" operator="containsText" text="o4">
      <formula>NOT(ISERROR(SEARCH("o4",E643)))</formula>
    </cfRule>
    <cfRule type="containsText" dxfId="1186" priority="1215" operator="containsText" text="o3">
      <formula>NOT(ISERROR(SEARCH("o3",E643)))</formula>
    </cfRule>
    <cfRule type="containsText" dxfId="1185" priority="1216" operator="containsText" text="o2">
      <formula>NOT(ISERROR(SEARCH("o2",E643)))</formula>
    </cfRule>
    <cfRule type="containsText" dxfId="1184" priority="1217" operator="containsText" text="o1b">
      <formula>NOT(ISERROR(SEARCH("o1b",E643)))</formula>
    </cfRule>
    <cfRule type="containsText" dxfId="1183" priority="1218" operator="containsText" text="o1a">
      <formula>NOT(ISERROR(SEARCH("o1a",E643)))</formula>
    </cfRule>
  </conditionalFormatting>
  <conditionalFormatting sqref="H637:H638">
    <cfRule type="containsText" dxfId="1182" priority="1207" operator="containsText" text="o5">
      <formula>NOT(ISERROR(SEARCH("o5",H637)))</formula>
    </cfRule>
    <cfRule type="containsText" dxfId="1181" priority="1208" operator="containsText" text="o4">
      <formula>NOT(ISERROR(SEARCH("o4",H637)))</formula>
    </cfRule>
    <cfRule type="containsText" dxfId="1180" priority="1209" operator="containsText" text="o3">
      <formula>NOT(ISERROR(SEARCH("o3",H637)))</formula>
    </cfRule>
    <cfRule type="containsText" dxfId="1179" priority="1210" operator="containsText" text="o2">
      <formula>NOT(ISERROR(SEARCH("o2",H637)))</formula>
    </cfRule>
    <cfRule type="containsText" dxfId="1178" priority="1211" operator="containsText" text="o1b">
      <formula>NOT(ISERROR(SEARCH("o1b",H637)))</formula>
    </cfRule>
    <cfRule type="containsText" dxfId="1177" priority="1212" operator="containsText" text="o1a">
      <formula>NOT(ISERROR(SEARCH("o1a",H637)))</formula>
    </cfRule>
  </conditionalFormatting>
  <conditionalFormatting sqref="F637:G637 F638">
    <cfRule type="containsText" dxfId="1176" priority="1201" operator="containsText" text="o5">
      <formula>NOT(ISERROR(SEARCH("o5",F637)))</formula>
    </cfRule>
    <cfRule type="containsText" dxfId="1175" priority="1202" operator="containsText" text="o4">
      <formula>NOT(ISERROR(SEARCH("o4",F637)))</formula>
    </cfRule>
    <cfRule type="containsText" dxfId="1174" priority="1203" operator="containsText" text="o3">
      <formula>NOT(ISERROR(SEARCH("o3",F637)))</formula>
    </cfRule>
    <cfRule type="containsText" dxfId="1173" priority="1204" operator="containsText" text="o2">
      <formula>NOT(ISERROR(SEARCH("o2",F637)))</formula>
    </cfRule>
    <cfRule type="containsText" dxfId="1172" priority="1205" operator="containsText" text="o1b">
      <formula>NOT(ISERROR(SEARCH("o1b",F637)))</formula>
    </cfRule>
    <cfRule type="containsText" dxfId="1171" priority="1206" operator="containsText" text="o1a">
      <formula>NOT(ISERROR(SEARCH("o1a",F637)))</formula>
    </cfRule>
  </conditionalFormatting>
  <conditionalFormatting sqref="G638">
    <cfRule type="containsText" dxfId="1170" priority="1195" operator="containsText" text="o5">
      <formula>NOT(ISERROR(SEARCH("o5",G638)))</formula>
    </cfRule>
    <cfRule type="containsText" dxfId="1169" priority="1196" operator="containsText" text="o4">
      <formula>NOT(ISERROR(SEARCH("o4",G638)))</formula>
    </cfRule>
    <cfRule type="containsText" dxfId="1168" priority="1197" operator="containsText" text="o3">
      <formula>NOT(ISERROR(SEARCH("o3",G638)))</formula>
    </cfRule>
    <cfRule type="containsText" dxfId="1167" priority="1198" operator="containsText" text="o2">
      <formula>NOT(ISERROR(SEARCH("o2",G638)))</formula>
    </cfRule>
    <cfRule type="containsText" dxfId="1166" priority="1199" operator="containsText" text="o1b">
      <formula>NOT(ISERROR(SEARCH("o1b",G638)))</formula>
    </cfRule>
    <cfRule type="containsText" dxfId="1165" priority="1200" operator="containsText" text="o1a">
      <formula>NOT(ISERROR(SEARCH("o1a",G638)))</formula>
    </cfRule>
  </conditionalFormatting>
  <conditionalFormatting sqref="E639:F639 H639 E640:H640 E641:E642 H641:H642">
    <cfRule type="containsText" dxfId="1164" priority="1189" operator="containsText" text="o5">
      <formula>NOT(ISERROR(SEARCH("o5",E639)))</formula>
    </cfRule>
    <cfRule type="containsText" dxfId="1163" priority="1190" operator="containsText" text="o4">
      <formula>NOT(ISERROR(SEARCH("o4",E639)))</formula>
    </cfRule>
    <cfRule type="containsText" dxfId="1162" priority="1191" operator="containsText" text="o3">
      <formula>NOT(ISERROR(SEARCH("o3",E639)))</formula>
    </cfRule>
    <cfRule type="containsText" dxfId="1161" priority="1192" operator="containsText" text="o2">
      <formula>NOT(ISERROR(SEARCH("o2",E639)))</formula>
    </cfRule>
    <cfRule type="containsText" dxfId="1160" priority="1193" operator="containsText" text="o1b">
      <formula>NOT(ISERROR(SEARCH("o1b",E639)))</formula>
    </cfRule>
    <cfRule type="containsText" dxfId="1159" priority="1194" operator="containsText" text="o1a">
      <formula>NOT(ISERROR(SEARCH("o1a",E639)))</formula>
    </cfRule>
  </conditionalFormatting>
  <conditionalFormatting sqref="G639">
    <cfRule type="containsText" dxfId="1158" priority="1183" operator="containsText" text="o5">
      <formula>NOT(ISERROR(SEARCH("o5",G639)))</formula>
    </cfRule>
    <cfRule type="containsText" dxfId="1157" priority="1184" operator="containsText" text="o4">
      <formula>NOT(ISERROR(SEARCH("o4",G639)))</formula>
    </cfRule>
    <cfRule type="containsText" dxfId="1156" priority="1185" operator="containsText" text="o3">
      <formula>NOT(ISERROR(SEARCH("o3",G639)))</formula>
    </cfRule>
    <cfRule type="containsText" dxfId="1155" priority="1186" operator="containsText" text="o2">
      <formula>NOT(ISERROR(SEARCH("o2",G639)))</formula>
    </cfRule>
    <cfRule type="containsText" dxfId="1154" priority="1187" operator="containsText" text="o1b">
      <formula>NOT(ISERROR(SEARCH("o1b",G639)))</formula>
    </cfRule>
    <cfRule type="containsText" dxfId="1153" priority="1188" operator="containsText" text="o1a">
      <formula>NOT(ISERROR(SEARCH("o1a",G639)))</formula>
    </cfRule>
  </conditionalFormatting>
  <conditionalFormatting sqref="F641:G641 F642">
    <cfRule type="containsText" dxfId="1152" priority="1177" operator="containsText" text="o5">
      <formula>NOT(ISERROR(SEARCH("o5",F641)))</formula>
    </cfRule>
    <cfRule type="containsText" dxfId="1151" priority="1178" operator="containsText" text="o4">
      <formula>NOT(ISERROR(SEARCH("o4",F641)))</formula>
    </cfRule>
    <cfRule type="containsText" dxfId="1150" priority="1179" operator="containsText" text="o3">
      <formula>NOT(ISERROR(SEARCH("o3",F641)))</formula>
    </cfRule>
    <cfRule type="containsText" dxfId="1149" priority="1180" operator="containsText" text="o2">
      <formula>NOT(ISERROR(SEARCH("o2",F641)))</formula>
    </cfRule>
    <cfRule type="containsText" dxfId="1148" priority="1181" operator="containsText" text="o1b">
      <formula>NOT(ISERROR(SEARCH("o1b",F641)))</formula>
    </cfRule>
    <cfRule type="containsText" dxfId="1147" priority="1182" operator="containsText" text="o1a">
      <formula>NOT(ISERROR(SEARCH("o1a",F641)))</formula>
    </cfRule>
  </conditionalFormatting>
  <conditionalFormatting sqref="G642">
    <cfRule type="containsText" dxfId="1146" priority="1171" operator="containsText" text="o5">
      <formula>NOT(ISERROR(SEARCH("o5",G642)))</formula>
    </cfRule>
    <cfRule type="containsText" dxfId="1145" priority="1172" operator="containsText" text="o4">
      <formula>NOT(ISERROR(SEARCH("o4",G642)))</formula>
    </cfRule>
    <cfRule type="containsText" dxfId="1144" priority="1173" operator="containsText" text="o3">
      <formula>NOT(ISERROR(SEARCH("o3",G642)))</formula>
    </cfRule>
    <cfRule type="containsText" dxfId="1143" priority="1174" operator="containsText" text="o2">
      <formula>NOT(ISERROR(SEARCH("o2",G642)))</formula>
    </cfRule>
    <cfRule type="containsText" dxfId="1142" priority="1175" operator="containsText" text="o1b">
      <formula>NOT(ISERROR(SEARCH("o1b",G642)))</formula>
    </cfRule>
    <cfRule type="containsText" dxfId="1141" priority="1176" operator="containsText" text="o1a">
      <formula>NOT(ISERROR(SEARCH("o1a",G642)))</formula>
    </cfRule>
  </conditionalFormatting>
  <conditionalFormatting sqref="H643:H644">
    <cfRule type="containsText" dxfId="1140" priority="1165" operator="containsText" text="o5">
      <formula>NOT(ISERROR(SEARCH("o5",H643)))</formula>
    </cfRule>
    <cfRule type="containsText" dxfId="1139" priority="1166" operator="containsText" text="o4">
      <formula>NOT(ISERROR(SEARCH("o4",H643)))</formula>
    </cfRule>
    <cfRule type="containsText" dxfId="1138" priority="1167" operator="containsText" text="o3">
      <formula>NOT(ISERROR(SEARCH("o3",H643)))</formula>
    </cfRule>
    <cfRule type="containsText" dxfId="1137" priority="1168" operator="containsText" text="o2">
      <formula>NOT(ISERROR(SEARCH("o2",H643)))</formula>
    </cfRule>
    <cfRule type="containsText" dxfId="1136" priority="1169" operator="containsText" text="o1b">
      <formula>NOT(ISERROR(SEARCH("o1b",H643)))</formula>
    </cfRule>
    <cfRule type="containsText" dxfId="1135" priority="1170" operator="containsText" text="o1a">
      <formula>NOT(ISERROR(SEARCH("o1a",H643)))</formula>
    </cfRule>
  </conditionalFormatting>
  <conditionalFormatting sqref="F643:G643 F644">
    <cfRule type="containsText" dxfId="1134" priority="1159" operator="containsText" text="o5">
      <formula>NOT(ISERROR(SEARCH("o5",F643)))</formula>
    </cfRule>
    <cfRule type="containsText" dxfId="1133" priority="1160" operator="containsText" text="o4">
      <formula>NOT(ISERROR(SEARCH("o4",F643)))</formula>
    </cfRule>
    <cfRule type="containsText" dxfId="1132" priority="1161" operator="containsText" text="o3">
      <formula>NOT(ISERROR(SEARCH("o3",F643)))</formula>
    </cfRule>
    <cfRule type="containsText" dxfId="1131" priority="1162" operator="containsText" text="o2">
      <formula>NOT(ISERROR(SEARCH("o2",F643)))</formula>
    </cfRule>
    <cfRule type="containsText" dxfId="1130" priority="1163" operator="containsText" text="o1b">
      <formula>NOT(ISERROR(SEARCH("o1b",F643)))</formula>
    </cfRule>
    <cfRule type="containsText" dxfId="1129" priority="1164" operator="containsText" text="o1a">
      <formula>NOT(ISERROR(SEARCH("o1a",F643)))</formula>
    </cfRule>
  </conditionalFormatting>
  <conditionalFormatting sqref="G644">
    <cfRule type="containsText" dxfId="1128" priority="1153" operator="containsText" text="o5">
      <formula>NOT(ISERROR(SEARCH("o5",G644)))</formula>
    </cfRule>
    <cfRule type="containsText" dxfId="1127" priority="1154" operator="containsText" text="o4">
      <formula>NOT(ISERROR(SEARCH("o4",G644)))</formula>
    </cfRule>
    <cfRule type="containsText" dxfId="1126" priority="1155" operator="containsText" text="o3">
      <formula>NOT(ISERROR(SEARCH("o3",G644)))</formula>
    </cfRule>
    <cfRule type="containsText" dxfId="1125" priority="1156" operator="containsText" text="o2">
      <formula>NOT(ISERROR(SEARCH("o2",G644)))</formula>
    </cfRule>
    <cfRule type="containsText" dxfId="1124" priority="1157" operator="containsText" text="o1b">
      <formula>NOT(ISERROR(SEARCH("o1b",G644)))</formula>
    </cfRule>
    <cfRule type="containsText" dxfId="1123" priority="1158" operator="containsText" text="o1a">
      <formula>NOT(ISERROR(SEARCH("o1a",G644)))</formula>
    </cfRule>
  </conditionalFormatting>
  <conditionalFormatting sqref="E645:F645 H645 E646:H646 E647:E648 H647:H648">
    <cfRule type="containsText" dxfId="1122" priority="1147" operator="containsText" text="o5">
      <formula>NOT(ISERROR(SEARCH("o5",E645)))</formula>
    </cfRule>
    <cfRule type="containsText" dxfId="1121" priority="1148" operator="containsText" text="o4">
      <formula>NOT(ISERROR(SEARCH("o4",E645)))</formula>
    </cfRule>
    <cfRule type="containsText" dxfId="1120" priority="1149" operator="containsText" text="o3">
      <formula>NOT(ISERROR(SEARCH("o3",E645)))</formula>
    </cfRule>
    <cfRule type="containsText" dxfId="1119" priority="1150" operator="containsText" text="o2">
      <formula>NOT(ISERROR(SEARCH("o2",E645)))</formula>
    </cfRule>
    <cfRule type="containsText" dxfId="1118" priority="1151" operator="containsText" text="o1b">
      <formula>NOT(ISERROR(SEARCH("o1b",E645)))</formula>
    </cfRule>
    <cfRule type="containsText" dxfId="1117" priority="1152" operator="containsText" text="o1a">
      <formula>NOT(ISERROR(SEARCH("o1a",E645)))</formula>
    </cfRule>
  </conditionalFormatting>
  <conditionalFormatting sqref="G645">
    <cfRule type="containsText" dxfId="1116" priority="1141" operator="containsText" text="o5">
      <formula>NOT(ISERROR(SEARCH("o5",G645)))</formula>
    </cfRule>
    <cfRule type="containsText" dxfId="1115" priority="1142" operator="containsText" text="o4">
      <formula>NOT(ISERROR(SEARCH("o4",G645)))</formula>
    </cfRule>
    <cfRule type="containsText" dxfId="1114" priority="1143" operator="containsText" text="o3">
      <formula>NOT(ISERROR(SEARCH("o3",G645)))</formula>
    </cfRule>
    <cfRule type="containsText" dxfId="1113" priority="1144" operator="containsText" text="o2">
      <formula>NOT(ISERROR(SEARCH("o2",G645)))</formula>
    </cfRule>
    <cfRule type="containsText" dxfId="1112" priority="1145" operator="containsText" text="o1b">
      <formula>NOT(ISERROR(SEARCH("o1b",G645)))</formula>
    </cfRule>
    <cfRule type="containsText" dxfId="1111" priority="1146" operator="containsText" text="o1a">
      <formula>NOT(ISERROR(SEARCH("o1a",G645)))</formula>
    </cfRule>
  </conditionalFormatting>
  <conditionalFormatting sqref="F647:G647 F648">
    <cfRule type="containsText" dxfId="1110" priority="1135" operator="containsText" text="o5">
      <formula>NOT(ISERROR(SEARCH("o5",F647)))</formula>
    </cfRule>
    <cfRule type="containsText" dxfId="1109" priority="1136" operator="containsText" text="o4">
      <formula>NOT(ISERROR(SEARCH("o4",F647)))</formula>
    </cfRule>
    <cfRule type="containsText" dxfId="1108" priority="1137" operator="containsText" text="o3">
      <formula>NOT(ISERROR(SEARCH("o3",F647)))</formula>
    </cfRule>
    <cfRule type="containsText" dxfId="1107" priority="1138" operator="containsText" text="o2">
      <formula>NOT(ISERROR(SEARCH("o2",F647)))</formula>
    </cfRule>
    <cfRule type="containsText" dxfId="1106" priority="1139" operator="containsText" text="o1b">
      <formula>NOT(ISERROR(SEARCH("o1b",F647)))</formula>
    </cfRule>
    <cfRule type="containsText" dxfId="1105" priority="1140" operator="containsText" text="o1a">
      <formula>NOT(ISERROR(SEARCH("o1a",F647)))</formula>
    </cfRule>
  </conditionalFormatting>
  <conditionalFormatting sqref="G648">
    <cfRule type="containsText" dxfId="1104" priority="1129" operator="containsText" text="o5">
      <formula>NOT(ISERROR(SEARCH("o5",G648)))</formula>
    </cfRule>
    <cfRule type="containsText" dxfId="1103" priority="1130" operator="containsText" text="o4">
      <formula>NOT(ISERROR(SEARCH("o4",G648)))</formula>
    </cfRule>
    <cfRule type="containsText" dxfId="1102" priority="1131" operator="containsText" text="o3">
      <formula>NOT(ISERROR(SEARCH("o3",G648)))</formula>
    </cfRule>
    <cfRule type="containsText" dxfId="1101" priority="1132" operator="containsText" text="o2">
      <formula>NOT(ISERROR(SEARCH("o2",G648)))</formula>
    </cfRule>
    <cfRule type="containsText" dxfId="1100" priority="1133" operator="containsText" text="o1b">
      <formula>NOT(ISERROR(SEARCH("o1b",G648)))</formula>
    </cfRule>
    <cfRule type="containsText" dxfId="1099" priority="1134" operator="containsText" text="o1a">
      <formula>NOT(ISERROR(SEARCH("o1a",G648)))</formula>
    </cfRule>
  </conditionalFormatting>
  <conditionalFormatting sqref="H649:H650">
    <cfRule type="containsText" dxfId="1098" priority="1123" operator="containsText" text="o5">
      <formula>NOT(ISERROR(SEARCH("o5",H649)))</formula>
    </cfRule>
    <cfRule type="containsText" dxfId="1097" priority="1124" operator="containsText" text="o4">
      <formula>NOT(ISERROR(SEARCH("o4",H649)))</formula>
    </cfRule>
    <cfRule type="containsText" dxfId="1096" priority="1125" operator="containsText" text="o3">
      <formula>NOT(ISERROR(SEARCH("o3",H649)))</formula>
    </cfRule>
    <cfRule type="containsText" dxfId="1095" priority="1126" operator="containsText" text="o2">
      <formula>NOT(ISERROR(SEARCH("o2",H649)))</formula>
    </cfRule>
    <cfRule type="containsText" dxfId="1094" priority="1127" operator="containsText" text="o1b">
      <formula>NOT(ISERROR(SEARCH("o1b",H649)))</formula>
    </cfRule>
    <cfRule type="containsText" dxfId="1093" priority="1128" operator="containsText" text="o1a">
      <formula>NOT(ISERROR(SEARCH("o1a",H649)))</formula>
    </cfRule>
  </conditionalFormatting>
  <conditionalFormatting sqref="F649:G649 F650">
    <cfRule type="containsText" dxfId="1092" priority="1117" operator="containsText" text="o5">
      <formula>NOT(ISERROR(SEARCH("o5",F649)))</formula>
    </cfRule>
    <cfRule type="containsText" dxfId="1091" priority="1118" operator="containsText" text="o4">
      <formula>NOT(ISERROR(SEARCH("o4",F649)))</formula>
    </cfRule>
    <cfRule type="containsText" dxfId="1090" priority="1119" operator="containsText" text="o3">
      <formula>NOT(ISERROR(SEARCH("o3",F649)))</formula>
    </cfRule>
    <cfRule type="containsText" dxfId="1089" priority="1120" operator="containsText" text="o2">
      <formula>NOT(ISERROR(SEARCH("o2",F649)))</formula>
    </cfRule>
    <cfRule type="containsText" dxfId="1088" priority="1121" operator="containsText" text="o1b">
      <formula>NOT(ISERROR(SEARCH("o1b",F649)))</formula>
    </cfRule>
    <cfRule type="containsText" dxfId="1087" priority="1122" operator="containsText" text="o1a">
      <formula>NOT(ISERROR(SEARCH("o1a",F649)))</formula>
    </cfRule>
  </conditionalFormatting>
  <conditionalFormatting sqref="G650">
    <cfRule type="containsText" dxfId="1086" priority="1111" operator="containsText" text="o5">
      <formula>NOT(ISERROR(SEARCH("o5",G650)))</formula>
    </cfRule>
    <cfRule type="containsText" dxfId="1085" priority="1112" operator="containsText" text="o4">
      <formula>NOT(ISERROR(SEARCH("o4",G650)))</formula>
    </cfRule>
    <cfRule type="containsText" dxfId="1084" priority="1113" operator="containsText" text="o3">
      <formula>NOT(ISERROR(SEARCH("o3",G650)))</formula>
    </cfRule>
    <cfRule type="containsText" dxfId="1083" priority="1114" operator="containsText" text="o2">
      <formula>NOT(ISERROR(SEARCH("o2",G650)))</formula>
    </cfRule>
    <cfRule type="containsText" dxfId="1082" priority="1115" operator="containsText" text="o1b">
      <formula>NOT(ISERROR(SEARCH("o1b",G650)))</formula>
    </cfRule>
    <cfRule type="containsText" dxfId="1081" priority="1116" operator="containsText" text="o1a">
      <formula>NOT(ISERROR(SEARCH("o1a",G650)))</formula>
    </cfRule>
  </conditionalFormatting>
  <conditionalFormatting sqref="E652:F652 H652 E653:H653 E654:E655 H654:H655">
    <cfRule type="containsText" dxfId="1080" priority="1105" operator="containsText" text="o5">
      <formula>NOT(ISERROR(SEARCH("o5",E652)))</formula>
    </cfRule>
    <cfRule type="containsText" dxfId="1079" priority="1106" operator="containsText" text="o4">
      <formula>NOT(ISERROR(SEARCH("o4",E652)))</formula>
    </cfRule>
    <cfRule type="containsText" dxfId="1078" priority="1107" operator="containsText" text="o3">
      <formula>NOT(ISERROR(SEARCH("o3",E652)))</formula>
    </cfRule>
    <cfRule type="containsText" dxfId="1077" priority="1108" operator="containsText" text="o2">
      <formula>NOT(ISERROR(SEARCH("o2",E652)))</formula>
    </cfRule>
    <cfRule type="containsText" dxfId="1076" priority="1109" operator="containsText" text="o1b">
      <formula>NOT(ISERROR(SEARCH("o1b",E652)))</formula>
    </cfRule>
    <cfRule type="containsText" dxfId="1075" priority="1110" operator="containsText" text="o1a">
      <formula>NOT(ISERROR(SEARCH("o1a",E652)))</formula>
    </cfRule>
  </conditionalFormatting>
  <conditionalFormatting sqref="G652">
    <cfRule type="containsText" dxfId="1074" priority="1099" operator="containsText" text="o5">
      <formula>NOT(ISERROR(SEARCH("o5",G652)))</formula>
    </cfRule>
    <cfRule type="containsText" dxfId="1073" priority="1100" operator="containsText" text="o4">
      <formula>NOT(ISERROR(SEARCH("o4",G652)))</formula>
    </cfRule>
    <cfRule type="containsText" dxfId="1072" priority="1101" operator="containsText" text="o3">
      <formula>NOT(ISERROR(SEARCH("o3",G652)))</formula>
    </cfRule>
    <cfRule type="containsText" dxfId="1071" priority="1102" operator="containsText" text="o2">
      <formula>NOT(ISERROR(SEARCH("o2",G652)))</formula>
    </cfRule>
    <cfRule type="containsText" dxfId="1070" priority="1103" operator="containsText" text="o1b">
      <formula>NOT(ISERROR(SEARCH("o1b",G652)))</formula>
    </cfRule>
    <cfRule type="containsText" dxfId="1069" priority="1104" operator="containsText" text="o1a">
      <formula>NOT(ISERROR(SEARCH("o1a",G652)))</formula>
    </cfRule>
  </conditionalFormatting>
  <conditionalFormatting sqref="F654:G654 F655">
    <cfRule type="containsText" dxfId="1068" priority="1093" operator="containsText" text="o5">
      <formula>NOT(ISERROR(SEARCH("o5",F654)))</formula>
    </cfRule>
    <cfRule type="containsText" dxfId="1067" priority="1094" operator="containsText" text="o4">
      <formula>NOT(ISERROR(SEARCH("o4",F654)))</formula>
    </cfRule>
    <cfRule type="containsText" dxfId="1066" priority="1095" operator="containsText" text="o3">
      <formula>NOT(ISERROR(SEARCH("o3",F654)))</formula>
    </cfRule>
    <cfRule type="containsText" dxfId="1065" priority="1096" operator="containsText" text="o2">
      <formula>NOT(ISERROR(SEARCH("o2",F654)))</formula>
    </cfRule>
    <cfRule type="containsText" dxfId="1064" priority="1097" operator="containsText" text="o1b">
      <formula>NOT(ISERROR(SEARCH("o1b",F654)))</formula>
    </cfRule>
    <cfRule type="containsText" dxfId="1063" priority="1098" operator="containsText" text="o1a">
      <formula>NOT(ISERROR(SEARCH("o1a",F654)))</formula>
    </cfRule>
  </conditionalFormatting>
  <conditionalFormatting sqref="G655">
    <cfRule type="containsText" dxfId="1062" priority="1087" operator="containsText" text="o5">
      <formula>NOT(ISERROR(SEARCH("o5",G655)))</formula>
    </cfRule>
    <cfRule type="containsText" dxfId="1061" priority="1088" operator="containsText" text="o4">
      <formula>NOT(ISERROR(SEARCH("o4",G655)))</formula>
    </cfRule>
    <cfRule type="containsText" dxfId="1060" priority="1089" operator="containsText" text="o3">
      <formula>NOT(ISERROR(SEARCH("o3",G655)))</formula>
    </cfRule>
    <cfRule type="containsText" dxfId="1059" priority="1090" operator="containsText" text="o2">
      <formula>NOT(ISERROR(SEARCH("o2",G655)))</formula>
    </cfRule>
    <cfRule type="containsText" dxfId="1058" priority="1091" operator="containsText" text="o1b">
      <formula>NOT(ISERROR(SEARCH("o1b",G655)))</formula>
    </cfRule>
    <cfRule type="containsText" dxfId="1057" priority="1092" operator="containsText" text="o1a">
      <formula>NOT(ISERROR(SEARCH("o1a",G655)))</formula>
    </cfRule>
  </conditionalFormatting>
  <conditionalFormatting sqref="F658:H658">
    <cfRule type="containsText" dxfId="1056" priority="1081" operator="containsText" text="o5">
      <formula>NOT(ISERROR(SEARCH("o5",F658)))</formula>
    </cfRule>
    <cfRule type="containsText" dxfId="1055" priority="1082" operator="containsText" text="o4">
      <formula>NOT(ISERROR(SEARCH("o4",F658)))</formula>
    </cfRule>
    <cfRule type="containsText" dxfId="1054" priority="1083" operator="containsText" text="o3">
      <formula>NOT(ISERROR(SEARCH("o3",F658)))</formula>
    </cfRule>
    <cfRule type="containsText" dxfId="1053" priority="1084" operator="containsText" text="o2">
      <formula>NOT(ISERROR(SEARCH("o2",F658)))</formula>
    </cfRule>
    <cfRule type="containsText" dxfId="1052" priority="1085" operator="containsText" text="o1b">
      <formula>NOT(ISERROR(SEARCH("o1b",F658)))</formula>
    </cfRule>
    <cfRule type="containsText" dxfId="1051" priority="1086" operator="containsText" text="o1a">
      <formula>NOT(ISERROR(SEARCH("o1a",F658)))</formula>
    </cfRule>
  </conditionalFormatting>
  <conditionalFormatting sqref="H656:H657">
    <cfRule type="containsText" dxfId="1050" priority="1075" operator="containsText" text="o5">
      <formula>NOT(ISERROR(SEARCH("o5",H656)))</formula>
    </cfRule>
    <cfRule type="containsText" dxfId="1049" priority="1076" operator="containsText" text="o4">
      <formula>NOT(ISERROR(SEARCH("o4",H656)))</formula>
    </cfRule>
    <cfRule type="containsText" dxfId="1048" priority="1077" operator="containsText" text="o3">
      <formula>NOT(ISERROR(SEARCH("o3",H656)))</formula>
    </cfRule>
    <cfRule type="containsText" dxfId="1047" priority="1078" operator="containsText" text="o2">
      <formula>NOT(ISERROR(SEARCH("o2",H656)))</formula>
    </cfRule>
    <cfRule type="containsText" dxfId="1046" priority="1079" operator="containsText" text="o1b">
      <formula>NOT(ISERROR(SEARCH("o1b",H656)))</formula>
    </cfRule>
    <cfRule type="containsText" dxfId="1045" priority="1080" operator="containsText" text="o1a">
      <formula>NOT(ISERROR(SEARCH("o1a",H656)))</formula>
    </cfRule>
  </conditionalFormatting>
  <conditionalFormatting sqref="F656:G656 F657">
    <cfRule type="containsText" dxfId="1044" priority="1069" operator="containsText" text="o5">
      <formula>NOT(ISERROR(SEARCH("o5",F656)))</formula>
    </cfRule>
    <cfRule type="containsText" dxfId="1043" priority="1070" operator="containsText" text="o4">
      <formula>NOT(ISERROR(SEARCH("o4",F656)))</formula>
    </cfRule>
    <cfRule type="containsText" dxfId="1042" priority="1071" operator="containsText" text="o3">
      <formula>NOT(ISERROR(SEARCH("o3",F656)))</formula>
    </cfRule>
    <cfRule type="containsText" dxfId="1041" priority="1072" operator="containsText" text="o2">
      <formula>NOT(ISERROR(SEARCH("o2",F656)))</formula>
    </cfRule>
    <cfRule type="containsText" dxfId="1040" priority="1073" operator="containsText" text="o1b">
      <formula>NOT(ISERROR(SEARCH("o1b",F656)))</formula>
    </cfRule>
    <cfRule type="containsText" dxfId="1039" priority="1074" operator="containsText" text="o1a">
      <formula>NOT(ISERROR(SEARCH("o1a",F656)))</formula>
    </cfRule>
  </conditionalFormatting>
  <conditionalFormatting sqref="G657">
    <cfRule type="containsText" dxfId="1038" priority="1063" operator="containsText" text="o5">
      <formula>NOT(ISERROR(SEARCH("o5",G657)))</formula>
    </cfRule>
    <cfRule type="containsText" dxfId="1037" priority="1064" operator="containsText" text="o4">
      <formula>NOT(ISERROR(SEARCH("o4",G657)))</formula>
    </cfRule>
    <cfRule type="containsText" dxfId="1036" priority="1065" operator="containsText" text="o3">
      <formula>NOT(ISERROR(SEARCH("o3",G657)))</formula>
    </cfRule>
    <cfRule type="containsText" dxfId="1035" priority="1066" operator="containsText" text="o2">
      <formula>NOT(ISERROR(SEARCH("o2",G657)))</formula>
    </cfRule>
    <cfRule type="containsText" dxfId="1034" priority="1067" operator="containsText" text="o1b">
      <formula>NOT(ISERROR(SEARCH("o1b",G657)))</formula>
    </cfRule>
    <cfRule type="containsText" dxfId="1033" priority="1068" operator="containsText" text="o1a">
      <formula>NOT(ISERROR(SEARCH("o1a",G657)))</formula>
    </cfRule>
  </conditionalFormatting>
  <conditionalFormatting sqref="E659:F659 H659 E660:H660 E661:E662 H661:H662">
    <cfRule type="containsText" dxfId="1032" priority="1057" operator="containsText" text="o5">
      <formula>NOT(ISERROR(SEARCH("o5",E659)))</formula>
    </cfRule>
    <cfRule type="containsText" dxfId="1031" priority="1058" operator="containsText" text="o4">
      <formula>NOT(ISERROR(SEARCH("o4",E659)))</formula>
    </cfRule>
    <cfRule type="containsText" dxfId="1030" priority="1059" operator="containsText" text="o3">
      <formula>NOT(ISERROR(SEARCH("o3",E659)))</formula>
    </cfRule>
    <cfRule type="containsText" dxfId="1029" priority="1060" operator="containsText" text="o2">
      <formula>NOT(ISERROR(SEARCH("o2",E659)))</formula>
    </cfRule>
    <cfRule type="containsText" dxfId="1028" priority="1061" operator="containsText" text="o1b">
      <formula>NOT(ISERROR(SEARCH("o1b",E659)))</formula>
    </cfRule>
    <cfRule type="containsText" dxfId="1027" priority="1062" operator="containsText" text="o1a">
      <formula>NOT(ISERROR(SEARCH("o1a",E659)))</formula>
    </cfRule>
  </conditionalFormatting>
  <conditionalFormatting sqref="G659">
    <cfRule type="containsText" dxfId="1026" priority="1051" operator="containsText" text="o5">
      <formula>NOT(ISERROR(SEARCH("o5",G659)))</formula>
    </cfRule>
    <cfRule type="containsText" dxfId="1025" priority="1052" operator="containsText" text="o4">
      <formula>NOT(ISERROR(SEARCH("o4",G659)))</formula>
    </cfRule>
    <cfRule type="containsText" dxfId="1024" priority="1053" operator="containsText" text="o3">
      <formula>NOT(ISERROR(SEARCH("o3",G659)))</formula>
    </cfRule>
    <cfRule type="containsText" dxfId="1023" priority="1054" operator="containsText" text="o2">
      <formula>NOT(ISERROR(SEARCH("o2",G659)))</formula>
    </cfRule>
    <cfRule type="containsText" dxfId="1022" priority="1055" operator="containsText" text="o1b">
      <formula>NOT(ISERROR(SEARCH("o1b",G659)))</formula>
    </cfRule>
    <cfRule type="containsText" dxfId="1021" priority="1056" operator="containsText" text="o1a">
      <formula>NOT(ISERROR(SEARCH("o1a",G659)))</formula>
    </cfRule>
  </conditionalFormatting>
  <conditionalFormatting sqref="F661:G661 F662">
    <cfRule type="containsText" dxfId="1020" priority="1045" operator="containsText" text="o5">
      <formula>NOT(ISERROR(SEARCH("o5",F661)))</formula>
    </cfRule>
    <cfRule type="containsText" dxfId="1019" priority="1046" operator="containsText" text="o4">
      <formula>NOT(ISERROR(SEARCH("o4",F661)))</formula>
    </cfRule>
    <cfRule type="containsText" dxfId="1018" priority="1047" operator="containsText" text="o3">
      <formula>NOT(ISERROR(SEARCH("o3",F661)))</formula>
    </cfRule>
    <cfRule type="containsText" dxfId="1017" priority="1048" operator="containsText" text="o2">
      <formula>NOT(ISERROR(SEARCH("o2",F661)))</formula>
    </cfRule>
    <cfRule type="containsText" dxfId="1016" priority="1049" operator="containsText" text="o1b">
      <formula>NOT(ISERROR(SEARCH("o1b",F661)))</formula>
    </cfRule>
    <cfRule type="containsText" dxfId="1015" priority="1050" operator="containsText" text="o1a">
      <formula>NOT(ISERROR(SEARCH("o1a",F661)))</formula>
    </cfRule>
  </conditionalFormatting>
  <conditionalFormatting sqref="G662">
    <cfRule type="containsText" dxfId="1014" priority="1039" operator="containsText" text="o5">
      <formula>NOT(ISERROR(SEARCH("o5",G662)))</formula>
    </cfRule>
    <cfRule type="containsText" dxfId="1013" priority="1040" operator="containsText" text="o4">
      <formula>NOT(ISERROR(SEARCH("o4",G662)))</formula>
    </cfRule>
    <cfRule type="containsText" dxfId="1012" priority="1041" operator="containsText" text="o3">
      <formula>NOT(ISERROR(SEARCH("o3",G662)))</formula>
    </cfRule>
    <cfRule type="containsText" dxfId="1011" priority="1042" operator="containsText" text="o2">
      <formula>NOT(ISERROR(SEARCH("o2",G662)))</formula>
    </cfRule>
    <cfRule type="containsText" dxfId="1010" priority="1043" operator="containsText" text="o1b">
      <formula>NOT(ISERROR(SEARCH("o1b",G662)))</formula>
    </cfRule>
    <cfRule type="containsText" dxfId="1009" priority="1044" operator="containsText" text="o1a">
      <formula>NOT(ISERROR(SEARCH("o1a",G662)))</formula>
    </cfRule>
  </conditionalFormatting>
  <conditionalFormatting sqref="E663:F663 H663">
    <cfRule type="containsText" dxfId="1008" priority="1033" operator="containsText" text="o5">
      <formula>NOT(ISERROR(SEARCH("o5",E663)))</formula>
    </cfRule>
    <cfRule type="containsText" dxfId="1007" priority="1034" operator="containsText" text="o4">
      <formula>NOT(ISERROR(SEARCH("o4",E663)))</formula>
    </cfRule>
    <cfRule type="containsText" dxfId="1006" priority="1035" operator="containsText" text="o3">
      <formula>NOT(ISERROR(SEARCH("o3",E663)))</formula>
    </cfRule>
    <cfRule type="containsText" dxfId="1005" priority="1036" operator="containsText" text="o2">
      <formula>NOT(ISERROR(SEARCH("o2",E663)))</formula>
    </cfRule>
    <cfRule type="containsText" dxfId="1004" priority="1037" operator="containsText" text="o1b">
      <formula>NOT(ISERROR(SEARCH("o1b",E663)))</formula>
    </cfRule>
    <cfRule type="containsText" dxfId="1003" priority="1038" operator="containsText" text="o1a">
      <formula>NOT(ISERROR(SEARCH("o1a",E663)))</formula>
    </cfRule>
  </conditionalFormatting>
  <conditionalFormatting sqref="G663">
    <cfRule type="containsText" dxfId="1002" priority="1027" operator="containsText" text="o5">
      <formula>NOT(ISERROR(SEARCH("o5",G663)))</formula>
    </cfRule>
    <cfRule type="containsText" dxfId="1001" priority="1028" operator="containsText" text="o4">
      <formula>NOT(ISERROR(SEARCH("o4",G663)))</formula>
    </cfRule>
    <cfRule type="containsText" dxfId="1000" priority="1029" operator="containsText" text="o3">
      <formula>NOT(ISERROR(SEARCH("o3",G663)))</formula>
    </cfRule>
    <cfRule type="containsText" dxfId="999" priority="1030" operator="containsText" text="o2">
      <formula>NOT(ISERROR(SEARCH("o2",G663)))</formula>
    </cfRule>
    <cfRule type="containsText" dxfId="998" priority="1031" operator="containsText" text="o1b">
      <formula>NOT(ISERROR(SEARCH("o1b",G663)))</formula>
    </cfRule>
    <cfRule type="containsText" dxfId="997" priority="1032" operator="containsText" text="o1a">
      <formula>NOT(ISERROR(SEARCH("o1a",G663)))</formula>
    </cfRule>
  </conditionalFormatting>
  <conditionalFormatting sqref="G664">
    <cfRule type="containsText" dxfId="996" priority="1021" operator="containsText" text="o5">
      <formula>NOT(ISERROR(SEARCH("o5",G664)))</formula>
    </cfRule>
    <cfRule type="containsText" dxfId="995" priority="1022" operator="containsText" text="o4">
      <formula>NOT(ISERROR(SEARCH("o4",G664)))</formula>
    </cfRule>
    <cfRule type="containsText" dxfId="994" priority="1023" operator="containsText" text="o3">
      <formula>NOT(ISERROR(SEARCH("o3",G664)))</formula>
    </cfRule>
    <cfRule type="containsText" dxfId="993" priority="1024" operator="containsText" text="o2">
      <formula>NOT(ISERROR(SEARCH("o2",G664)))</formula>
    </cfRule>
    <cfRule type="containsText" dxfId="992" priority="1025" operator="containsText" text="o1b">
      <formula>NOT(ISERROR(SEARCH("o1b",G664)))</formula>
    </cfRule>
    <cfRule type="containsText" dxfId="991" priority="1026" operator="containsText" text="o1a">
      <formula>NOT(ISERROR(SEARCH("o1a",G664)))</formula>
    </cfRule>
  </conditionalFormatting>
  <conditionalFormatting sqref="E666:F666 H666">
    <cfRule type="containsText" dxfId="990" priority="1015" operator="containsText" text="o5">
      <formula>NOT(ISERROR(SEARCH("o5",E666)))</formula>
    </cfRule>
    <cfRule type="containsText" dxfId="989" priority="1016" operator="containsText" text="o4">
      <formula>NOT(ISERROR(SEARCH("o4",E666)))</formula>
    </cfRule>
    <cfRule type="containsText" dxfId="988" priority="1017" operator="containsText" text="o3">
      <formula>NOT(ISERROR(SEARCH("o3",E666)))</formula>
    </cfRule>
    <cfRule type="containsText" dxfId="987" priority="1018" operator="containsText" text="o2">
      <formula>NOT(ISERROR(SEARCH("o2",E666)))</formula>
    </cfRule>
    <cfRule type="containsText" dxfId="986" priority="1019" operator="containsText" text="o1b">
      <formula>NOT(ISERROR(SEARCH("o1b",E666)))</formula>
    </cfRule>
    <cfRule type="containsText" dxfId="985" priority="1020" operator="containsText" text="o1a">
      <formula>NOT(ISERROR(SEARCH("o1a",E666)))</formula>
    </cfRule>
  </conditionalFormatting>
  <conditionalFormatting sqref="E665:F665 H665">
    <cfRule type="containsText" dxfId="984" priority="1009" operator="containsText" text="o5">
      <formula>NOT(ISERROR(SEARCH("o5",E665)))</formula>
    </cfRule>
    <cfRule type="containsText" dxfId="983" priority="1010" operator="containsText" text="o4">
      <formula>NOT(ISERROR(SEARCH("o4",E665)))</formula>
    </cfRule>
    <cfRule type="containsText" dxfId="982" priority="1011" operator="containsText" text="o3">
      <formula>NOT(ISERROR(SEARCH("o3",E665)))</formula>
    </cfRule>
    <cfRule type="containsText" dxfId="981" priority="1012" operator="containsText" text="o2">
      <formula>NOT(ISERROR(SEARCH("o2",E665)))</formula>
    </cfRule>
    <cfRule type="containsText" dxfId="980" priority="1013" operator="containsText" text="o1b">
      <formula>NOT(ISERROR(SEARCH("o1b",E665)))</formula>
    </cfRule>
    <cfRule type="containsText" dxfId="979" priority="1014" operator="containsText" text="o1a">
      <formula>NOT(ISERROR(SEARCH("o1a",E665)))</formula>
    </cfRule>
  </conditionalFormatting>
  <conditionalFormatting sqref="G665">
    <cfRule type="containsText" dxfId="978" priority="1003" operator="containsText" text="o5">
      <formula>NOT(ISERROR(SEARCH("o5",G665)))</formula>
    </cfRule>
    <cfRule type="containsText" dxfId="977" priority="1004" operator="containsText" text="o4">
      <formula>NOT(ISERROR(SEARCH("o4",G665)))</formula>
    </cfRule>
    <cfRule type="containsText" dxfId="976" priority="1005" operator="containsText" text="o3">
      <formula>NOT(ISERROR(SEARCH("o3",G665)))</formula>
    </cfRule>
    <cfRule type="containsText" dxfId="975" priority="1006" operator="containsText" text="o2">
      <formula>NOT(ISERROR(SEARCH("o2",G665)))</formula>
    </cfRule>
    <cfRule type="containsText" dxfId="974" priority="1007" operator="containsText" text="o1b">
      <formula>NOT(ISERROR(SEARCH("o1b",G665)))</formula>
    </cfRule>
    <cfRule type="containsText" dxfId="973" priority="1008" operator="containsText" text="o1a">
      <formula>NOT(ISERROR(SEARCH("o1a",G665)))</formula>
    </cfRule>
  </conditionalFormatting>
  <conditionalFormatting sqref="G666">
    <cfRule type="containsText" dxfId="972" priority="997" operator="containsText" text="o5">
      <formula>NOT(ISERROR(SEARCH("o5",G666)))</formula>
    </cfRule>
    <cfRule type="containsText" dxfId="971" priority="998" operator="containsText" text="o4">
      <formula>NOT(ISERROR(SEARCH("o4",G666)))</formula>
    </cfRule>
    <cfRule type="containsText" dxfId="970" priority="999" operator="containsText" text="o3">
      <formula>NOT(ISERROR(SEARCH("o3",G666)))</formula>
    </cfRule>
    <cfRule type="containsText" dxfId="969" priority="1000" operator="containsText" text="o2">
      <formula>NOT(ISERROR(SEARCH("o2",G666)))</formula>
    </cfRule>
    <cfRule type="containsText" dxfId="968" priority="1001" operator="containsText" text="o1b">
      <formula>NOT(ISERROR(SEARCH("o1b",G666)))</formula>
    </cfRule>
    <cfRule type="containsText" dxfId="967" priority="1002" operator="containsText" text="o1a">
      <formula>NOT(ISERROR(SEARCH("o1a",G666)))</formula>
    </cfRule>
  </conditionalFormatting>
  <conditionalFormatting sqref="E668:F668 H668">
    <cfRule type="containsText" dxfId="966" priority="991" operator="containsText" text="o5">
      <formula>NOT(ISERROR(SEARCH("o5",E668)))</formula>
    </cfRule>
    <cfRule type="containsText" dxfId="965" priority="992" operator="containsText" text="o4">
      <formula>NOT(ISERROR(SEARCH("o4",E668)))</formula>
    </cfRule>
    <cfRule type="containsText" dxfId="964" priority="993" operator="containsText" text="o3">
      <formula>NOT(ISERROR(SEARCH("o3",E668)))</formula>
    </cfRule>
    <cfRule type="containsText" dxfId="963" priority="994" operator="containsText" text="o2">
      <formula>NOT(ISERROR(SEARCH("o2",E668)))</formula>
    </cfRule>
    <cfRule type="containsText" dxfId="962" priority="995" operator="containsText" text="o1b">
      <formula>NOT(ISERROR(SEARCH("o1b",E668)))</formula>
    </cfRule>
    <cfRule type="containsText" dxfId="961" priority="996" operator="containsText" text="o1a">
      <formula>NOT(ISERROR(SEARCH("o1a",E668)))</formula>
    </cfRule>
  </conditionalFormatting>
  <conditionalFormatting sqref="E667:F667 H667">
    <cfRule type="containsText" dxfId="960" priority="985" operator="containsText" text="o5">
      <formula>NOT(ISERROR(SEARCH("o5",E667)))</formula>
    </cfRule>
    <cfRule type="containsText" dxfId="959" priority="986" operator="containsText" text="o4">
      <formula>NOT(ISERROR(SEARCH("o4",E667)))</formula>
    </cfRule>
    <cfRule type="containsText" dxfId="958" priority="987" operator="containsText" text="o3">
      <formula>NOT(ISERROR(SEARCH("o3",E667)))</formula>
    </cfRule>
    <cfRule type="containsText" dxfId="957" priority="988" operator="containsText" text="o2">
      <formula>NOT(ISERROR(SEARCH("o2",E667)))</formula>
    </cfRule>
    <cfRule type="containsText" dxfId="956" priority="989" operator="containsText" text="o1b">
      <formula>NOT(ISERROR(SEARCH("o1b",E667)))</formula>
    </cfRule>
    <cfRule type="containsText" dxfId="955" priority="990" operator="containsText" text="o1a">
      <formula>NOT(ISERROR(SEARCH("o1a",E667)))</formula>
    </cfRule>
  </conditionalFormatting>
  <conditionalFormatting sqref="G667">
    <cfRule type="containsText" dxfId="954" priority="979" operator="containsText" text="o5">
      <formula>NOT(ISERROR(SEARCH("o5",G667)))</formula>
    </cfRule>
    <cfRule type="containsText" dxfId="953" priority="980" operator="containsText" text="o4">
      <formula>NOT(ISERROR(SEARCH("o4",G667)))</formula>
    </cfRule>
    <cfRule type="containsText" dxfId="952" priority="981" operator="containsText" text="o3">
      <formula>NOT(ISERROR(SEARCH("o3",G667)))</formula>
    </cfRule>
    <cfRule type="containsText" dxfId="951" priority="982" operator="containsText" text="o2">
      <formula>NOT(ISERROR(SEARCH("o2",G667)))</formula>
    </cfRule>
    <cfRule type="containsText" dxfId="950" priority="983" operator="containsText" text="o1b">
      <formula>NOT(ISERROR(SEARCH("o1b",G667)))</formula>
    </cfRule>
    <cfRule type="containsText" dxfId="949" priority="984" operator="containsText" text="o1a">
      <formula>NOT(ISERROR(SEARCH("o1a",G667)))</formula>
    </cfRule>
  </conditionalFormatting>
  <conditionalFormatting sqref="G668">
    <cfRule type="containsText" dxfId="948" priority="973" operator="containsText" text="o5">
      <formula>NOT(ISERROR(SEARCH("o5",G668)))</formula>
    </cfRule>
    <cfRule type="containsText" dxfId="947" priority="974" operator="containsText" text="o4">
      <formula>NOT(ISERROR(SEARCH("o4",G668)))</formula>
    </cfRule>
    <cfRule type="containsText" dxfId="946" priority="975" operator="containsText" text="o3">
      <formula>NOT(ISERROR(SEARCH("o3",G668)))</formula>
    </cfRule>
    <cfRule type="containsText" dxfId="945" priority="976" operator="containsText" text="o2">
      <formula>NOT(ISERROR(SEARCH("o2",G668)))</formula>
    </cfRule>
    <cfRule type="containsText" dxfId="944" priority="977" operator="containsText" text="o1b">
      <formula>NOT(ISERROR(SEARCH("o1b",G668)))</formula>
    </cfRule>
    <cfRule type="containsText" dxfId="943" priority="978" operator="containsText" text="o1a">
      <formula>NOT(ISERROR(SEARCH("o1a",G668)))</formula>
    </cfRule>
  </conditionalFormatting>
  <conditionalFormatting sqref="E669:F669 H669 E670:H670">
    <cfRule type="containsText" dxfId="942" priority="967" operator="containsText" text="o5">
      <formula>NOT(ISERROR(SEARCH("o5",E669)))</formula>
    </cfRule>
    <cfRule type="containsText" dxfId="941" priority="968" operator="containsText" text="o4">
      <formula>NOT(ISERROR(SEARCH("o4",E669)))</formula>
    </cfRule>
    <cfRule type="containsText" dxfId="940" priority="969" operator="containsText" text="o3">
      <formula>NOT(ISERROR(SEARCH("o3",E669)))</formula>
    </cfRule>
    <cfRule type="containsText" dxfId="939" priority="970" operator="containsText" text="o2">
      <formula>NOT(ISERROR(SEARCH("o2",E669)))</formula>
    </cfRule>
    <cfRule type="containsText" dxfId="938" priority="971" operator="containsText" text="o1b">
      <formula>NOT(ISERROR(SEARCH("o1b",E669)))</formula>
    </cfRule>
    <cfRule type="containsText" dxfId="937" priority="972" operator="containsText" text="o1a">
      <formula>NOT(ISERROR(SEARCH("o1a",E669)))</formula>
    </cfRule>
  </conditionalFormatting>
  <conditionalFormatting sqref="G669">
    <cfRule type="containsText" dxfId="936" priority="961" operator="containsText" text="o5">
      <formula>NOT(ISERROR(SEARCH("o5",G669)))</formula>
    </cfRule>
    <cfRule type="containsText" dxfId="935" priority="962" operator="containsText" text="o4">
      <formula>NOT(ISERROR(SEARCH("o4",G669)))</formula>
    </cfRule>
    <cfRule type="containsText" dxfId="934" priority="963" operator="containsText" text="o3">
      <formula>NOT(ISERROR(SEARCH("o3",G669)))</formula>
    </cfRule>
    <cfRule type="containsText" dxfId="933" priority="964" operator="containsText" text="o2">
      <formula>NOT(ISERROR(SEARCH("o2",G669)))</formula>
    </cfRule>
    <cfRule type="containsText" dxfId="932" priority="965" operator="containsText" text="o1b">
      <formula>NOT(ISERROR(SEARCH("o1b",G669)))</formula>
    </cfRule>
    <cfRule type="containsText" dxfId="931" priority="966" operator="containsText" text="o1a">
      <formula>NOT(ISERROR(SEARCH("o1a",G669)))</formula>
    </cfRule>
  </conditionalFormatting>
  <conditionalFormatting sqref="G671">
    <cfRule type="containsText" dxfId="930" priority="955" operator="containsText" text="o5">
      <formula>NOT(ISERROR(SEARCH("o5",G671)))</formula>
    </cfRule>
    <cfRule type="containsText" dxfId="929" priority="956" operator="containsText" text="o4">
      <formula>NOT(ISERROR(SEARCH("o4",G671)))</formula>
    </cfRule>
    <cfRule type="containsText" dxfId="928" priority="957" operator="containsText" text="o3">
      <formula>NOT(ISERROR(SEARCH("o3",G671)))</formula>
    </cfRule>
    <cfRule type="containsText" dxfId="927" priority="958" operator="containsText" text="o2">
      <formula>NOT(ISERROR(SEARCH("o2",G671)))</formula>
    </cfRule>
    <cfRule type="containsText" dxfId="926" priority="959" operator="containsText" text="o1b">
      <formula>NOT(ISERROR(SEARCH("o1b",G671)))</formula>
    </cfRule>
    <cfRule type="containsText" dxfId="925" priority="960" operator="containsText" text="o1a">
      <formula>NOT(ISERROR(SEARCH("o1a",G671)))</formula>
    </cfRule>
  </conditionalFormatting>
  <conditionalFormatting sqref="F672">
    <cfRule type="containsText" dxfId="924" priority="949" operator="containsText" text="o5">
      <formula>NOT(ISERROR(SEARCH("o5",F672)))</formula>
    </cfRule>
    <cfRule type="containsText" dxfId="923" priority="950" operator="containsText" text="o4">
      <formula>NOT(ISERROR(SEARCH("o4",F672)))</formula>
    </cfRule>
    <cfRule type="containsText" dxfId="922" priority="951" operator="containsText" text="o3">
      <formula>NOT(ISERROR(SEARCH("o3",F672)))</formula>
    </cfRule>
    <cfRule type="containsText" dxfId="921" priority="952" operator="containsText" text="o2">
      <formula>NOT(ISERROR(SEARCH("o2",F672)))</formula>
    </cfRule>
    <cfRule type="containsText" dxfId="920" priority="953" operator="containsText" text="o1b">
      <formula>NOT(ISERROR(SEARCH("o1b",F672)))</formula>
    </cfRule>
    <cfRule type="containsText" dxfId="919" priority="954" operator="containsText" text="o1a">
      <formula>NOT(ISERROR(SEARCH("o1a",F672)))</formula>
    </cfRule>
  </conditionalFormatting>
  <conditionalFormatting sqref="E675:F675 H675 E676 G676:H676">
    <cfRule type="containsText" dxfId="918" priority="943" operator="containsText" text="o5">
      <formula>NOT(ISERROR(SEARCH("o5",E675)))</formula>
    </cfRule>
    <cfRule type="containsText" dxfId="917" priority="944" operator="containsText" text="o4">
      <formula>NOT(ISERROR(SEARCH("o4",E675)))</formula>
    </cfRule>
    <cfRule type="containsText" dxfId="916" priority="945" operator="containsText" text="o3">
      <formula>NOT(ISERROR(SEARCH("o3",E675)))</formula>
    </cfRule>
    <cfRule type="containsText" dxfId="915" priority="946" operator="containsText" text="o2">
      <formula>NOT(ISERROR(SEARCH("o2",E675)))</formula>
    </cfRule>
    <cfRule type="containsText" dxfId="914" priority="947" operator="containsText" text="o1b">
      <formula>NOT(ISERROR(SEARCH("o1b",E675)))</formula>
    </cfRule>
    <cfRule type="containsText" dxfId="913" priority="948" operator="containsText" text="o1a">
      <formula>NOT(ISERROR(SEARCH("o1a",E675)))</formula>
    </cfRule>
  </conditionalFormatting>
  <conditionalFormatting sqref="E673:F673 H673 E674:H674">
    <cfRule type="containsText" dxfId="912" priority="937" operator="containsText" text="o5">
      <formula>NOT(ISERROR(SEARCH("o5",E673)))</formula>
    </cfRule>
    <cfRule type="containsText" dxfId="911" priority="938" operator="containsText" text="o4">
      <formula>NOT(ISERROR(SEARCH("o4",E673)))</formula>
    </cfRule>
    <cfRule type="containsText" dxfId="910" priority="939" operator="containsText" text="o3">
      <formula>NOT(ISERROR(SEARCH("o3",E673)))</formula>
    </cfRule>
    <cfRule type="containsText" dxfId="909" priority="940" operator="containsText" text="o2">
      <formula>NOT(ISERROR(SEARCH("o2",E673)))</formula>
    </cfRule>
    <cfRule type="containsText" dxfId="908" priority="941" operator="containsText" text="o1b">
      <formula>NOT(ISERROR(SEARCH("o1b",E673)))</formula>
    </cfRule>
    <cfRule type="containsText" dxfId="907" priority="942" operator="containsText" text="o1a">
      <formula>NOT(ISERROR(SEARCH("o1a",E673)))</formula>
    </cfRule>
  </conditionalFormatting>
  <conditionalFormatting sqref="G673">
    <cfRule type="containsText" dxfId="906" priority="931" operator="containsText" text="o5">
      <formula>NOT(ISERROR(SEARCH("o5",G673)))</formula>
    </cfRule>
    <cfRule type="containsText" dxfId="905" priority="932" operator="containsText" text="o4">
      <formula>NOT(ISERROR(SEARCH("o4",G673)))</formula>
    </cfRule>
    <cfRule type="containsText" dxfId="904" priority="933" operator="containsText" text="o3">
      <formula>NOT(ISERROR(SEARCH("o3",G673)))</formula>
    </cfRule>
    <cfRule type="containsText" dxfId="903" priority="934" operator="containsText" text="o2">
      <formula>NOT(ISERROR(SEARCH("o2",G673)))</formula>
    </cfRule>
    <cfRule type="containsText" dxfId="902" priority="935" operator="containsText" text="o1b">
      <formula>NOT(ISERROR(SEARCH("o1b",G673)))</formula>
    </cfRule>
    <cfRule type="containsText" dxfId="901" priority="936" operator="containsText" text="o1a">
      <formula>NOT(ISERROR(SEARCH("o1a",G673)))</formula>
    </cfRule>
  </conditionalFormatting>
  <conditionalFormatting sqref="G675">
    <cfRule type="containsText" dxfId="900" priority="925" operator="containsText" text="o5">
      <formula>NOT(ISERROR(SEARCH("o5",G675)))</formula>
    </cfRule>
    <cfRule type="containsText" dxfId="899" priority="926" operator="containsText" text="o4">
      <formula>NOT(ISERROR(SEARCH("o4",G675)))</formula>
    </cfRule>
    <cfRule type="containsText" dxfId="898" priority="927" operator="containsText" text="o3">
      <formula>NOT(ISERROR(SEARCH("o3",G675)))</formula>
    </cfRule>
    <cfRule type="containsText" dxfId="897" priority="928" operator="containsText" text="o2">
      <formula>NOT(ISERROR(SEARCH("o2",G675)))</formula>
    </cfRule>
    <cfRule type="containsText" dxfId="896" priority="929" operator="containsText" text="o1b">
      <formula>NOT(ISERROR(SEARCH("o1b",G675)))</formula>
    </cfRule>
    <cfRule type="containsText" dxfId="895" priority="930" operator="containsText" text="o1a">
      <formula>NOT(ISERROR(SEARCH("o1a",G675)))</formula>
    </cfRule>
  </conditionalFormatting>
  <conditionalFormatting sqref="F676">
    <cfRule type="containsText" dxfId="894" priority="919" operator="containsText" text="o5">
      <formula>NOT(ISERROR(SEARCH("o5",F676)))</formula>
    </cfRule>
    <cfRule type="containsText" dxfId="893" priority="920" operator="containsText" text="o4">
      <formula>NOT(ISERROR(SEARCH("o4",F676)))</formula>
    </cfRule>
    <cfRule type="containsText" dxfId="892" priority="921" operator="containsText" text="o3">
      <formula>NOT(ISERROR(SEARCH("o3",F676)))</formula>
    </cfRule>
    <cfRule type="containsText" dxfId="891" priority="922" operator="containsText" text="o2">
      <formula>NOT(ISERROR(SEARCH("o2",F676)))</formula>
    </cfRule>
    <cfRule type="containsText" dxfId="890" priority="923" operator="containsText" text="o1b">
      <formula>NOT(ISERROR(SEARCH("o1b",F676)))</formula>
    </cfRule>
    <cfRule type="containsText" dxfId="889" priority="924" operator="containsText" text="o1a">
      <formula>NOT(ISERROR(SEARCH("o1a",F676)))</formula>
    </cfRule>
  </conditionalFormatting>
  <conditionalFormatting sqref="E684:F684 H684 F686:H686 E691:H692 E688:F688 H688 E693:F693 E694:E696 H693:H696 E711:E712">
    <cfRule type="containsText" dxfId="888" priority="913" operator="containsText" text="o5">
      <formula>NOT(ISERROR(SEARCH("o5",E684)))</formula>
    </cfRule>
    <cfRule type="containsText" dxfId="887" priority="914" operator="containsText" text="o4">
      <formula>NOT(ISERROR(SEARCH("o4",E684)))</formula>
    </cfRule>
    <cfRule type="containsText" dxfId="886" priority="915" operator="containsText" text="o3">
      <formula>NOT(ISERROR(SEARCH("o3",E684)))</formula>
    </cfRule>
    <cfRule type="containsText" dxfId="885" priority="916" operator="containsText" text="o2">
      <formula>NOT(ISERROR(SEARCH("o2",E684)))</formula>
    </cfRule>
    <cfRule type="containsText" dxfId="884" priority="917" operator="containsText" text="o1b">
      <formula>NOT(ISERROR(SEARCH("o1b",E684)))</formula>
    </cfRule>
    <cfRule type="containsText" dxfId="883" priority="918" operator="containsText" text="o1a">
      <formula>NOT(ISERROR(SEARCH("o1a",E684)))</formula>
    </cfRule>
  </conditionalFormatting>
  <conditionalFormatting sqref="G680">
    <cfRule type="containsText" dxfId="882" priority="907" operator="containsText" text="o5">
      <formula>NOT(ISERROR(SEARCH("o5",G680)))</formula>
    </cfRule>
    <cfRule type="containsText" dxfId="881" priority="908" operator="containsText" text="o4">
      <formula>NOT(ISERROR(SEARCH("o4",G680)))</formula>
    </cfRule>
    <cfRule type="containsText" dxfId="880" priority="909" operator="containsText" text="o3">
      <formula>NOT(ISERROR(SEARCH("o3",G680)))</formula>
    </cfRule>
    <cfRule type="containsText" dxfId="879" priority="910" operator="containsText" text="o2">
      <formula>NOT(ISERROR(SEARCH("o2",G680)))</formula>
    </cfRule>
    <cfRule type="containsText" dxfId="878" priority="911" operator="containsText" text="o1b">
      <formula>NOT(ISERROR(SEARCH("o1b",G680)))</formula>
    </cfRule>
    <cfRule type="containsText" dxfId="877" priority="912" operator="containsText" text="o1a">
      <formula>NOT(ISERROR(SEARCH("o1a",G680)))</formula>
    </cfRule>
  </conditionalFormatting>
  <conditionalFormatting sqref="G684">
    <cfRule type="containsText" dxfId="876" priority="895" operator="containsText" text="o5">
      <formula>NOT(ISERROR(SEARCH("o5",G684)))</formula>
    </cfRule>
    <cfRule type="containsText" dxfId="875" priority="896" operator="containsText" text="o4">
      <formula>NOT(ISERROR(SEARCH("o4",G684)))</formula>
    </cfRule>
    <cfRule type="containsText" dxfId="874" priority="897" operator="containsText" text="o3">
      <formula>NOT(ISERROR(SEARCH("o3",G684)))</formula>
    </cfRule>
    <cfRule type="containsText" dxfId="873" priority="898" operator="containsText" text="o2">
      <formula>NOT(ISERROR(SEARCH("o2",G684)))</formula>
    </cfRule>
    <cfRule type="containsText" dxfId="872" priority="899" operator="containsText" text="o1b">
      <formula>NOT(ISERROR(SEARCH("o1b",G684)))</formula>
    </cfRule>
    <cfRule type="containsText" dxfId="871" priority="900" operator="containsText" text="o1a">
      <formula>NOT(ISERROR(SEARCH("o1a",G684)))</formula>
    </cfRule>
  </conditionalFormatting>
  <conditionalFormatting sqref="F683">
    <cfRule type="containsText" dxfId="870" priority="901" operator="containsText" text="o5">
      <formula>NOT(ISERROR(SEARCH("o5",F683)))</formula>
    </cfRule>
    <cfRule type="containsText" dxfId="869" priority="902" operator="containsText" text="o4">
      <formula>NOT(ISERROR(SEARCH("o4",F683)))</formula>
    </cfRule>
    <cfRule type="containsText" dxfId="868" priority="903" operator="containsText" text="o3">
      <formula>NOT(ISERROR(SEARCH("o3",F683)))</formula>
    </cfRule>
    <cfRule type="containsText" dxfId="867" priority="904" operator="containsText" text="o2">
      <formula>NOT(ISERROR(SEARCH("o2",F683)))</formula>
    </cfRule>
    <cfRule type="containsText" dxfId="866" priority="905" operator="containsText" text="o1b">
      <formula>NOT(ISERROR(SEARCH("o1b",F683)))</formula>
    </cfRule>
    <cfRule type="containsText" dxfId="865" priority="906" operator="containsText" text="o1a">
      <formula>NOT(ISERROR(SEARCH("o1a",F683)))</formula>
    </cfRule>
  </conditionalFormatting>
  <conditionalFormatting sqref="G712">
    <cfRule type="containsText" dxfId="864" priority="751" operator="containsText" text="o5">
      <formula>NOT(ISERROR(SEARCH("o5",G712)))</formula>
    </cfRule>
    <cfRule type="containsText" dxfId="863" priority="752" operator="containsText" text="o4">
      <formula>NOT(ISERROR(SEARCH("o4",G712)))</formula>
    </cfRule>
    <cfRule type="containsText" dxfId="862" priority="753" operator="containsText" text="o3">
      <formula>NOT(ISERROR(SEARCH("o3",G712)))</formula>
    </cfRule>
    <cfRule type="containsText" dxfId="861" priority="754" operator="containsText" text="o2">
      <formula>NOT(ISERROR(SEARCH("o2",G712)))</formula>
    </cfRule>
    <cfRule type="containsText" dxfId="860" priority="755" operator="containsText" text="o1b">
      <formula>NOT(ISERROR(SEARCH("o1b",G712)))</formula>
    </cfRule>
    <cfRule type="containsText" dxfId="859" priority="756" operator="containsText" text="o1a">
      <formula>NOT(ISERROR(SEARCH("o1a",G712)))</formula>
    </cfRule>
  </conditionalFormatting>
  <conditionalFormatting sqref="E685:F685 H685">
    <cfRule type="containsText" dxfId="858" priority="889" operator="containsText" text="o5">
      <formula>NOT(ISERROR(SEARCH("o5",E685)))</formula>
    </cfRule>
    <cfRule type="containsText" dxfId="857" priority="890" operator="containsText" text="o4">
      <formula>NOT(ISERROR(SEARCH("o4",E685)))</formula>
    </cfRule>
    <cfRule type="containsText" dxfId="856" priority="891" operator="containsText" text="o3">
      <formula>NOT(ISERROR(SEARCH("o3",E685)))</formula>
    </cfRule>
    <cfRule type="containsText" dxfId="855" priority="892" operator="containsText" text="o2">
      <formula>NOT(ISERROR(SEARCH("o2",E685)))</formula>
    </cfRule>
    <cfRule type="containsText" dxfId="854" priority="893" operator="containsText" text="o1b">
      <formula>NOT(ISERROR(SEARCH("o1b",E685)))</formula>
    </cfRule>
    <cfRule type="containsText" dxfId="853" priority="894" operator="containsText" text="o1a">
      <formula>NOT(ISERROR(SEARCH("o1a",E685)))</formula>
    </cfRule>
  </conditionalFormatting>
  <conditionalFormatting sqref="G685">
    <cfRule type="containsText" dxfId="852" priority="883" operator="containsText" text="o5">
      <formula>NOT(ISERROR(SEARCH("o5",G685)))</formula>
    </cfRule>
    <cfRule type="containsText" dxfId="851" priority="884" operator="containsText" text="o4">
      <formula>NOT(ISERROR(SEARCH("o4",G685)))</formula>
    </cfRule>
    <cfRule type="containsText" dxfId="850" priority="885" operator="containsText" text="o3">
      <formula>NOT(ISERROR(SEARCH("o3",G685)))</formula>
    </cfRule>
    <cfRule type="containsText" dxfId="849" priority="886" operator="containsText" text="o2">
      <formula>NOT(ISERROR(SEARCH("o2",G685)))</formula>
    </cfRule>
    <cfRule type="containsText" dxfId="848" priority="887" operator="containsText" text="o1b">
      <formula>NOT(ISERROR(SEARCH("o1b",G685)))</formula>
    </cfRule>
    <cfRule type="containsText" dxfId="847" priority="888" operator="containsText" text="o1a">
      <formula>NOT(ISERROR(SEARCH("o1a",G685)))</formula>
    </cfRule>
  </conditionalFormatting>
  <conditionalFormatting sqref="E686">
    <cfRule type="containsText" dxfId="846" priority="877" operator="containsText" text="o5">
      <formula>NOT(ISERROR(SEARCH("o5",E686)))</formula>
    </cfRule>
    <cfRule type="containsText" dxfId="845" priority="878" operator="containsText" text="o4">
      <formula>NOT(ISERROR(SEARCH("o4",E686)))</formula>
    </cfRule>
    <cfRule type="containsText" dxfId="844" priority="879" operator="containsText" text="o3">
      <formula>NOT(ISERROR(SEARCH("o3",E686)))</formula>
    </cfRule>
    <cfRule type="containsText" dxfId="843" priority="880" operator="containsText" text="o2">
      <formula>NOT(ISERROR(SEARCH("o2",E686)))</formula>
    </cfRule>
    <cfRule type="containsText" dxfId="842" priority="881" operator="containsText" text="o1b">
      <formula>NOT(ISERROR(SEARCH("o1b",E686)))</formula>
    </cfRule>
    <cfRule type="containsText" dxfId="841" priority="882" operator="containsText" text="o1a">
      <formula>NOT(ISERROR(SEARCH("o1a",E686)))</formula>
    </cfRule>
  </conditionalFormatting>
  <conditionalFormatting sqref="G688">
    <cfRule type="containsText" dxfId="840" priority="871" operator="containsText" text="o5">
      <formula>NOT(ISERROR(SEARCH("o5",G688)))</formula>
    </cfRule>
    <cfRule type="containsText" dxfId="839" priority="872" operator="containsText" text="o4">
      <formula>NOT(ISERROR(SEARCH("o4",G688)))</formula>
    </cfRule>
    <cfRule type="containsText" dxfId="838" priority="873" operator="containsText" text="o3">
      <formula>NOT(ISERROR(SEARCH("o3",G688)))</formula>
    </cfRule>
    <cfRule type="containsText" dxfId="837" priority="874" operator="containsText" text="o2">
      <formula>NOT(ISERROR(SEARCH("o2",G688)))</formula>
    </cfRule>
    <cfRule type="containsText" dxfId="836" priority="875" operator="containsText" text="o1b">
      <formula>NOT(ISERROR(SEARCH("o1b",G688)))</formula>
    </cfRule>
    <cfRule type="containsText" dxfId="835" priority="876" operator="containsText" text="o1a">
      <formula>NOT(ISERROR(SEARCH("o1a",G688)))</formula>
    </cfRule>
  </conditionalFormatting>
  <conditionalFormatting sqref="E689:F689 H689 E690:H690">
    <cfRule type="containsText" dxfId="834" priority="865" operator="containsText" text="o5">
      <formula>NOT(ISERROR(SEARCH("o5",E689)))</formula>
    </cfRule>
    <cfRule type="containsText" dxfId="833" priority="866" operator="containsText" text="o4">
      <formula>NOT(ISERROR(SEARCH("o4",E689)))</formula>
    </cfRule>
    <cfRule type="containsText" dxfId="832" priority="867" operator="containsText" text="o3">
      <formula>NOT(ISERROR(SEARCH("o3",E689)))</formula>
    </cfRule>
    <cfRule type="containsText" dxfId="831" priority="868" operator="containsText" text="o2">
      <formula>NOT(ISERROR(SEARCH("o2",E689)))</formula>
    </cfRule>
    <cfRule type="containsText" dxfId="830" priority="869" operator="containsText" text="o1b">
      <formula>NOT(ISERROR(SEARCH("o1b",E689)))</formula>
    </cfRule>
    <cfRule type="containsText" dxfId="829" priority="870" operator="containsText" text="o1a">
      <formula>NOT(ISERROR(SEARCH("o1a",E689)))</formula>
    </cfRule>
  </conditionalFormatting>
  <conditionalFormatting sqref="G689">
    <cfRule type="containsText" dxfId="828" priority="859" operator="containsText" text="o5">
      <formula>NOT(ISERROR(SEARCH("o5",G689)))</formula>
    </cfRule>
    <cfRule type="containsText" dxfId="827" priority="860" operator="containsText" text="o4">
      <formula>NOT(ISERROR(SEARCH("o4",G689)))</formula>
    </cfRule>
    <cfRule type="containsText" dxfId="826" priority="861" operator="containsText" text="o3">
      <formula>NOT(ISERROR(SEARCH("o3",G689)))</formula>
    </cfRule>
    <cfRule type="containsText" dxfId="825" priority="862" operator="containsText" text="o2">
      <formula>NOT(ISERROR(SEARCH("o2",G689)))</formula>
    </cfRule>
    <cfRule type="containsText" dxfId="824" priority="863" operator="containsText" text="o1b">
      <formula>NOT(ISERROR(SEARCH("o1b",G689)))</formula>
    </cfRule>
    <cfRule type="containsText" dxfId="823" priority="864" operator="containsText" text="o1a">
      <formula>NOT(ISERROR(SEARCH("o1a",G689)))</formula>
    </cfRule>
  </conditionalFormatting>
  <conditionalFormatting sqref="G693">
    <cfRule type="containsText" dxfId="822" priority="853" operator="containsText" text="o5">
      <formula>NOT(ISERROR(SEARCH("o5",G693)))</formula>
    </cfRule>
    <cfRule type="containsText" dxfId="821" priority="854" operator="containsText" text="o4">
      <formula>NOT(ISERROR(SEARCH("o4",G693)))</formula>
    </cfRule>
    <cfRule type="containsText" dxfId="820" priority="855" operator="containsText" text="o3">
      <formula>NOT(ISERROR(SEARCH("o3",G693)))</formula>
    </cfRule>
    <cfRule type="containsText" dxfId="819" priority="856" operator="containsText" text="o2">
      <formula>NOT(ISERROR(SEARCH("o2",G693)))</formula>
    </cfRule>
    <cfRule type="containsText" dxfId="818" priority="857" operator="containsText" text="o1b">
      <formula>NOT(ISERROR(SEARCH("o1b",G693)))</formula>
    </cfRule>
    <cfRule type="containsText" dxfId="817" priority="858" operator="containsText" text="o1a">
      <formula>NOT(ISERROR(SEARCH("o1a",G693)))</formula>
    </cfRule>
  </conditionalFormatting>
  <conditionalFormatting sqref="F694:G695 F696">
    <cfRule type="containsText" dxfId="816" priority="847" operator="containsText" text="o5">
      <formula>NOT(ISERROR(SEARCH("o5",F694)))</formula>
    </cfRule>
    <cfRule type="containsText" dxfId="815" priority="848" operator="containsText" text="o4">
      <formula>NOT(ISERROR(SEARCH("o4",F694)))</formula>
    </cfRule>
    <cfRule type="containsText" dxfId="814" priority="849" operator="containsText" text="o3">
      <formula>NOT(ISERROR(SEARCH("o3",F694)))</formula>
    </cfRule>
    <cfRule type="containsText" dxfId="813" priority="850" operator="containsText" text="o2">
      <formula>NOT(ISERROR(SEARCH("o2",F694)))</formula>
    </cfRule>
    <cfRule type="containsText" dxfId="812" priority="851" operator="containsText" text="o1b">
      <formula>NOT(ISERROR(SEARCH("o1b",F694)))</formula>
    </cfRule>
    <cfRule type="containsText" dxfId="811" priority="852" operator="containsText" text="o1a">
      <formula>NOT(ISERROR(SEARCH("o1a",F694)))</formula>
    </cfRule>
  </conditionalFormatting>
  <conditionalFormatting sqref="G696">
    <cfRule type="containsText" dxfId="810" priority="841" operator="containsText" text="o5">
      <formula>NOT(ISERROR(SEARCH("o5",G696)))</formula>
    </cfRule>
    <cfRule type="containsText" dxfId="809" priority="842" operator="containsText" text="o4">
      <formula>NOT(ISERROR(SEARCH("o4",G696)))</formula>
    </cfRule>
    <cfRule type="containsText" dxfId="808" priority="843" operator="containsText" text="o3">
      <formula>NOT(ISERROR(SEARCH("o3",G696)))</formula>
    </cfRule>
    <cfRule type="containsText" dxfId="807" priority="844" operator="containsText" text="o2">
      <formula>NOT(ISERROR(SEARCH("o2",G696)))</formula>
    </cfRule>
    <cfRule type="containsText" dxfId="806" priority="845" operator="containsText" text="o1b">
      <formula>NOT(ISERROR(SEARCH("o1b",G696)))</formula>
    </cfRule>
    <cfRule type="containsText" dxfId="805" priority="846" operator="containsText" text="o1a">
      <formula>NOT(ISERROR(SEARCH("o1a",G696)))</formula>
    </cfRule>
  </conditionalFormatting>
  <conditionalFormatting sqref="E699:H699 E700:F700 H700">
    <cfRule type="containsText" dxfId="804" priority="835" operator="containsText" text="o5">
      <formula>NOT(ISERROR(SEARCH("o5",E699)))</formula>
    </cfRule>
    <cfRule type="containsText" dxfId="803" priority="836" operator="containsText" text="o4">
      <formula>NOT(ISERROR(SEARCH("o4",E699)))</formula>
    </cfRule>
    <cfRule type="containsText" dxfId="802" priority="837" operator="containsText" text="o3">
      <formula>NOT(ISERROR(SEARCH("o3",E699)))</formula>
    </cfRule>
    <cfRule type="containsText" dxfId="801" priority="838" operator="containsText" text="o2">
      <formula>NOT(ISERROR(SEARCH("o2",E699)))</formula>
    </cfRule>
    <cfRule type="containsText" dxfId="800" priority="839" operator="containsText" text="o1b">
      <formula>NOT(ISERROR(SEARCH("o1b",E699)))</formula>
    </cfRule>
    <cfRule type="containsText" dxfId="799" priority="840" operator="containsText" text="o1a">
      <formula>NOT(ISERROR(SEARCH("o1a",E699)))</formula>
    </cfRule>
  </conditionalFormatting>
  <conditionalFormatting sqref="E697:F697 H697 E698:H698">
    <cfRule type="containsText" dxfId="798" priority="829" operator="containsText" text="o5">
      <formula>NOT(ISERROR(SEARCH("o5",E697)))</formula>
    </cfRule>
    <cfRule type="containsText" dxfId="797" priority="830" operator="containsText" text="o4">
      <formula>NOT(ISERROR(SEARCH("o4",E697)))</formula>
    </cfRule>
    <cfRule type="containsText" dxfId="796" priority="831" operator="containsText" text="o3">
      <formula>NOT(ISERROR(SEARCH("o3",E697)))</formula>
    </cfRule>
    <cfRule type="containsText" dxfId="795" priority="832" operator="containsText" text="o2">
      <formula>NOT(ISERROR(SEARCH("o2",E697)))</formula>
    </cfRule>
    <cfRule type="containsText" dxfId="794" priority="833" operator="containsText" text="o1b">
      <formula>NOT(ISERROR(SEARCH("o1b",E697)))</formula>
    </cfRule>
    <cfRule type="containsText" dxfId="793" priority="834" operator="containsText" text="o1a">
      <formula>NOT(ISERROR(SEARCH("o1a",E697)))</formula>
    </cfRule>
  </conditionalFormatting>
  <conditionalFormatting sqref="G697">
    <cfRule type="containsText" dxfId="792" priority="823" operator="containsText" text="o5">
      <formula>NOT(ISERROR(SEARCH("o5",G697)))</formula>
    </cfRule>
    <cfRule type="containsText" dxfId="791" priority="824" operator="containsText" text="o4">
      <formula>NOT(ISERROR(SEARCH("o4",G697)))</formula>
    </cfRule>
    <cfRule type="containsText" dxfId="790" priority="825" operator="containsText" text="o3">
      <formula>NOT(ISERROR(SEARCH("o3",G697)))</formula>
    </cfRule>
    <cfRule type="containsText" dxfId="789" priority="826" operator="containsText" text="o2">
      <formula>NOT(ISERROR(SEARCH("o2",G697)))</formula>
    </cfRule>
    <cfRule type="containsText" dxfId="788" priority="827" operator="containsText" text="o1b">
      <formula>NOT(ISERROR(SEARCH("o1b",G697)))</formula>
    </cfRule>
    <cfRule type="containsText" dxfId="787" priority="828" operator="containsText" text="o1a">
      <formula>NOT(ISERROR(SEARCH("o1a",G697)))</formula>
    </cfRule>
  </conditionalFormatting>
  <conditionalFormatting sqref="G700">
    <cfRule type="containsText" dxfId="786" priority="817" operator="containsText" text="o5">
      <formula>NOT(ISERROR(SEARCH("o5",G700)))</formula>
    </cfRule>
    <cfRule type="containsText" dxfId="785" priority="818" operator="containsText" text="o4">
      <formula>NOT(ISERROR(SEARCH("o4",G700)))</formula>
    </cfRule>
    <cfRule type="containsText" dxfId="784" priority="819" operator="containsText" text="o3">
      <formula>NOT(ISERROR(SEARCH("o3",G700)))</formula>
    </cfRule>
    <cfRule type="containsText" dxfId="783" priority="820" operator="containsText" text="o2">
      <formula>NOT(ISERROR(SEARCH("o2",G700)))</formula>
    </cfRule>
    <cfRule type="containsText" dxfId="782" priority="821" operator="containsText" text="o1b">
      <formula>NOT(ISERROR(SEARCH("o1b",G700)))</formula>
    </cfRule>
    <cfRule type="containsText" dxfId="781" priority="822" operator="containsText" text="o1a">
      <formula>NOT(ISERROR(SEARCH("o1a",G700)))</formula>
    </cfRule>
  </conditionalFormatting>
  <conditionalFormatting sqref="E703:H703 E704:F704 H704">
    <cfRule type="containsText" dxfId="780" priority="811" operator="containsText" text="o5">
      <formula>NOT(ISERROR(SEARCH("o5",E703)))</formula>
    </cfRule>
    <cfRule type="containsText" dxfId="779" priority="812" operator="containsText" text="o4">
      <formula>NOT(ISERROR(SEARCH("o4",E703)))</formula>
    </cfRule>
    <cfRule type="containsText" dxfId="778" priority="813" operator="containsText" text="o3">
      <formula>NOT(ISERROR(SEARCH("o3",E703)))</formula>
    </cfRule>
    <cfRule type="containsText" dxfId="777" priority="814" operator="containsText" text="o2">
      <formula>NOT(ISERROR(SEARCH("o2",E703)))</formula>
    </cfRule>
    <cfRule type="containsText" dxfId="776" priority="815" operator="containsText" text="o1b">
      <formula>NOT(ISERROR(SEARCH("o1b",E703)))</formula>
    </cfRule>
    <cfRule type="containsText" dxfId="775" priority="816" operator="containsText" text="o1a">
      <formula>NOT(ISERROR(SEARCH("o1a",E703)))</formula>
    </cfRule>
  </conditionalFormatting>
  <conditionalFormatting sqref="E701:F701 H701 E702:H702">
    <cfRule type="containsText" dxfId="774" priority="805" operator="containsText" text="o5">
      <formula>NOT(ISERROR(SEARCH("o5",E701)))</formula>
    </cfRule>
    <cfRule type="containsText" dxfId="773" priority="806" operator="containsText" text="o4">
      <formula>NOT(ISERROR(SEARCH("o4",E701)))</formula>
    </cfRule>
    <cfRule type="containsText" dxfId="772" priority="807" operator="containsText" text="o3">
      <formula>NOT(ISERROR(SEARCH("o3",E701)))</formula>
    </cfRule>
    <cfRule type="containsText" dxfId="771" priority="808" operator="containsText" text="o2">
      <formula>NOT(ISERROR(SEARCH("o2",E701)))</formula>
    </cfRule>
    <cfRule type="containsText" dxfId="770" priority="809" operator="containsText" text="o1b">
      <formula>NOT(ISERROR(SEARCH("o1b",E701)))</formula>
    </cfRule>
    <cfRule type="containsText" dxfId="769" priority="810" operator="containsText" text="o1a">
      <formula>NOT(ISERROR(SEARCH("o1a",E701)))</formula>
    </cfRule>
  </conditionalFormatting>
  <conditionalFormatting sqref="G701">
    <cfRule type="containsText" dxfId="768" priority="799" operator="containsText" text="o5">
      <formula>NOT(ISERROR(SEARCH("o5",G701)))</formula>
    </cfRule>
    <cfRule type="containsText" dxfId="767" priority="800" operator="containsText" text="o4">
      <formula>NOT(ISERROR(SEARCH("o4",G701)))</formula>
    </cfRule>
    <cfRule type="containsText" dxfId="766" priority="801" operator="containsText" text="o3">
      <formula>NOT(ISERROR(SEARCH("o3",G701)))</formula>
    </cfRule>
    <cfRule type="containsText" dxfId="765" priority="802" operator="containsText" text="o2">
      <formula>NOT(ISERROR(SEARCH("o2",G701)))</formula>
    </cfRule>
    <cfRule type="containsText" dxfId="764" priority="803" operator="containsText" text="o1b">
      <formula>NOT(ISERROR(SEARCH("o1b",G701)))</formula>
    </cfRule>
    <cfRule type="containsText" dxfId="763" priority="804" operator="containsText" text="o1a">
      <formula>NOT(ISERROR(SEARCH("o1a",G701)))</formula>
    </cfRule>
  </conditionalFormatting>
  <conditionalFormatting sqref="G704">
    <cfRule type="containsText" dxfId="762" priority="793" operator="containsText" text="o5">
      <formula>NOT(ISERROR(SEARCH("o5",G704)))</formula>
    </cfRule>
    <cfRule type="containsText" dxfId="761" priority="794" operator="containsText" text="o4">
      <formula>NOT(ISERROR(SEARCH("o4",G704)))</formula>
    </cfRule>
    <cfRule type="containsText" dxfId="760" priority="795" operator="containsText" text="o3">
      <formula>NOT(ISERROR(SEARCH("o3",G704)))</formula>
    </cfRule>
    <cfRule type="containsText" dxfId="759" priority="796" operator="containsText" text="o2">
      <formula>NOT(ISERROR(SEARCH("o2",G704)))</formula>
    </cfRule>
    <cfRule type="containsText" dxfId="758" priority="797" operator="containsText" text="o1b">
      <formula>NOT(ISERROR(SEARCH("o1b",G704)))</formula>
    </cfRule>
    <cfRule type="containsText" dxfId="757" priority="798" operator="containsText" text="o1a">
      <formula>NOT(ISERROR(SEARCH("o1a",G704)))</formula>
    </cfRule>
  </conditionalFormatting>
  <conditionalFormatting sqref="E708:H709 E710:F710 H710">
    <cfRule type="containsText" dxfId="756" priority="787" operator="containsText" text="o5">
      <formula>NOT(ISERROR(SEARCH("o5",E708)))</formula>
    </cfRule>
    <cfRule type="containsText" dxfId="755" priority="788" operator="containsText" text="o4">
      <formula>NOT(ISERROR(SEARCH("o4",E708)))</formula>
    </cfRule>
    <cfRule type="containsText" dxfId="754" priority="789" operator="containsText" text="o3">
      <formula>NOT(ISERROR(SEARCH("o3",E708)))</formula>
    </cfRule>
    <cfRule type="containsText" dxfId="753" priority="790" operator="containsText" text="o2">
      <formula>NOT(ISERROR(SEARCH("o2",E708)))</formula>
    </cfRule>
    <cfRule type="containsText" dxfId="752" priority="791" operator="containsText" text="o1b">
      <formula>NOT(ISERROR(SEARCH("o1b",E708)))</formula>
    </cfRule>
    <cfRule type="containsText" dxfId="751" priority="792" operator="containsText" text="o1a">
      <formula>NOT(ISERROR(SEARCH("o1a",E708)))</formula>
    </cfRule>
  </conditionalFormatting>
  <conditionalFormatting sqref="E705:F705 H705 E706:H707">
    <cfRule type="containsText" dxfId="750" priority="781" operator="containsText" text="o5">
      <formula>NOT(ISERROR(SEARCH("o5",E705)))</formula>
    </cfRule>
    <cfRule type="containsText" dxfId="749" priority="782" operator="containsText" text="o4">
      <formula>NOT(ISERROR(SEARCH("o4",E705)))</formula>
    </cfRule>
    <cfRule type="containsText" dxfId="748" priority="783" operator="containsText" text="o3">
      <formula>NOT(ISERROR(SEARCH("o3",E705)))</formula>
    </cfRule>
    <cfRule type="containsText" dxfId="747" priority="784" operator="containsText" text="o2">
      <formula>NOT(ISERROR(SEARCH("o2",E705)))</formula>
    </cfRule>
    <cfRule type="containsText" dxfId="746" priority="785" operator="containsText" text="o1b">
      <formula>NOT(ISERROR(SEARCH("o1b",E705)))</formula>
    </cfRule>
    <cfRule type="containsText" dxfId="745" priority="786" operator="containsText" text="o1a">
      <formula>NOT(ISERROR(SEARCH("o1a",E705)))</formula>
    </cfRule>
  </conditionalFormatting>
  <conditionalFormatting sqref="G705">
    <cfRule type="containsText" dxfId="744" priority="775" operator="containsText" text="o5">
      <formula>NOT(ISERROR(SEARCH("o5",G705)))</formula>
    </cfRule>
    <cfRule type="containsText" dxfId="743" priority="776" operator="containsText" text="o4">
      <formula>NOT(ISERROR(SEARCH("o4",G705)))</formula>
    </cfRule>
    <cfRule type="containsText" dxfId="742" priority="777" operator="containsText" text="o3">
      <formula>NOT(ISERROR(SEARCH("o3",G705)))</formula>
    </cfRule>
    <cfRule type="containsText" dxfId="741" priority="778" operator="containsText" text="o2">
      <formula>NOT(ISERROR(SEARCH("o2",G705)))</formula>
    </cfRule>
    <cfRule type="containsText" dxfId="740" priority="779" operator="containsText" text="o1b">
      <formula>NOT(ISERROR(SEARCH("o1b",G705)))</formula>
    </cfRule>
    <cfRule type="containsText" dxfId="739" priority="780" operator="containsText" text="o1a">
      <formula>NOT(ISERROR(SEARCH("o1a",G705)))</formula>
    </cfRule>
  </conditionalFormatting>
  <conditionalFormatting sqref="G710">
    <cfRule type="containsText" dxfId="738" priority="769" operator="containsText" text="o5">
      <formula>NOT(ISERROR(SEARCH("o5",G710)))</formula>
    </cfRule>
    <cfRule type="containsText" dxfId="737" priority="770" operator="containsText" text="o4">
      <formula>NOT(ISERROR(SEARCH("o4",G710)))</formula>
    </cfRule>
    <cfRule type="containsText" dxfId="736" priority="771" operator="containsText" text="o3">
      <formula>NOT(ISERROR(SEARCH("o3",G710)))</formula>
    </cfRule>
    <cfRule type="containsText" dxfId="735" priority="772" operator="containsText" text="o2">
      <formula>NOT(ISERROR(SEARCH("o2",G710)))</formula>
    </cfRule>
    <cfRule type="containsText" dxfId="734" priority="773" operator="containsText" text="o1b">
      <formula>NOT(ISERROR(SEARCH("o1b",G710)))</formula>
    </cfRule>
    <cfRule type="containsText" dxfId="733" priority="774" operator="containsText" text="o1a">
      <formula>NOT(ISERROR(SEARCH("o1a",G710)))</formula>
    </cfRule>
  </conditionalFormatting>
  <conditionalFormatting sqref="H711:H712">
    <cfRule type="containsText" dxfId="732" priority="763" operator="containsText" text="o5">
      <formula>NOT(ISERROR(SEARCH("o5",H711)))</formula>
    </cfRule>
    <cfRule type="containsText" dxfId="731" priority="764" operator="containsText" text="o4">
      <formula>NOT(ISERROR(SEARCH("o4",H711)))</formula>
    </cfRule>
    <cfRule type="containsText" dxfId="730" priority="765" operator="containsText" text="o3">
      <formula>NOT(ISERROR(SEARCH("o3",H711)))</formula>
    </cfRule>
    <cfRule type="containsText" dxfId="729" priority="766" operator="containsText" text="o2">
      <formula>NOT(ISERROR(SEARCH("o2",H711)))</formula>
    </cfRule>
    <cfRule type="containsText" dxfId="728" priority="767" operator="containsText" text="o1b">
      <formula>NOT(ISERROR(SEARCH("o1b",H711)))</formula>
    </cfRule>
    <cfRule type="containsText" dxfId="727" priority="768" operator="containsText" text="o1a">
      <formula>NOT(ISERROR(SEARCH("o1a",H711)))</formula>
    </cfRule>
  </conditionalFormatting>
  <conditionalFormatting sqref="F711:G711 F712">
    <cfRule type="containsText" dxfId="726" priority="757" operator="containsText" text="o5">
      <formula>NOT(ISERROR(SEARCH("o5",F711)))</formula>
    </cfRule>
    <cfRule type="containsText" dxfId="725" priority="758" operator="containsText" text="o4">
      <formula>NOT(ISERROR(SEARCH("o4",F711)))</formula>
    </cfRule>
    <cfRule type="containsText" dxfId="724" priority="759" operator="containsText" text="o3">
      <formula>NOT(ISERROR(SEARCH("o3",F711)))</formula>
    </cfRule>
    <cfRule type="containsText" dxfId="723" priority="760" operator="containsText" text="o2">
      <formula>NOT(ISERROR(SEARCH("o2",F711)))</formula>
    </cfRule>
    <cfRule type="containsText" dxfId="722" priority="761" operator="containsText" text="o1b">
      <formula>NOT(ISERROR(SEARCH("o1b",F711)))</formula>
    </cfRule>
    <cfRule type="containsText" dxfId="721" priority="762" operator="containsText" text="o1a">
      <formula>NOT(ISERROR(SEARCH("o1a",F711)))</formula>
    </cfRule>
  </conditionalFormatting>
  <conditionalFormatting sqref="E723:E724 E729:E730 E735:E736 E741:E742 E747:E748 E753:E754 E759:E760">
    <cfRule type="containsText" dxfId="720" priority="745" operator="containsText" text="o5">
      <formula>NOT(ISERROR(SEARCH("o5",E723)))</formula>
    </cfRule>
    <cfRule type="containsText" dxfId="719" priority="746" operator="containsText" text="o4">
      <formula>NOT(ISERROR(SEARCH("o4",E723)))</formula>
    </cfRule>
    <cfRule type="containsText" dxfId="718" priority="747" operator="containsText" text="o3">
      <formula>NOT(ISERROR(SEARCH("o3",E723)))</formula>
    </cfRule>
    <cfRule type="containsText" dxfId="717" priority="748" operator="containsText" text="o2">
      <formula>NOT(ISERROR(SEARCH("o2",E723)))</formula>
    </cfRule>
    <cfRule type="containsText" dxfId="716" priority="749" operator="containsText" text="o1b">
      <formula>NOT(ISERROR(SEARCH("o1b",E723)))</formula>
    </cfRule>
    <cfRule type="containsText" dxfId="715" priority="750" operator="containsText" text="o1a">
      <formula>NOT(ISERROR(SEARCH("o1a",E723)))</formula>
    </cfRule>
  </conditionalFormatting>
  <conditionalFormatting sqref="E713:F713 H713 E714:H714 E715:E716 H715:H716">
    <cfRule type="containsText" dxfId="714" priority="739" operator="containsText" text="o5">
      <formula>NOT(ISERROR(SEARCH("o5",E713)))</formula>
    </cfRule>
    <cfRule type="containsText" dxfId="713" priority="740" operator="containsText" text="o4">
      <formula>NOT(ISERROR(SEARCH("o4",E713)))</formula>
    </cfRule>
    <cfRule type="containsText" dxfId="712" priority="741" operator="containsText" text="o3">
      <formula>NOT(ISERROR(SEARCH("o3",E713)))</formula>
    </cfRule>
    <cfRule type="containsText" dxfId="711" priority="742" operator="containsText" text="o2">
      <formula>NOT(ISERROR(SEARCH("o2",E713)))</formula>
    </cfRule>
    <cfRule type="containsText" dxfId="710" priority="743" operator="containsText" text="o1b">
      <formula>NOT(ISERROR(SEARCH("o1b",E713)))</formula>
    </cfRule>
    <cfRule type="containsText" dxfId="709" priority="744" operator="containsText" text="o1a">
      <formula>NOT(ISERROR(SEARCH("o1a",E713)))</formula>
    </cfRule>
  </conditionalFormatting>
  <conditionalFormatting sqref="G713">
    <cfRule type="containsText" dxfId="708" priority="733" operator="containsText" text="o5">
      <formula>NOT(ISERROR(SEARCH("o5",G713)))</formula>
    </cfRule>
    <cfRule type="containsText" dxfId="707" priority="734" operator="containsText" text="o4">
      <formula>NOT(ISERROR(SEARCH("o4",G713)))</formula>
    </cfRule>
    <cfRule type="containsText" dxfId="706" priority="735" operator="containsText" text="o3">
      <formula>NOT(ISERROR(SEARCH("o3",G713)))</formula>
    </cfRule>
    <cfRule type="containsText" dxfId="705" priority="736" operator="containsText" text="o2">
      <formula>NOT(ISERROR(SEARCH("o2",G713)))</formula>
    </cfRule>
    <cfRule type="containsText" dxfId="704" priority="737" operator="containsText" text="o1b">
      <formula>NOT(ISERROR(SEARCH("o1b",G713)))</formula>
    </cfRule>
    <cfRule type="containsText" dxfId="703" priority="738" operator="containsText" text="o1a">
      <formula>NOT(ISERROR(SEARCH("o1a",G713)))</formula>
    </cfRule>
  </conditionalFormatting>
  <conditionalFormatting sqref="F715:G715 F716">
    <cfRule type="containsText" dxfId="702" priority="727" operator="containsText" text="o5">
      <formula>NOT(ISERROR(SEARCH("o5",F715)))</formula>
    </cfRule>
    <cfRule type="containsText" dxfId="701" priority="728" operator="containsText" text="o4">
      <formula>NOT(ISERROR(SEARCH("o4",F715)))</formula>
    </cfRule>
    <cfRule type="containsText" dxfId="700" priority="729" operator="containsText" text="o3">
      <formula>NOT(ISERROR(SEARCH("o3",F715)))</formula>
    </cfRule>
    <cfRule type="containsText" dxfId="699" priority="730" operator="containsText" text="o2">
      <formula>NOT(ISERROR(SEARCH("o2",F715)))</formula>
    </cfRule>
    <cfRule type="containsText" dxfId="698" priority="731" operator="containsText" text="o1b">
      <formula>NOT(ISERROR(SEARCH("o1b",F715)))</formula>
    </cfRule>
    <cfRule type="containsText" dxfId="697" priority="732" operator="containsText" text="o1a">
      <formula>NOT(ISERROR(SEARCH("o1a",F715)))</formula>
    </cfRule>
  </conditionalFormatting>
  <conditionalFormatting sqref="G716">
    <cfRule type="containsText" dxfId="696" priority="721" operator="containsText" text="o5">
      <formula>NOT(ISERROR(SEARCH("o5",G716)))</formula>
    </cfRule>
    <cfRule type="containsText" dxfId="695" priority="722" operator="containsText" text="o4">
      <formula>NOT(ISERROR(SEARCH("o4",G716)))</formula>
    </cfRule>
    <cfRule type="containsText" dxfId="694" priority="723" operator="containsText" text="o3">
      <formula>NOT(ISERROR(SEARCH("o3",G716)))</formula>
    </cfRule>
    <cfRule type="containsText" dxfId="693" priority="724" operator="containsText" text="o2">
      <formula>NOT(ISERROR(SEARCH("o2",G716)))</formula>
    </cfRule>
    <cfRule type="containsText" dxfId="692" priority="725" operator="containsText" text="o1b">
      <formula>NOT(ISERROR(SEARCH("o1b",G716)))</formula>
    </cfRule>
    <cfRule type="containsText" dxfId="691" priority="726" operator="containsText" text="o1a">
      <formula>NOT(ISERROR(SEARCH("o1a",G716)))</formula>
    </cfRule>
  </conditionalFormatting>
  <conditionalFormatting sqref="G718">
    <cfRule type="containsText" dxfId="690" priority="703" operator="containsText" text="o5">
      <formula>NOT(ISERROR(SEARCH("o5",G718)))</formula>
    </cfRule>
    <cfRule type="containsText" dxfId="689" priority="704" operator="containsText" text="o4">
      <formula>NOT(ISERROR(SEARCH("o4",G718)))</formula>
    </cfRule>
    <cfRule type="containsText" dxfId="688" priority="705" operator="containsText" text="o3">
      <formula>NOT(ISERROR(SEARCH("o3",G718)))</formula>
    </cfRule>
    <cfRule type="containsText" dxfId="687" priority="706" operator="containsText" text="o2">
      <formula>NOT(ISERROR(SEARCH("o2",G718)))</formula>
    </cfRule>
    <cfRule type="containsText" dxfId="686" priority="707" operator="containsText" text="o1b">
      <formula>NOT(ISERROR(SEARCH("o1b",G718)))</formula>
    </cfRule>
    <cfRule type="containsText" dxfId="685" priority="708" operator="containsText" text="o1a">
      <formula>NOT(ISERROR(SEARCH("o1a",G718)))</formula>
    </cfRule>
  </conditionalFormatting>
  <conditionalFormatting sqref="H717:H718">
    <cfRule type="containsText" dxfId="684" priority="715" operator="containsText" text="o5">
      <formula>NOT(ISERROR(SEARCH("o5",H717)))</formula>
    </cfRule>
    <cfRule type="containsText" dxfId="683" priority="716" operator="containsText" text="o4">
      <formula>NOT(ISERROR(SEARCH("o4",H717)))</formula>
    </cfRule>
    <cfRule type="containsText" dxfId="682" priority="717" operator="containsText" text="o3">
      <formula>NOT(ISERROR(SEARCH("o3",H717)))</formula>
    </cfRule>
    <cfRule type="containsText" dxfId="681" priority="718" operator="containsText" text="o2">
      <formula>NOT(ISERROR(SEARCH("o2",H717)))</formula>
    </cfRule>
    <cfRule type="containsText" dxfId="680" priority="719" operator="containsText" text="o1b">
      <formula>NOT(ISERROR(SEARCH("o1b",H717)))</formula>
    </cfRule>
    <cfRule type="containsText" dxfId="679" priority="720" operator="containsText" text="o1a">
      <formula>NOT(ISERROR(SEARCH("o1a",H717)))</formula>
    </cfRule>
  </conditionalFormatting>
  <conditionalFormatting sqref="F717:G717 F718">
    <cfRule type="containsText" dxfId="678" priority="709" operator="containsText" text="o5">
      <formula>NOT(ISERROR(SEARCH("o5",F717)))</formula>
    </cfRule>
    <cfRule type="containsText" dxfId="677" priority="710" operator="containsText" text="o4">
      <formula>NOT(ISERROR(SEARCH("o4",F717)))</formula>
    </cfRule>
    <cfRule type="containsText" dxfId="676" priority="711" operator="containsText" text="o3">
      <formula>NOT(ISERROR(SEARCH("o3",F717)))</formula>
    </cfRule>
    <cfRule type="containsText" dxfId="675" priority="712" operator="containsText" text="o2">
      <formula>NOT(ISERROR(SEARCH("o2",F717)))</formula>
    </cfRule>
    <cfRule type="containsText" dxfId="674" priority="713" operator="containsText" text="o1b">
      <formula>NOT(ISERROR(SEARCH("o1b",F717)))</formula>
    </cfRule>
    <cfRule type="containsText" dxfId="673" priority="714" operator="containsText" text="o1a">
      <formula>NOT(ISERROR(SEARCH("o1a",F717)))</formula>
    </cfRule>
  </conditionalFormatting>
  <conditionalFormatting sqref="E719:F719 H719 E720:H720 E721:E722 H721:H722">
    <cfRule type="containsText" dxfId="672" priority="697" operator="containsText" text="o5">
      <formula>NOT(ISERROR(SEARCH("o5",E719)))</formula>
    </cfRule>
    <cfRule type="containsText" dxfId="671" priority="698" operator="containsText" text="o4">
      <formula>NOT(ISERROR(SEARCH("o4",E719)))</formula>
    </cfRule>
    <cfRule type="containsText" dxfId="670" priority="699" operator="containsText" text="o3">
      <formula>NOT(ISERROR(SEARCH("o3",E719)))</formula>
    </cfRule>
    <cfRule type="containsText" dxfId="669" priority="700" operator="containsText" text="o2">
      <formula>NOT(ISERROR(SEARCH("o2",E719)))</formula>
    </cfRule>
    <cfRule type="containsText" dxfId="668" priority="701" operator="containsText" text="o1b">
      <formula>NOT(ISERROR(SEARCH("o1b",E719)))</formula>
    </cfRule>
    <cfRule type="containsText" dxfId="667" priority="702" operator="containsText" text="o1a">
      <formula>NOT(ISERROR(SEARCH("o1a",E719)))</formula>
    </cfRule>
  </conditionalFormatting>
  <conditionalFormatting sqref="G719">
    <cfRule type="containsText" dxfId="666" priority="691" operator="containsText" text="o5">
      <formula>NOT(ISERROR(SEARCH("o5",G719)))</formula>
    </cfRule>
    <cfRule type="containsText" dxfId="665" priority="692" operator="containsText" text="o4">
      <formula>NOT(ISERROR(SEARCH("o4",G719)))</formula>
    </cfRule>
    <cfRule type="containsText" dxfId="664" priority="693" operator="containsText" text="o3">
      <formula>NOT(ISERROR(SEARCH("o3",G719)))</formula>
    </cfRule>
    <cfRule type="containsText" dxfId="663" priority="694" operator="containsText" text="o2">
      <formula>NOT(ISERROR(SEARCH("o2",G719)))</formula>
    </cfRule>
    <cfRule type="containsText" dxfId="662" priority="695" operator="containsText" text="o1b">
      <formula>NOT(ISERROR(SEARCH("o1b",G719)))</formula>
    </cfRule>
    <cfRule type="containsText" dxfId="661" priority="696" operator="containsText" text="o1a">
      <formula>NOT(ISERROR(SEARCH("o1a",G719)))</formula>
    </cfRule>
  </conditionalFormatting>
  <conditionalFormatting sqref="F721:G721 F722">
    <cfRule type="containsText" dxfId="660" priority="685" operator="containsText" text="o5">
      <formula>NOT(ISERROR(SEARCH("o5",F721)))</formula>
    </cfRule>
    <cfRule type="containsText" dxfId="659" priority="686" operator="containsText" text="o4">
      <formula>NOT(ISERROR(SEARCH("o4",F721)))</formula>
    </cfRule>
    <cfRule type="containsText" dxfId="658" priority="687" operator="containsText" text="o3">
      <formula>NOT(ISERROR(SEARCH("o3",F721)))</formula>
    </cfRule>
    <cfRule type="containsText" dxfId="657" priority="688" operator="containsText" text="o2">
      <formula>NOT(ISERROR(SEARCH("o2",F721)))</formula>
    </cfRule>
    <cfRule type="containsText" dxfId="656" priority="689" operator="containsText" text="o1b">
      <formula>NOT(ISERROR(SEARCH("o1b",F721)))</formula>
    </cfRule>
    <cfRule type="containsText" dxfId="655" priority="690" operator="containsText" text="o1a">
      <formula>NOT(ISERROR(SEARCH("o1a",F721)))</formula>
    </cfRule>
  </conditionalFormatting>
  <conditionalFormatting sqref="G722">
    <cfRule type="containsText" dxfId="654" priority="679" operator="containsText" text="o5">
      <formula>NOT(ISERROR(SEARCH("o5",G722)))</formula>
    </cfRule>
    <cfRule type="containsText" dxfId="653" priority="680" operator="containsText" text="o4">
      <formula>NOT(ISERROR(SEARCH("o4",G722)))</formula>
    </cfRule>
    <cfRule type="containsText" dxfId="652" priority="681" operator="containsText" text="o3">
      <formula>NOT(ISERROR(SEARCH("o3",G722)))</formula>
    </cfRule>
    <cfRule type="containsText" dxfId="651" priority="682" operator="containsText" text="o2">
      <formula>NOT(ISERROR(SEARCH("o2",G722)))</formula>
    </cfRule>
    <cfRule type="containsText" dxfId="650" priority="683" operator="containsText" text="o1b">
      <formula>NOT(ISERROR(SEARCH("o1b",G722)))</formula>
    </cfRule>
    <cfRule type="containsText" dxfId="649" priority="684" operator="containsText" text="o1a">
      <formula>NOT(ISERROR(SEARCH("o1a",G722)))</formula>
    </cfRule>
  </conditionalFormatting>
  <conditionalFormatting sqref="G724">
    <cfRule type="containsText" dxfId="648" priority="661" operator="containsText" text="o5">
      <formula>NOT(ISERROR(SEARCH("o5",G724)))</formula>
    </cfRule>
    <cfRule type="containsText" dxfId="647" priority="662" operator="containsText" text="o4">
      <formula>NOT(ISERROR(SEARCH("o4",G724)))</formula>
    </cfRule>
    <cfRule type="containsText" dxfId="646" priority="663" operator="containsText" text="o3">
      <formula>NOT(ISERROR(SEARCH("o3",G724)))</formula>
    </cfRule>
    <cfRule type="containsText" dxfId="645" priority="664" operator="containsText" text="o2">
      <formula>NOT(ISERROR(SEARCH("o2",G724)))</formula>
    </cfRule>
    <cfRule type="containsText" dxfId="644" priority="665" operator="containsText" text="o1b">
      <formula>NOT(ISERROR(SEARCH("o1b",G724)))</formula>
    </cfRule>
    <cfRule type="containsText" dxfId="643" priority="666" operator="containsText" text="o1a">
      <formula>NOT(ISERROR(SEARCH("o1a",G724)))</formula>
    </cfRule>
  </conditionalFormatting>
  <conditionalFormatting sqref="H723:H724">
    <cfRule type="containsText" dxfId="642" priority="673" operator="containsText" text="o5">
      <formula>NOT(ISERROR(SEARCH("o5",H723)))</formula>
    </cfRule>
    <cfRule type="containsText" dxfId="641" priority="674" operator="containsText" text="o4">
      <formula>NOT(ISERROR(SEARCH("o4",H723)))</formula>
    </cfRule>
    <cfRule type="containsText" dxfId="640" priority="675" operator="containsText" text="o3">
      <formula>NOT(ISERROR(SEARCH("o3",H723)))</formula>
    </cfRule>
    <cfRule type="containsText" dxfId="639" priority="676" operator="containsText" text="o2">
      <formula>NOT(ISERROR(SEARCH("o2",H723)))</formula>
    </cfRule>
    <cfRule type="containsText" dxfId="638" priority="677" operator="containsText" text="o1b">
      <formula>NOT(ISERROR(SEARCH("o1b",H723)))</formula>
    </cfRule>
    <cfRule type="containsText" dxfId="637" priority="678" operator="containsText" text="o1a">
      <formula>NOT(ISERROR(SEARCH("o1a",H723)))</formula>
    </cfRule>
  </conditionalFormatting>
  <conditionalFormatting sqref="F723:G723 F724">
    <cfRule type="containsText" dxfId="636" priority="667" operator="containsText" text="o5">
      <formula>NOT(ISERROR(SEARCH("o5",F723)))</formula>
    </cfRule>
    <cfRule type="containsText" dxfId="635" priority="668" operator="containsText" text="o4">
      <formula>NOT(ISERROR(SEARCH("o4",F723)))</formula>
    </cfRule>
    <cfRule type="containsText" dxfId="634" priority="669" operator="containsText" text="o3">
      <formula>NOT(ISERROR(SEARCH("o3",F723)))</formula>
    </cfRule>
    <cfRule type="containsText" dxfId="633" priority="670" operator="containsText" text="o2">
      <formula>NOT(ISERROR(SEARCH("o2",F723)))</formula>
    </cfRule>
    <cfRule type="containsText" dxfId="632" priority="671" operator="containsText" text="o1b">
      <formula>NOT(ISERROR(SEARCH("o1b",F723)))</formula>
    </cfRule>
    <cfRule type="containsText" dxfId="631" priority="672" operator="containsText" text="o1a">
      <formula>NOT(ISERROR(SEARCH("o1a",F723)))</formula>
    </cfRule>
  </conditionalFormatting>
  <conditionalFormatting sqref="E725:F725 H725 E726:H726 E727:E728 H727:H728">
    <cfRule type="containsText" dxfId="630" priority="655" operator="containsText" text="o5">
      <formula>NOT(ISERROR(SEARCH("o5",E725)))</formula>
    </cfRule>
    <cfRule type="containsText" dxfId="629" priority="656" operator="containsText" text="o4">
      <formula>NOT(ISERROR(SEARCH("o4",E725)))</formula>
    </cfRule>
    <cfRule type="containsText" dxfId="628" priority="657" operator="containsText" text="o3">
      <formula>NOT(ISERROR(SEARCH("o3",E725)))</formula>
    </cfRule>
    <cfRule type="containsText" dxfId="627" priority="658" operator="containsText" text="o2">
      <formula>NOT(ISERROR(SEARCH("o2",E725)))</formula>
    </cfRule>
    <cfRule type="containsText" dxfId="626" priority="659" operator="containsText" text="o1b">
      <formula>NOT(ISERROR(SEARCH("o1b",E725)))</formula>
    </cfRule>
    <cfRule type="containsText" dxfId="625" priority="660" operator="containsText" text="o1a">
      <formula>NOT(ISERROR(SEARCH("o1a",E725)))</formula>
    </cfRule>
  </conditionalFormatting>
  <conditionalFormatting sqref="G725">
    <cfRule type="containsText" dxfId="624" priority="649" operator="containsText" text="o5">
      <formula>NOT(ISERROR(SEARCH("o5",G725)))</formula>
    </cfRule>
    <cfRule type="containsText" dxfId="623" priority="650" operator="containsText" text="o4">
      <formula>NOT(ISERROR(SEARCH("o4",G725)))</formula>
    </cfRule>
    <cfRule type="containsText" dxfId="622" priority="651" operator="containsText" text="o3">
      <formula>NOT(ISERROR(SEARCH("o3",G725)))</formula>
    </cfRule>
    <cfRule type="containsText" dxfId="621" priority="652" operator="containsText" text="o2">
      <formula>NOT(ISERROR(SEARCH("o2",G725)))</formula>
    </cfRule>
    <cfRule type="containsText" dxfId="620" priority="653" operator="containsText" text="o1b">
      <formula>NOT(ISERROR(SEARCH("o1b",G725)))</formula>
    </cfRule>
    <cfRule type="containsText" dxfId="619" priority="654" operator="containsText" text="o1a">
      <formula>NOT(ISERROR(SEARCH("o1a",G725)))</formula>
    </cfRule>
  </conditionalFormatting>
  <conditionalFormatting sqref="F727:G727 F728">
    <cfRule type="containsText" dxfId="618" priority="643" operator="containsText" text="o5">
      <formula>NOT(ISERROR(SEARCH("o5",F727)))</formula>
    </cfRule>
    <cfRule type="containsText" dxfId="617" priority="644" operator="containsText" text="o4">
      <formula>NOT(ISERROR(SEARCH("o4",F727)))</formula>
    </cfRule>
    <cfRule type="containsText" dxfId="616" priority="645" operator="containsText" text="o3">
      <formula>NOT(ISERROR(SEARCH("o3",F727)))</formula>
    </cfRule>
    <cfRule type="containsText" dxfId="615" priority="646" operator="containsText" text="o2">
      <formula>NOT(ISERROR(SEARCH("o2",F727)))</formula>
    </cfRule>
    <cfRule type="containsText" dxfId="614" priority="647" operator="containsText" text="o1b">
      <formula>NOT(ISERROR(SEARCH("o1b",F727)))</formula>
    </cfRule>
    <cfRule type="containsText" dxfId="613" priority="648" operator="containsText" text="o1a">
      <formula>NOT(ISERROR(SEARCH("o1a",F727)))</formula>
    </cfRule>
  </conditionalFormatting>
  <conditionalFormatting sqref="G728">
    <cfRule type="containsText" dxfId="612" priority="637" operator="containsText" text="o5">
      <formula>NOT(ISERROR(SEARCH("o5",G728)))</formula>
    </cfRule>
    <cfRule type="containsText" dxfId="611" priority="638" operator="containsText" text="o4">
      <formula>NOT(ISERROR(SEARCH("o4",G728)))</formula>
    </cfRule>
    <cfRule type="containsText" dxfId="610" priority="639" operator="containsText" text="o3">
      <formula>NOT(ISERROR(SEARCH("o3",G728)))</formula>
    </cfRule>
    <cfRule type="containsText" dxfId="609" priority="640" operator="containsText" text="o2">
      <formula>NOT(ISERROR(SEARCH("o2",G728)))</formula>
    </cfRule>
    <cfRule type="containsText" dxfId="608" priority="641" operator="containsText" text="o1b">
      <formula>NOT(ISERROR(SEARCH("o1b",G728)))</formula>
    </cfRule>
    <cfRule type="containsText" dxfId="607" priority="642" operator="containsText" text="o1a">
      <formula>NOT(ISERROR(SEARCH("o1a",G728)))</formula>
    </cfRule>
  </conditionalFormatting>
  <conditionalFormatting sqref="G730">
    <cfRule type="containsText" dxfId="606" priority="619" operator="containsText" text="o5">
      <formula>NOT(ISERROR(SEARCH("o5",G730)))</formula>
    </cfRule>
    <cfRule type="containsText" dxfId="605" priority="620" operator="containsText" text="o4">
      <formula>NOT(ISERROR(SEARCH("o4",G730)))</formula>
    </cfRule>
    <cfRule type="containsText" dxfId="604" priority="621" operator="containsText" text="o3">
      <formula>NOT(ISERROR(SEARCH("o3",G730)))</formula>
    </cfRule>
    <cfRule type="containsText" dxfId="603" priority="622" operator="containsText" text="o2">
      <formula>NOT(ISERROR(SEARCH("o2",G730)))</formula>
    </cfRule>
    <cfRule type="containsText" dxfId="602" priority="623" operator="containsText" text="o1b">
      <formula>NOT(ISERROR(SEARCH("o1b",G730)))</formula>
    </cfRule>
    <cfRule type="containsText" dxfId="601" priority="624" operator="containsText" text="o1a">
      <formula>NOT(ISERROR(SEARCH("o1a",G730)))</formula>
    </cfRule>
  </conditionalFormatting>
  <conditionalFormatting sqref="H729:H730">
    <cfRule type="containsText" dxfId="600" priority="631" operator="containsText" text="o5">
      <formula>NOT(ISERROR(SEARCH("o5",H729)))</formula>
    </cfRule>
    <cfRule type="containsText" dxfId="599" priority="632" operator="containsText" text="o4">
      <formula>NOT(ISERROR(SEARCH("o4",H729)))</formula>
    </cfRule>
    <cfRule type="containsText" dxfId="598" priority="633" operator="containsText" text="o3">
      <formula>NOT(ISERROR(SEARCH("o3",H729)))</formula>
    </cfRule>
    <cfRule type="containsText" dxfId="597" priority="634" operator="containsText" text="o2">
      <formula>NOT(ISERROR(SEARCH("o2",H729)))</formula>
    </cfRule>
    <cfRule type="containsText" dxfId="596" priority="635" operator="containsText" text="o1b">
      <formula>NOT(ISERROR(SEARCH("o1b",H729)))</formula>
    </cfRule>
    <cfRule type="containsText" dxfId="595" priority="636" operator="containsText" text="o1a">
      <formula>NOT(ISERROR(SEARCH("o1a",H729)))</formula>
    </cfRule>
  </conditionalFormatting>
  <conditionalFormatting sqref="F729:G729 F730">
    <cfRule type="containsText" dxfId="594" priority="625" operator="containsText" text="o5">
      <formula>NOT(ISERROR(SEARCH("o5",F729)))</formula>
    </cfRule>
    <cfRule type="containsText" dxfId="593" priority="626" operator="containsText" text="o4">
      <formula>NOT(ISERROR(SEARCH("o4",F729)))</formula>
    </cfRule>
    <cfRule type="containsText" dxfId="592" priority="627" operator="containsText" text="o3">
      <formula>NOT(ISERROR(SEARCH("o3",F729)))</formula>
    </cfRule>
    <cfRule type="containsText" dxfId="591" priority="628" operator="containsText" text="o2">
      <formula>NOT(ISERROR(SEARCH("o2",F729)))</formula>
    </cfRule>
    <cfRule type="containsText" dxfId="590" priority="629" operator="containsText" text="o1b">
      <formula>NOT(ISERROR(SEARCH("o1b",F729)))</formula>
    </cfRule>
    <cfRule type="containsText" dxfId="589" priority="630" operator="containsText" text="o1a">
      <formula>NOT(ISERROR(SEARCH("o1a",F729)))</formula>
    </cfRule>
  </conditionalFormatting>
  <conditionalFormatting sqref="E731:F731 H731 E732:H732 E733:E734 H733:H734">
    <cfRule type="containsText" dxfId="588" priority="613" operator="containsText" text="o5">
      <formula>NOT(ISERROR(SEARCH("o5",E731)))</formula>
    </cfRule>
    <cfRule type="containsText" dxfId="587" priority="614" operator="containsText" text="o4">
      <formula>NOT(ISERROR(SEARCH("o4",E731)))</formula>
    </cfRule>
    <cfRule type="containsText" dxfId="586" priority="615" operator="containsText" text="o3">
      <formula>NOT(ISERROR(SEARCH("o3",E731)))</formula>
    </cfRule>
    <cfRule type="containsText" dxfId="585" priority="616" operator="containsText" text="o2">
      <formula>NOT(ISERROR(SEARCH("o2",E731)))</formula>
    </cfRule>
    <cfRule type="containsText" dxfId="584" priority="617" operator="containsText" text="o1b">
      <formula>NOT(ISERROR(SEARCH("o1b",E731)))</formula>
    </cfRule>
    <cfRule type="containsText" dxfId="583" priority="618" operator="containsText" text="o1a">
      <formula>NOT(ISERROR(SEARCH("o1a",E731)))</formula>
    </cfRule>
  </conditionalFormatting>
  <conditionalFormatting sqref="G731">
    <cfRule type="containsText" dxfId="582" priority="607" operator="containsText" text="o5">
      <formula>NOT(ISERROR(SEARCH("o5",G731)))</formula>
    </cfRule>
    <cfRule type="containsText" dxfId="581" priority="608" operator="containsText" text="o4">
      <formula>NOT(ISERROR(SEARCH("o4",G731)))</formula>
    </cfRule>
    <cfRule type="containsText" dxfId="580" priority="609" operator="containsText" text="o3">
      <formula>NOT(ISERROR(SEARCH("o3",G731)))</formula>
    </cfRule>
    <cfRule type="containsText" dxfId="579" priority="610" operator="containsText" text="o2">
      <formula>NOT(ISERROR(SEARCH("o2",G731)))</formula>
    </cfRule>
    <cfRule type="containsText" dxfId="578" priority="611" operator="containsText" text="o1b">
      <formula>NOT(ISERROR(SEARCH("o1b",G731)))</formula>
    </cfRule>
    <cfRule type="containsText" dxfId="577" priority="612" operator="containsText" text="o1a">
      <formula>NOT(ISERROR(SEARCH("o1a",G731)))</formula>
    </cfRule>
  </conditionalFormatting>
  <conditionalFormatting sqref="F733:G733 F734">
    <cfRule type="containsText" dxfId="576" priority="601" operator="containsText" text="o5">
      <formula>NOT(ISERROR(SEARCH("o5",F733)))</formula>
    </cfRule>
    <cfRule type="containsText" dxfId="575" priority="602" operator="containsText" text="o4">
      <formula>NOT(ISERROR(SEARCH("o4",F733)))</formula>
    </cfRule>
    <cfRule type="containsText" dxfId="574" priority="603" operator="containsText" text="o3">
      <formula>NOT(ISERROR(SEARCH("o3",F733)))</formula>
    </cfRule>
    <cfRule type="containsText" dxfId="573" priority="604" operator="containsText" text="o2">
      <formula>NOT(ISERROR(SEARCH("o2",F733)))</formula>
    </cfRule>
    <cfRule type="containsText" dxfId="572" priority="605" operator="containsText" text="o1b">
      <formula>NOT(ISERROR(SEARCH("o1b",F733)))</formula>
    </cfRule>
    <cfRule type="containsText" dxfId="571" priority="606" operator="containsText" text="o1a">
      <formula>NOT(ISERROR(SEARCH("o1a",F733)))</formula>
    </cfRule>
  </conditionalFormatting>
  <conditionalFormatting sqref="G734">
    <cfRule type="containsText" dxfId="570" priority="595" operator="containsText" text="o5">
      <formula>NOT(ISERROR(SEARCH("o5",G734)))</formula>
    </cfRule>
    <cfRule type="containsText" dxfId="569" priority="596" operator="containsText" text="o4">
      <formula>NOT(ISERROR(SEARCH("o4",G734)))</formula>
    </cfRule>
    <cfRule type="containsText" dxfId="568" priority="597" operator="containsText" text="o3">
      <formula>NOT(ISERROR(SEARCH("o3",G734)))</formula>
    </cfRule>
    <cfRule type="containsText" dxfId="567" priority="598" operator="containsText" text="o2">
      <formula>NOT(ISERROR(SEARCH("o2",G734)))</formula>
    </cfRule>
    <cfRule type="containsText" dxfId="566" priority="599" operator="containsText" text="o1b">
      <formula>NOT(ISERROR(SEARCH("o1b",G734)))</formula>
    </cfRule>
    <cfRule type="containsText" dxfId="565" priority="600" operator="containsText" text="o1a">
      <formula>NOT(ISERROR(SEARCH("o1a",G734)))</formula>
    </cfRule>
  </conditionalFormatting>
  <conditionalFormatting sqref="G736">
    <cfRule type="containsText" dxfId="564" priority="577" operator="containsText" text="o5">
      <formula>NOT(ISERROR(SEARCH("o5",G736)))</formula>
    </cfRule>
    <cfRule type="containsText" dxfId="563" priority="578" operator="containsText" text="o4">
      <formula>NOT(ISERROR(SEARCH("o4",G736)))</formula>
    </cfRule>
    <cfRule type="containsText" dxfId="562" priority="579" operator="containsText" text="o3">
      <formula>NOT(ISERROR(SEARCH("o3",G736)))</formula>
    </cfRule>
    <cfRule type="containsText" dxfId="561" priority="580" operator="containsText" text="o2">
      <formula>NOT(ISERROR(SEARCH("o2",G736)))</formula>
    </cfRule>
    <cfRule type="containsText" dxfId="560" priority="581" operator="containsText" text="o1b">
      <formula>NOT(ISERROR(SEARCH("o1b",G736)))</formula>
    </cfRule>
    <cfRule type="containsText" dxfId="559" priority="582" operator="containsText" text="o1a">
      <formula>NOT(ISERROR(SEARCH("o1a",G736)))</formula>
    </cfRule>
  </conditionalFormatting>
  <conditionalFormatting sqref="H735:H736">
    <cfRule type="containsText" dxfId="558" priority="589" operator="containsText" text="o5">
      <formula>NOT(ISERROR(SEARCH("o5",H735)))</formula>
    </cfRule>
    <cfRule type="containsText" dxfId="557" priority="590" operator="containsText" text="o4">
      <formula>NOT(ISERROR(SEARCH("o4",H735)))</formula>
    </cfRule>
    <cfRule type="containsText" dxfId="556" priority="591" operator="containsText" text="o3">
      <formula>NOT(ISERROR(SEARCH("o3",H735)))</formula>
    </cfRule>
    <cfRule type="containsText" dxfId="555" priority="592" operator="containsText" text="o2">
      <formula>NOT(ISERROR(SEARCH("o2",H735)))</formula>
    </cfRule>
    <cfRule type="containsText" dxfId="554" priority="593" operator="containsText" text="o1b">
      <formula>NOT(ISERROR(SEARCH("o1b",H735)))</formula>
    </cfRule>
    <cfRule type="containsText" dxfId="553" priority="594" operator="containsText" text="o1a">
      <formula>NOT(ISERROR(SEARCH("o1a",H735)))</formula>
    </cfRule>
  </conditionalFormatting>
  <conditionalFormatting sqref="F735:G735 F736">
    <cfRule type="containsText" dxfId="552" priority="583" operator="containsText" text="o5">
      <formula>NOT(ISERROR(SEARCH("o5",F735)))</formula>
    </cfRule>
    <cfRule type="containsText" dxfId="551" priority="584" operator="containsText" text="o4">
      <formula>NOT(ISERROR(SEARCH("o4",F735)))</formula>
    </cfRule>
    <cfRule type="containsText" dxfId="550" priority="585" operator="containsText" text="o3">
      <formula>NOT(ISERROR(SEARCH("o3",F735)))</formula>
    </cfRule>
    <cfRule type="containsText" dxfId="549" priority="586" operator="containsText" text="o2">
      <formula>NOT(ISERROR(SEARCH("o2",F735)))</formula>
    </cfRule>
    <cfRule type="containsText" dxfId="548" priority="587" operator="containsText" text="o1b">
      <formula>NOT(ISERROR(SEARCH("o1b",F735)))</formula>
    </cfRule>
    <cfRule type="containsText" dxfId="547" priority="588" operator="containsText" text="o1a">
      <formula>NOT(ISERROR(SEARCH("o1a",F735)))</formula>
    </cfRule>
  </conditionalFormatting>
  <conditionalFormatting sqref="E737:F737 H737 E738:H738 E739:E740 H739:H740">
    <cfRule type="containsText" dxfId="546" priority="571" operator="containsText" text="o5">
      <formula>NOT(ISERROR(SEARCH("o5",E737)))</formula>
    </cfRule>
    <cfRule type="containsText" dxfId="545" priority="572" operator="containsText" text="o4">
      <formula>NOT(ISERROR(SEARCH("o4",E737)))</formula>
    </cfRule>
    <cfRule type="containsText" dxfId="544" priority="573" operator="containsText" text="o3">
      <formula>NOT(ISERROR(SEARCH("o3",E737)))</formula>
    </cfRule>
    <cfRule type="containsText" dxfId="543" priority="574" operator="containsText" text="o2">
      <formula>NOT(ISERROR(SEARCH("o2",E737)))</formula>
    </cfRule>
    <cfRule type="containsText" dxfId="542" priority="575" operator="containsText" text="o1b">
      <formula>NOT(ISERROR(SEARCH("o1b",E737)))</formula>
    </cfRule>
    <cfRule type="containsText" dxfId="541" priority="576" operator="containsText" text="o1a">
      <formula>NOT(ISERROR(SEARCH("o1a",E737)))</formula>
    </cfRule>
  </conditionalFormatting>
  <conditionalFormatting sqref="G737">
    <cfRule type="containsText" dxfId="540" priority="565" operator="containsText" text="o5">
      <formula>NOT(ISERROR(SEARCH("o5",G737)))</formula>
    </cfRule>
    <cfRule type="containsText" dxfId="539" priority="566" operator="containsText" text="o4">
      <formula>NOT(ISERROR(SEARCH("o4",G737)))</formula>
    </cfRule>
    <cfRule type="containsText" dxfId="538" priority="567" operator="containsText" text="o3">
      <formula>NOT(ISERROR(SEARCH("o3",G737)))</formula>
    </cfRule>
    <cfRule type="containsText" dxfId="537" priority="568" operator="containsText" text="o2">
      <formula>NOT(ISERROR(SEARCH("o2",G737)))</formula>
    </cfRule>
    <cfRule type="containsText" dxfId="536" priority="569" operator="containsText" text="o1b">
      <formula>NOT(ISERROR(SEARCH("o1b",G737)))</formula>
    </cfRule>
    <cfRule type="containsText" dxfId="535" priority="570" operator="containsText" text="o1a">
      <formula>NOT(ISERROR(SEARCH("o1a",G737)))</formula>
    </cfRule>
  </conditionalFormatting>
  <conditionalFormatting sqref="F739:G739 F740">
    <cfRule type="containsText" dxfId="534" priority="559" operator="containsText" text="o5">
      <formula>NOT(ISERROR(SEARCH("o5",F739)))</formula>
    </cfRule>
    <cfRule type="containsText" dxfId="533" priority="560" operator="containsText" text="o4">
      <formula>NOT(ISERROR(SEARCH("o4",F739)))</formula>
    </cfRule>
    <cfRule type="containsText" dxfId="532" priority="561" operator="containsText" text="o3">
      <formula>NOT(ISERROR(SEARCH("o3",F739)))</formula>
    </cfRule>
    <cfRule type="containsText" dxfId="531" priority="562" operator="containsText" text="o2">
      <formula>NOT(ISERROR(SEARCH("o2",F739)))</formula>
    </cfRule>
    <cfRule type="containsText" dxfId="530" priority="563" operator="containsText" text="o1b">
      <formula>NOT(ISERROR(SEARCH("o1b",F739)))</formula>
    </cfRule>
    <cfRule type="containsText" dxfId="529" priority="564" operator="containsText" text="o1a">
      <formula>NOT(ISERROR(SEARCH("o1a",F739)))</formula>
    </cfRule>
  </conditionalFormatting>
  <conditionalFormatting sqref="G740">
    <cfRule type="containsText" dxfId="528" priority="553" operator="containsText" text="o5">
      <formula>NOT(ISERROR(SEARCH("o5",G740)))</formula>
    </cfRule>
    <cfRule type="containsText" dxfId="527" priority="554" operator="containsText" text="o4">
      <formula>NOT(ISERROR(SEARCH("o4",G740)))</formula>
    </cfRule>
    <cfRule type="containsText" dxfId="526" priority="555" operator="containsText" text="o3">
      <formula>NOT(ISERROR(SEARCH("o3",G740)))</formula>
    </cfRule>
    <cfRule type="containsText" dxfId="525" priority="556" operator="containsText" text="o2">
      <formula>NOT(ISERROR(SEARCH("o2",G740)))</formula>
    </cfRule>
    <cfRule type="containsText" dxfId="524" priority="557" operator="containsText" text="o1b">
      <formula>NOT(ISERROR(SEARCH("o1b",G740)))</formula>
    </cfRule>
    <cfRule type="containsText" dxfId="523" priority="558" operator="containsText" text="o1a">
      <formula>NOT(ISERROR(SEARCH("o1a",G740)))</formula>
    </cfRule>
  </conditionalFormatting>
  <conditionalFormatting sqref="G742">
    <cfRule type="containsText" dxfId="522" priority="535" operator="containsText" text="o5">
      <formula>NOT(ISERROR(SEARCH("o5",G742)))</formula>
    </cfRule>
    <cfRule type="containsText" dxfId="521" priority="536" operator="containsText" text="o4">
      <formula>NOT(ISERROR(SEARCH("o4",G742)))</formula>
    </cfRule>
    <cfRule type="containsText" dxfId="520" priority="537" operator="containsText" text="o3">
      <formula>NOT(ISERROR(SEARCH("o3",G742)))</formula>
    </cfRule>
    <cfRule type="containsText" dxfId="519" priority="538" operator="containsText" text="o2">
      <formula>NOT(ISERROR(SEARCH("o2",G742)))</formula>
    </cfRule>
    <cfRule type="containsText" dxfId="518" priority="539" operator="containsText" text="o1b">
      <formula>NOT(ISERROR(SEARCH("o1b",G742)))</formula>
    </cfRule>
    <cfRule type="containsText" dxfId="517" priority="540" operator="containsText" text="o1a">
      <formula>NOT(ISERROR(SEARCH("o1a",G742)))</formula>
    </cfRule>
  </conditionalFormatting>
  <conditionalFormatting sqref="H741:H742">
    <cfRule type="containsText" dxfId="516" priority="547" operator="containsText" text="o5">
      <formula>NOT(ISERROR(SEARCH("o5",H741)))</formula>
    </cfRule>
    <cfRule type="containsText" dxfId="515" priority="548" operator="containsText" text="o4">
      <formula>NOT(ISERROR(SEARCH("o4",H741)))</formula>
    </cfRule>
    <cfRule type="containsText" dxfId="514" priority="549" operator="containsText" text="o3">
      <formula>NOT(ISERROR(SEARCH("o3",H741)))</formula>
    </cfRule>
    <cfRule type="containsText" dxfId="513" priority="550" operator="containsText" text="o2">
      <formula>NOT(ISERROR(SEARCH("o2",H741)))</formula>
    </cfRule>
    <cfRule type="containsText" dxfId="512" priority="551" operator="containsText" text="o1b">
      <formula>NOT(ISERROR(SEARCH("o1b",H741)))</formula>
    </cfRule>
    <cfRule type="containsText" dxfId="511" priority="552" operator="containsText" text="o1a">
      <formula>NOT(ISERROR(SEARCH("o1a",H741)))</formula>
    </cfRule>
  </conditionalFormatting>
  <conditionalFormatting sqref="F741:G741 F742">
    <cfRule type="containsText" dxfId="510" priority="541" operator="containsText" text="o5">
      <formula>NOT(ISERROR(SEARCH("o5",F741)))</formula>
    </cfRule>
    <cfRule type="containsText" dxfId="509" priority="542" operator="containsText" text="o4">
      <formula>NOT(ISERROR(SEARCH("o4",F741)))</formula>
    </cfRule>
    <cfRule type="containsText" dxfId="508" priority="543" operator="containsText" text="o3">
      <formula>NOT(ISERROR(SEARCH("o3",F741)))</formula>
    </cfRule>
    <cfRule type="containsText" dxfId="507" priority="544" operator="containsText" text="o2">
      <formula>NOT(ISERROR(SEARCH("o2",F741)))</formula>
    </cfRule>
    <cfRule type="containsText" dxfId="506" priority="545" operator="containsText" text="o1b">
      <formula>NOT(ISERROR(SEARCH("o1b",F741)))</formula>
    </cfRule>
    <cfRule type="containsText" dxfId="505" priority="546" operator="containsText" text="o1a">
      <formula>NOT(ISERROR(SEARCH("o1a",F741)))</formula>
    </cfRule>
  </conditionalFormatting>
  <conditionalFormatting sqref="E743:F743 H743 E744:H744 E745:E746 H745:H746">
    <cfRule type="containsText" dxfId="504" priority="529" operator="containsText" text="o5">
      <formula>NOT(ISERROR(SEARCH("o5",E743)))</formula>
    </cfRule>
    <cfRule type="containsText" dxfId="503" priority="530" operator="containsText" text="o4">
      <formula>NOT(ISERROR(SEARCH("o4",E743)))</formula>
    </cfRule>
    <cfRule type="containsText" dxfId="502" priority="531" operator="containsText" text="o3">
      <formula>NOT(ISERROR(SEARCH("o3",E743)))</formula>
    </cfRule>
    <cfRule type="containsText" dxfId="501" priority="532" operator="containsText" text="o2">
      <formula>NOT(ISERROR(SEARCH("o2",E743)))</formula>
    </cfRule>
    <cfRule type="containsText" dxfId="500" priority="533" operator="containsText" text="o1b">
      <formula>NOT(ISERROR(SEARCH("o1b",E743)))</formula>
    </cfRule>
    <cfRule type="containsText" dxfId="499" priority="534" operator="containsText" text="o1a">
      <formula>NOT(ISERROR(SEARCH("o1a",E743)))</formula>
    </cfRule>
  </conditionalFormatting>
  <conditionalFormatting sqref="G743">
    <cfRule type="containsText" dxfId="498" priority="523" operator="containsText" text="o5">
      <formula>NOT(ISERROR(SEARCH("o5",G743)))</formula>
    </cfRule>
    <cfRule type="containsText" dxfId="497" priority="524" operator="containsText" text="o4">
      <formula>NOT(ISERROR(SEARCH("o4",G743)))</formula>
    </cfRule>
    <cfRule type="containsText" dxfId="496" priority="525" operator="containsText" text="o3">
      <formula>NOT(ISERROR(SEARCH("o3",G743)))</formula>
    </cfRule>
    <cfRule type="containsText" dxfId="495" priority="526" operator="containsText" text="o2">
      <formula>NOT(ISERROR(SEARCH("o2",G743)))</formula>
    </cfRule>
    <cfRule type="containsText" dxfId="494" priority="527" operator="containsText" text="o1b">
      <formula>NOT(ISERROR(SEARCH("o1b",G743)))</formula>
    </cfRule>
    <cfRule type="containsText" dxfId="493" priority="528" operator="containsText" text="o1a">
      <formula>NOT(ISERROR(SEARCH("o1a",G743)))</formula>
    </cfRule>
  </conditionalFormatting>
  <conditionalFormatting sqref="F745:G745 F746">
    <cfRule type="containsText" dxfId="492" priority="517" operator="containsText" text="o5">
      <formula>NOT(ISERROR(SEARCH("o5",F745)))</formula>
    </cfRule>
    <cfRule type="containsText" dxfId="491" priority="518" operator="containsText" text="o4">
      <formula>NOT(ISERROR(SEARCH("o4",F745)))</formula>
    </cfRule>
    <cfRule type="containsText" dxfId="490" priority="519" operator="containsText" text="o3">
      <formula>NOT(ISERROR(SEARCH("o3",F745)))</formula>
    </cfRule>
    <cfRule type="containsText" dxfId="489" priority="520" operator="containsText" text="o2">
      <formula>NOT(ISERROR(SEARCH("o2",F745)))</formula>
    </cfRule>
    <cfRule type="containsText" dxfId="488" priority="521" operator="containsText" text="o1b">
      <formula>NOT(ISERROR(SEARCH("o1b",F745)))</formula>
    </cfRule>
    <cfRule type="containsText" dxfId="487" priority="522" operator="containsText" text="o1a">
      <formula>NOT(ISERROR(SEARCH("o1a",F745)))</formula>
    </cfRule>
  </conditionalFormatting>
  <conditionalFormatting sqref="G746">
    <cfRule type="containsText" dxfId="486" priority="511" operator="containsText" text="o5">
      <formula>NOT(ISERROR(SEARCH("o5",G746)))</formula>
    </cfRule>
    <cfRule type="containsText" dxfId="485" priority="512" operator="containsText" text="o4">
      <formula>NOT(ISERROR(SEARCH("o4",G746)))</formula>
    </cfRule>
    <cfRule type="containsText" dxfId="484" priority="513" operator="containsText" text="o3">
      <formula>NOT(ISERROR(SEARCH("o3",G746)))</formula>
    </cfRule>
    <cfRule type="containsText" dxfId="483" priority="514" operator="containsText" text="o2">
      <formula>NOT(ISERROR(SEARCH("o2",G746)))</formula>
    </cfRule>
    <cfRule type="containsText" dxfId="482" priority="515" operator="containsText" text="o1b">
      <formula>NOT(ISERROR(SEARCH("o1b",G746)))</formula>
    </cfRule>
    <cfRule type="containsText" dxfId="481" priority="516" operator="containsText" text="o1a">
      <formula>NOT(ISERROR(SEARCH("o1a",G746)))</formula>
    </cfRule>
  </conditionalFormatting>
  <conditionalFormatting sqref="G748">
    <cfRule type="containsText" dxfId="480" priority="493" operator="containsText" text="o5">
      <formula>NOT(ISERROR(SEARCH("o5",G748)))</formula>
    </cfRule>
    <cfRule type="containsText" dxfId="479" priority="494" operator="containsText" text="o4">
      <formula>NOT(ISERROR(SEARCH("o4",G748)))</formula>
    </cfRule>
    <cfRule type="containsText" dxfId="478" priority="495" operator="containsText" text="o3">
      <formula>NOT(ISERROR(SEARCH("o3",G748)))</formula>
    </cfRule>
    <cfRule type="containsText" dxfId="477" priority="496" operator="containsText" text="o2">
      <formula>NOT(ISERROR(SEARCH("o2",G748)))</formula>
    </cfRule>
    <cfRule type="containsText" dxfId="476" priority="497" operator="containsText" text="o1b">
      <formula>NOT(ISERROR(SEARCH("o1b",G748)))</formula>
    </cfRule>
    <cfRule type="containsText" dxfId="475" priority="498" operator="containsText" text="o1a">
      <formula>NOT(ISERROR(SEARCH("o1a",G748)))</formula>
    </cfRule>
  </conditionalFormatting>
  <conditionalFormatting sqref="H747:H748">
    <cfRule type="containsText" dxfId="474" priority="505" operator="containsText" text="o5">
      <formula>NOT(ISERROR(SEARCH("o5",H747)))</formula>
    </cfRule>
    <cfRule type="containsText" dxfId="473" priority="506" operator="containsText" text="o4">
      <formula>NOT(ISERROR(SEARCH("o4",H747)))</formula>
    </cfRule>
    <cfRule type="containsText" dxfId="472" priority="507" operator="containsText" text="o3">
      <formula>NOT(ISERROR(SEARCH("o3",H747)))</formula>
    </cfRule>
    <cfRule type="containsText" dxfId="471" priority="508" operator="containsText" text="o2">
      <formula>NOT(ISERROR(SEARCH("o2",H747)))</formula>
    </cfRule>
    <cfRule type="containsText" dxfId="470" priority="509" operator="containsText" text="o1b">
      <formula>NOT(ISERROR(SEARCH("o1b",H747)))</formula>
    </cfRule>
    <cfRule type="containsText" dxfId="469" priority="510" operator="containsText" text="o1a">
      <formula>NOT(ISERROR(SEARCH("o1a",H747)))</formula>
    </cfRule>
  </conditionalFormatting>
  <conditionalFormatting sqref="F747:G747 F748">
    <cfRule type="containsText" dxfId="468" priority="499" operator="containsText" text="o5">
      <formula>NOT(ISERROR(SEARCH("o5",F747)))</formula>
    </cfRule>
    <cfRule type="containsText" dxfId="467" priority="500" operator="containsText" text="o4">
      <formula>NOT(ISERROR(SEARCH("o4",F747)))</formula>
    </cfRule>
    <cfRule type="containsText" dxfId="466" priority="501" operator="containsText" text="o3">
      <formula>NOT(ISERROR(SEARCH("o3",F747)))</formula>
    </cfRule>
    <cfRule type="containsText" dxfId="465" priority="502" operator="containsText" text="o2">
      <formula>NOT(ISERROR(SEARCH("o2",F747)))</formula>
    </cfRule>
    <cfRule type="containsText" dxfId="464" priority="503" operator="containsText" text="o1b">
      <formula>NOT(ISERROR(SEARCH("o1b",F747)))</formula>
    </cfRule>
    <cfRule type="containsText" dxfId="463" priority="504" operator="containsText" text="o1a">
      <formula>NOT(ISERROR(SEARCH("o1a",F747)))</formula>
    </cfRule>
  </conditionalFormatting>
  <conditionalFormatting sqref="E749:F749 H749 E750:H750 E751:E752 H751:H752">
    <cfRule type="containsText" dxfId="462" priority="487" operator="containsText" text="o5">
      <formula>NOT(ISERROR(SEARCH("o5",E749)))</formula>
    </cfRule>
    <cfRule type="containsText" dxfId="461" priority="488" operator="containsText" text="o4">
      <formula>NOT(ISERROR(SEARCH("o4",E749)))</formula>
    </cfRule>
    <cfRule type="containsText" dxfId="460" priority="489" operator="containsText" text="o3">
      <formula>NOT(ISERROR(SEARCH("o3",E749)))</formula>
    </cfRule>
    <cfRule type="containsText" dxfId="459" priority="490" operator="containsText" text="o2">
      <formula>NOT(ISERROR(SEARCH("o2",E749)))</formula>
    </cfRule>
    <cfRule type="containsText" dxfId="458" priority="491" operator="containsText" text="o1b">
      <formula>NOT(ISERROR(SEARCH("o1b",E749)))</formula>
    </cfRule>
    <cfRule type="containsText" dxfId="457" priority="492" operator="containsText" text="o1a">
      <formula>NOT(ISERROR(SEARCH("o1a",E749)))</formula>
    </cfRule>
  </conditionalFormatting>
  <conditionalFormatting sqref="G749">
    <cfRule type="containsText" dxfId="456" priority="481" operator="containsText" text="o5">
      <formula>NOT(ISERROR(SEARCH("o5",G749)))</formula>
    </cfRule>
    <cfRule type="containsText" dxfId="455" priority="482" operator="containsText" text="o4">
      <formula>NOT(ISERROR(SEARCH("o4",G749)))</formula>
    </cfRule>
    <cfRule type="containsText" dxfId="454" priority="483" operator="containsText" text="o3">
      <formula>NOT(ISERROR(SEARCH("o3",G749)))</formula>
    </cfRule>
    <cfRule type="containsText" dxfId="453" priority="484" operator="containsText" text="o2">
      <formula>NOT(ISERROR(SEARCH("o2",G749)))</formula>
    </cfRule>
    <cfRule type="containsText" dxfId="452" priority="485" operator="containsText" text="o1b">
      <formula>NOT(ISERROR(SEARCH("o1b",G749)))</formula>
    </cfRule>
    <cfRule type="containsText" dxfId="451" priority="486" operator="containsText" text="o1a">
      <formula>NOT(ISERROR(SEARCH("o1a",G749)))</formula>
    </cfRule>
  </conditionalFormatting>
  <conditionalFormatting sqref="F751:G751 F752">
    <cfRule type="containsText" dxfId="450" priority="475" operator="containsText" text="o5">
      <formula>NOT(ISERROR(SEARCH("o5",F751)))</formula>
    </cfRule>
    <cfRule type="containsText" dxfId="449" priority="476" operator="containsText" text="o4">
      <formula>NOT(ISERROR(SEARCH("o4",F751)))</formula>
    </cfRule>
    <cfRule type="containsText" dxfId="448" priority="477" operator="containsText" text="o3">
      <formula>NOT(ISERROR(SEARCH("o3",F751)))</formula>
    </cfRule>
    <cfRule type="containsText" dxfId="447" priority="478" operator="containsText" text="o2">
      <formula>NOT(ISERROR(SEARCH("o2",F751)))</formula>
    </cfRule>
    <cfRule type="containsText" dxfId="446" priority="479" operator="containsText" text="o1b">
      <formula>NOT(ISERROR(SEARCH("o1b",F751)))</formula>
    </cfRule>
    <cfRule type="containsText" dxfId="445" priority="480" operator="containsText" text="o1a">
      <formula>NOT(ISERROR(SEARCH("o1a",F751)))</formula>
    </cfRule>
  </conditionalFormatting>
  <conditionalFormatting sqref="G752">
    <cfRule type="containsText" dxfId="444" priority="469" operator="containsText" text="o5">
      <formula>NOT(ISERROR(SEARCH("o5",G752)))</formula>
    </cfRule>
    <cfRule type="containsText" dxfId="443" priority="470" operator="containsText" text="o4">
      <formula>NOT(ISERROR(SEARCH("o4",G752)))</formula>
    </cfRule>
    <cfRule type="containsText" dxfId="442" priority="471" operator="containsText" text="o3">
      <formula>NOT(ISERROR(SEARCH("o3",G752)))</formula>
    </cfRule>
    <cfRule type="containsText" dxfId="441" priority="472" operator="containsText" text="o2">
      <formula>NOT(ISERROR(SEARCH("o2",G752)))</formula>
    </cfRule>
    <cfRule type="containsText" dxfId="440" priority="473" operator="containsText" text="o1b">
      <formula>NOT(ISERROR(SEARCH("o1b",G752)))</formula>
    </cfRule>
    <cfRule type="containsText" dxfId="439" priority="474" operator="containsText" text="o1a">
      <formula>NOT(ISERROR(SEARCH("o1a",G752)))</formula>
    </cfRule>
  </conditionalFormatting>
  <conditionalFormatting sqref="G754">
    <cfRule type="containsText" dxfId="438" priority="451" operator="containsText" text="o5">
      <formula>NOT(ISERROR(SEARCH("o5",G754)))</formula>
    </cfRule>
    <cfRule type="containsText" dxfId="437" priority="452" operator="containsText" text="o4">
      <formula>NOT(ISERROR(SEARCH("o4",G754)))</formula>
    </cfRule>
    <cfRule type="containsText" dxfId="436" priority="453" operator="containsText" text="o3">
      <formula>NOT(ISERROR(SEARCH("o3",G754)))</formula>
    </cfRule>
    <cfRule type="containsText" dxfId="435" priority="454" operator="containsText" text="o2">
      <formula>NOT(ISERROR(SEARCH("o2",G754)))</formula>
    </cfRule>
    <cfRule type="containsText" dxfId="434" priority="455" operator="containsText" text="o1b">
      <formula>NOT(ISERROR(SEARCH("o1b",G754)))</formula>
    </cfRule>
    <cfRule type="containsText" dxfId="433" priority="456" operator="containsText" text="o1a">
      <formula>NOT(ISERROR(SEARCH("o1a",G754)))</formula>
    </cfRule>
  </conditionalFormatting>
  <conditionalFormatting sqref="H753:H754">
    <cfRule type="containsText" dxfId="432" priority="463" operator="containsText" text="o5">
      <formula>NOT(ISERROR(SEARCH("o5",H753)))</formula>
    </cfRule>
    <cfRule type="containsText" dxfId="431" priority="464" operator="containsText" text="o4">
      <formula>NOT(ISERROR(SEARCH("o4",H753)))</formula>
    </cfRule>
    <cfRule type="containsText" dxfId="430" priority="465" operator="containsText" text="o3">
      <formula>NOT(ISERROR(SEARCH("o3",H753)))</formula>
    </cfRule>
    <cfRule type="containsText" dxfId="429" priority="466" operator="containsText" text="o2">
      <formula>NOT(ISERROR(SEARCH("o2",H753)))</formula>
    </cfRule>
    <cfRule type="containsText" dxfId="428" priority="467" operator="containsText" text="o1b">
      <formula>NOT(ISERROR(SEARCH("o1b",H753)))</formula>
    </cfRule>
    <cfRule type="containsText" dxfId="427" priority="468" operator="containsText" text="o1a">
      <formula>NOT(ISERROR(SEARCH("o1a",H753)))</formula>
    </cfRule>
  </conditionalFormatting>
  <conditionalFormatting sqref="F753:G753 F754">
    <cfRule type="containsText" dxfId="426" priority="457" operator="containsText" text="o5">
      <formula>NOT(ISERROR(SEARCH("o5",F753)))</formula>
    </cfRule>
    <cfRule type="containsText" dxfId="425" priority="458" operator="containsText" text="o4">
      <formula>NOT(ISERROR(SEARCH("o4",F753)))</formula>
    </cfRule>
    <cfRule type="containsText" dxfId="424" priority="459" operator="containsText" text="o3">
      <formula>NOT(ISERROR(SEARCH("o3",F753)))</formula>
    </cfRule>
    <cfRule type="containsText" dxfId="423" priority="460" operator="containsText" text="o2">
      <formula>NOT(ISERROR(SEARCH("o2",F753)))</formula>
    </cfRule>
    <cfRule type="containsText" dxfId="422" priority="461" operator="containsText" text="o1b">
      <formula>NOT(ISERROR(SEARCH("o1b",F753)))</formula>
    </cfRule>
    <cfRule type="containsText" dxfId="421" priority="462" operator="containsText" text="o1a">
      <formula>NOT(ISERROR(SEARCH("o1a",F753)))</formula>
    </cfRule>
  </conditionalFormatting>
  <conditionalFormatting sqref="E755:F755 H755 E756:H756 E757:E758 H757:H758">
    <cfRule type="containsText" dxfId="420" priority="445" operator="containsText" text="o5">
      <formula>NOT(ISERROR(SEARCH("o5",E755)))</formula>
    </cfRule>
    <cfRule type="containsText" dxfId="419" priority="446" operator="containsText" text="o4">
      <formula>NOT(ISERROR(SEARCH("o4",E755)))</formula>
    </cfRule>
    <cfRule type="containsText" dxfId="418" priority="447" operator="containsText" text="o3">
      <formula>NOT(ISERROR(SEARCH("o3",E755)))</formula>
    </cfRule>
    <cfRule type="containsText" dxfId="417" priority="448" operator="containsText" text="o2">
      <formula>NOT(ISERROR(SEARCH("o2",E755)))</formula>
    </cfRule>
    <cfRule type="containsText" dxfId="416" priority="449" operator="containsText" text="o1b">
      <formula>NOT(ISERROR(SEARCH("o1b",E755)))</formula>
    </cfRule>
    <cfRule type="containsText" dxfId="415" priority="450" operator="containsText" text="o1a">
      <formula>NOT(ISERROR(SEARCH("o1a",E755)))</formula>
    </cfRule>
  </conditionalFormatting>
  <conditionalFormatting sqref="G755">
    <cfRule type="containsText" dxfId="414" priority="439" operator="containsText" text="o5">
      <formula>NOT(ISERROR(SEARCH("o5",G755)))</formula>
    </cfRule>
    <cfRule type="containsText" dxfId="413" priority="440" operator="containsText" text="o4">
      <formula>NOT(ISERROR(SEARCH("o4",G755)))</formula>
    </cfRule>
    <cfRule type="containsText" dxfId="412" priority="441" operator="containsText" text="o3">
      <formula>NOT(ISERROR(SEARCH("o3",G755)))</formula>
    </cfRule>
    <cfRule type="containsText" dxfId="411" priority="442" operator="containsText" text="o2">
      <formula>NOT(ISERROR(SEARCH("o2",G755)))</formula>
    </cfRule>
    <cfRule type="containsText" dxfId="410" priority="443" operator="containsText" text="o1b">
      <formula>NOT(ISERROR(SEARCH("o1b",G755)))</formula>
    </cfRule>
    <cfRule type="containsText" dxfId="409" priority="444" operator="containsText" text="o1a">
      <formula>NOT(ISERROR(SEARCH("o1a",G755)))</formula>
    </cfRule>
  </conditionalFormatting>
  <conditionalFormatting sqref="F757:G757 F758">
    <cfRule type="containsText" dxfId="408" priority="433" operator="containsText" text="o5">
      <formula>NOT(ISERROR(SEARCH("o5",F757)))</formula>
    </cfRule>
    <cfRule type="containsText" dxfId="407" priority="434" operator="containsText" text="o4">
      <formula>NOT(ISERROR(SEARCH("o4",F757)))</formula>
    </cfRule>
    <cfRule type="containsText" dxfId="406" priority="435" operator="containsText" text="o3">
      <formula>NOT(ISERROR(SEARCH("o3",F757)))</formula>
    </cfRule>
    <cfRule type="containsText" dxfId="405" priority="436" operator="containsText" text="o2">
      <formula>NOT(ISERROR(SEARCH("o2",F757)))</formula>
    </cfRule>
    <cfRule type="containsText" dxfId="404" priority="437" operator="containsText" text="o1b">
      <formula>NOT(ISERROR(SEARCH("o1b",F757)))</formula>
    </cfRule>
    <cfRule type="containsText" dxfId="403" priority="438" operator="containsText" text="o1a">
      <formula>NOT(ISERROR(SEARCH("o1a",F757)))</formula>
    </cfRule>
  </conditionalFormatting>
  <conditionalFormatting sqref="G758">
    <cfRule type="containsText" dxfId="402" priority="427" operator="containsText" text="o5">
      <formula>NOT(ISERROR(SEARCH("o5",G758)))</formula>
    </cfRule>
    <cfRule type="containsText" dxfId="401" priority="428" operator="containsText" text="o4">
      <formula>NOT(ISERROR(SEARCH("o4",G758)))</formula>
    </cfRule>
    <cfRule type="containsText" dxfId="400" priority="429" operator="containsText" text="o3">
      <formula>NOT(ISERROR(SEARCH("o3",G758)))</formula>
    </cfRule>
    <cfRule type="containsText" dxfId="399" priority="430" operator="containsText" text="o2">
      <formula>NOT(ISERROR(SEARCH("o2",G758)))</formula>
    </cfRule>
    <cfRule type="containsText" dxfId="398" priority="431" operator="containsText" text="o1b">
      <formula>NOT(ISERROR(SEARCH("o1b",G758)))</formula>
    </cfRule>
    <cfRule type="containsText" dxfId="397" priority="432" operator="containsText" text="o1a">
      <formula>NOT(ISERROR(SEARCH("o1a",G758)))</formula>
    </cfRule>
  </conditionalFormatting>
  <conditionalFormatting sqref="G760">
    <cfRule type="containsText" dxfId="396" priority="409" operator="containsText" text="o5">
      <formula>NOT(ISERROR(SEARCH("o5",G760)))</formula>
    </cfRule>
    <cfRule type="containsText" dxfId="395" priority="410" operator="containsText" text="o4">
      <formula>NOT(ISERROR(SEARCH("o4",G760)))</formula>
    </cfRule>
    <cfRule type="containsText" dxfId="394" priority="411" operator="containsText" text="o3">
      <formula>NOT(ISERROR(SEARCH("o3",G760)))</formula>
    </cfRule>
    <cfRule type="containsText" dxfId="393" priority="412" operator="containsText" text="o2">
      <formula>NOT(ISERROR(SEARCH("o2",G760)))</formula>
    </cfRule>
    <cfRule type="containsText" dxfId="392" priority="413" operator="containsText" text="o1b">
      <formula>NOT(ISERROR(SEARCH("o1b",G760)))</formula>
    </cfRule>
    <cfRule type="containsText" dxfId="391" priority="414" operator="containsText" text="o1a">
      <formula>NOT(ISERROR(SEARCH("o1a",G760)))</formula>
    </cfRule>
  </conditionalFormatting>
  <conditionalFormatting sqref="H759:H760">
    <cfRule type="containsText" dxfId="390" priority="421" operator="containsText" text="o5">
      <formula>NOT(ISERROR(SEARCH("o5",H759)))</formula>
    </cfRule>
    <cfRule type="containsText" dxfId="389" priority="422" operator="containsText" text="o4">
      <formula>NOT(ISERROR(SEARCH("o4",H759)))</formula>
    </cfRule>
    <cfRule type="containsText" dxfId="388" priority="423" operator="containsText" text="o3">
      <formula>NOT(ISERROR(SEARCH("o3",H759)))</formula>
    </cfRule>
    <cfRule type="containsText" dxfId="387" priority="424" operator="containsText" text="o2">
      <formula>NOT(ISERROR(SEARCH("o2",H759)))</formula>
    </cfRule>
    <cfRule type="containsText" dxfId="386" priority="425" operator="containsText" text="o1b">
      <formula>NOT(ISERROR(SEARCH("o1b",H759)))</formula>
    </cfRule>
    <cfRule type="containsText" dxfId="385" priority="426" operator="containsText" text="o1a">
      <formula>NOT(ISERROR(SEARCH("o1a",H759)))</formula>
    </cfRule>
  </conditionalFormatting>
  <conditionalFormatting sqref="F759:G759 F760">
    <cfRule type="containsText" dxfId="384" priority="415" operator="containsText" text="o5">
      <formula>NOT(ISERROR(SEARCH("o5",F759)))</formula>
    </cfRule>
    <cfRule type="containsText" dxfId="383" priority="416" operator="containsText" text="o4">
      <formula>NOT(ISERROR(SEARCH("o4",F759)))</formula>
    </cfRule>
    <cfRule type="containsText" dxfId="382" priority="417" operator="containsText" text="o3">
      <formula>NOT(ISERROR(SEARCH("o3",F759)))</formula>
    </cfRule>
    <cfRule type="containsText" dxfId="381" priority="418" operator="containsText" text="o2">
      <formula>NOT(ISERROR(SEARCH("o2",F759)))</formula>
    </cfRule>
    <cfRule type="containsText" dxfId="380" priority="419" operator="containsText" text="o1b">
      <formula>NOT(ISERROR(SEARCH("o1b",F759)))</formula>
    </cfRule>
    <cfRule type="containsText" dxfId="379" priority="420" operator="containsText" text="o1a">
      <formula>NOT(ISERROR(SEARCH("o1a",F759)))</formula>
    </cfRule>
  </conditionalFormatting>
  <conditionalFormatting sqref="E761:F761 H761 E762:H762 E763:E764 H763:H764">
    <cfRule type="containsText" dxfId="378" priority="403" operator="containsText" text="o5">
      <formula>NOT(ISERROR(SEARCH("o5",E761)))</formula>
    </cfRule>
    <cfRule type="containsText" dxfId="377" priority="404" operator="containsText" text="o4">
      <formula>NOT(ISERROR(SEARCH("o4",E761)))</formula>
    </cfRule>
    <cfRule type="containsText" dxfId="376" priority="405" operator="containsText" text="o3">
      <formula>NOT(ISERROR(SEARCH("o3",E761)))</formula>
    </cfRule>
    <cfRule type="containsText" dxfId="375" priority="406" operator="containsText" text="o2">
      <formula>NOT(ISERROR(SEARCH("o2",E761)))</formula>
    </cfRule>
    <cfRule type="containsText" dxfId="374" priority="407" operator="containsText" text="o1b">
      <formula>NOT(ISERROR(SEARCH("o1b",E761)))</formula>
    </cfRule>
    <cfRule type="containsText" dxfId="373" priority="408" operator="containsText" text="o1a">
      <formula>NOT(ISERROR(SEARCH("o1a",E761)))</formula>
    </cfRule>
  </conditionalFormatting>
  <conditionalFormatting sqref="G761">
    <cfRule type="containsText" dxfId="372" priority="397" operator="containsText" text="o5">
      <formula>NOT(ISERROR(SEARCH("o5",G761)))</formula>
    </cfRule>
    <cfRule type="containsText" dxfId="371" priority="398" operator="containsText" text="o4">
      <formula>NOT(ISERROR(SEARCH("o4",G761)))</formula>
    </cfRule>
    <cfRule type="containsText" dxfId="370" priority="399" operator="containsText" text="o3">
      <formula>NOT(ISERROR(SEARCH("o3",G761)))</formula>
    </cfRule>
    <cfRule type="containsText" dxfId="369" priority="400" operator="containsText" text="o2">
      <formula>NOT(ISERROR(SEARCH("o2",G761)))</formula>
    </cfRule>
    <cfRule type="containsText" dxfId="368" priority="401" operator="containsText" text="o1b">
      <formula>NOT(ISERROR(SEARCH("o1b",G761)))</formula>
    </cfRule>
    <cfRule type="containsText" dxfId="367" priority="402" operator="containsText" text="o1a">
      <formula>NOT(ISERROR(SEARCH("o1a",G761)))</formula>
    </cfRule>
  </conditionalFormatting>
  <conditionalFormatting sqref="F763:G763 F764">
    <cfRule type="containsText" dxfId="366" priority="391" operator="containsText" text="o5">
      <formula>NOT(ISERROR(SEARCH("o5",F763)))</formula>
    </cfRule>
    <cfRule type="containsText" dxfId="365" priority="392" operator="containsText" text="o4">
      <formula>NOT(ISERROR(SEARCH("o4",F763)))</formula>
    </cfRule>
    <cfRule type="containsText" dxfId="364" priority="393" operator="containsText" text="o3">
      <formula>NOT(ISERROR(SEARCH("o3",F763)))</formula>
    </cfRule>
    <cfRule type="containsText" dxfId="363" priority="394" operator="containsText" text="o2">
      <formula>NOT(ISERROR(SEARCH("o2",F763)))</formula>
    </cfRule>
    <cfRule type="containsText" dxfId="362" priority="395" operator="containsText" text="o1b">
      <formula>NOT(ISERROR(SEARCH("o1b",F763)))</formula>
    </cfRule>
    <cfRule type="containsText" dxfId="361" priority="396" operator="containsText" text="o1a">
      <formula>NOT(ISERROR(SEARCH("o1a",F763)))</formula>
    </cfRule>
  </conditionalFormatting>
  <conditionalFormatting sqref="G764">
    <cfRule type="containsText" dxfId="360" priority="385" operator="containsText" text="o5">
      <formula>NOT(ISERROR(SEARCH("o5",G764)))</formula>
    </cfRule>
    <cfRule type="containsText" dxfId="359" priority="386" operator="containsText" text="o4">
      <formula>NOT(ISERROR(SEARCH("o4",G764)))</formula>
    </cfRule>
    <cfRule type="containsText" dxfId="358" priority="387" operator="containsText" text="o3">
      <formula>NOT(ISERROR(SEARCH("o3",G764)))</formula>
    </cfRule>
    <cfRule type="containsText" dxfId="357" priority="388" operator="containsText" text="o2">
      <formula>NOT(ISERROR(SEARCH("o2",G764)))</formula>
    </cfRule>
    <cfRule type="containsText" dxfId="356" priority="389" operator="containsText" text="o1b">
      <formula>NOT(ISERROR(SEARCH("o1b",G764)))</formula>
    </cfRule>
    <cfRule type="containsText" dxfId="355" priority="390" operator="containsText" text="o1a">
      <formula>NOT(ISERROR(SEARCH("o1a",G764)))</formula>
    </cfRule>
  </conditionalFormatting>
  <conditionalFormatting sqref="E781:H781 E772:E774 E779:F779 H779 E780 G780:H780 E782:E783 E788:E789 E794:E795 E800:E801 E806:H807 E808:F809 H808:H809 E810:H811 E812:F812 H812 E813:H814">
    <cfRule type="containsText" dxfId="354" priority="379" operator="containsText" text="o5">
      <formula>NOT(ISERROR(SEARCH("o5",E772)))</formula>
    </cfRule>
    <cfRule type="containsText" dxfId="353" priority="380" operator="containsText" text="o4">
      <formula>NOT(ISERROR(SEARCH("o4",E772)))</formula>
    </cfRule>
    <cfRule type="containsText" dxfId="352" priority="381" operator="containsText" text="o3">
      <formula>NOT(ISERROR(SEARCH("o3",E772)))</formula>
    </cfRule>
    <cfRule type="containsText" dxfId="351" priority="382" operator="containsText" text="o2">
      <formula>NOT(ISERROR(SEARCH("o2",E772)))</formula>
    </cfRule>
    <cfRule type="containsText" dxfId="350" priority="383" operator="containsText" text="o1b">
      <formula>NOT(ISERROR(SEARCH("o1b",E772)))</formula>
    </cfRule>
    <cfRule type="containsText" dxfId="349" priority="384" operator="containsText" text="o1a">
      <formula>NOT(ISERROR(SEARCH("o1a",E772)))</formula>
    </cfRule>
  </conditionalFormatting>
  <conditionalFormatting sqref="G766">
    <cfRule type="containsText" dxfId="348" priority="361" operator="containsText" text="o5">
      <formula>NOT(ISERROR(SEARCH("o5",G766)))</formula>
    </cfRule>
    <cfRule type="containsText" dxfId="347" priority="362" operator="containsText" text="o4">
      <formula>NOT(ISERROR(SEARCH("o4",G766)))</formula>
    </cfRule>
    <cfRule type="containsText" dxfId="346" priority="363" operator="containsText" text="o3">
      <formula>NOT(ISERROR(SEARCH("o3",G766)))</formula>
    </cfRule>
    <cfRule type="containsText" dxfId="345" priority="364" operator="containsText" text="o2">
      <formula>NOT(ISERROR(SEARCH("o2",G766)))</formula>
    </cfRule>
    <cfRule type="containsText" dxfId="344" priority="365" operator="containsText" text="o1b">
      <formula>NOT(ISERROR(SEARCH("o1b",G766)))</formula>
    </cfRule>
    <cfRule type="containsText" dxfId="343" priority="366" operator="containsText" text="o1a">
      <formula>NOT(ISERROR(SEARCH("o1a",G766)))</formula>
    </cfRule>
  </conditionalFormatting>
  <conditionalFormatting sqref="H765:H766">
    <cfRule type="containsText" dxfId="342" priority="373" operator="containsText" text="o5">
      <formula>NOT(ISERROR(SEARCH("o5",H765)))</formula>
    </cfRule>
    <cfRule type="containsText" dxfId="341" priority="374" operator="containsText" text="o4">
      <formula>NOT(ISERROR(SEARCH("o4",H765)))</formula>
    </cfRule>
    <cfRule type="containsText" dxfId="340" priority="375" operator="containsText" text="o3">
      <formula>NOT(ISERROR(SEARCH("o3",H765)))</formula>
    </cfRule>
    <cfRule type="containsText" dxfId="339" priority="376" operator="containsText" text="o2">
      <formula>NOT(ISERROR(SEARCH("o2",H765)))</formula>
    </cfRule>
    <cfRule type="containsText" dxfId="338" priority="377" operator="containsText" text="o1b">
      <formula>NOT(ISERROR(SEARCH("o1b",H765)))</formula>
    </cfRule>
    <cfRule type="containsText" dxfId="337" priority="378" operator="containsText" text="o1a">
      <formula>NOT(ISERROR(SEARCH("o1a",H765)))</formula>
    </cfRule>
  </conditionalFormatting>
  <conditionalFormatting sqref="F765:G765 F766">
    <cfRule type="containsText" dxfId="336" priority="367" operator="containsText" text="o5">
      <formula>NOT(ISERROR(SEARCH("o5",F765)))</formula>
    </cfRule>
    <cfRule type="containsText" dxfId="335" priority="368" operator="containsText" text="o4">
      <formula>NOT(ISERROR(SEARCH("o4",F765)))</formula>
    </cfRule>
    <cfRule type="containsText" dxfId="334" priority="369" operator="containsText" text="o3">
      <formula>NOT(ISERROR(SEARCH("o3",F765)))</formula>
    </cfRule>
    <cfRule type="containsText" dxfId="333" priority="370" operator="containsText" text="o2">
      <formula>NOT(ISERROR(SEARCH("o2",F765)))</formula>
    </cfRule>
    <cfRule type="containsText" dxfId="332" priority="371" operator="containsText" text="o1b">
      <formula>NOT(ISERROR(SEARCH("o1b",F765)))</formula>
    </cfRule>
    <cfRule type="containsText" dxfId="331" priority="372" operator="containsText" text="o1a">
      <formula>NOT(ISERROR(SEARCH("o1a",F765)))</formula>
    </cfRule>
  </conditionalFormatting>
  <conditionalFormatting sqref="E768:F768 H768 E769:H769 E770:E771 H770:H771">
    <cfRule type="containsText" dxfId="330" priority="355" operator="containsText" text="o5">
      <formula>NOT(ISERROR(SEARCH("o5",E768)))</formula>
    </cfRule>
    <cfRule type="containsText" dxfId="329" priority="356" operator="containsText" text="o4">
      <formula>NOT(ISERROR(SEARCH("o4",E768)))</formula>
    </cfRule>
    <cfRule type="containsText" dxfId="328" priority="357" operator="containsText" text="o3">
      <formula>NOT(ISERROR(SEARCH("o3",E768)))</formula>
    </cfRule>
    <cfRule type="containsText" dxfId="327" priority="358" operator="containsText" text="o2">
      <formula>NOT(ISERROR(SEARCH("o2",E768)))</formula>
    </cfRule>
    <cfRule type="containsText" dxfId="326" priority="359" operator="containsText" text="o1b">
      <formula>NOT(ISERROR(SEARCH("o1b",E768)))</formula>
    </cfRule>
    <cfRule type="containsText" dxfId="325" priority="360" operator="containsText" text="o1a">
      <formula>NOT(ISERROR(SEARCH("o1a",E768)))</formula>
    </cfRule>
  </conditionalFormatting>
  <conditionalFormatting sqref="G768">
    <cfRule type="containsText" dxfId="324" priority="349" operator="containsText" text="o5">
      <formula>NOT(ISERROR(SEARCH("o5",G768)))</formula>
    </cfRule>
    <cfRule type="containsText" dxfId="323" priority="350" operator="containsText" text="o4">
      <formula>NOT(ISERROR(SEARCH("o4",G768)))</formula>
    </cfRule>
    <cfRule type="containsText" dxfId="322" priority="351" operator="containsText" text="o3">
      <formula>NOT(ISERROR(SEARCH("o3",G768)))</formula>
    </cfRule>
    <cfRule type="containsText" dxfId="321" priority="352" operator="containsText" text="o2">
      <formula>NOT(ISERROR(SEARCH("o2",G768)))</formula>
    </cfRule>
    <cfRule type="containsText" dxfId="320" priority="353" operator="containsText" text="o1b">
      <formula>NOT(ISERROR(SEARCH("o1b",G768)))</formula>
    </cfRule>
    <cfRule type="containsText" dxfId="319" priority="354" operator="containsText" text="o1a">
      <formula>NOT(ISERROR(SEARCH("o1a",G768)))</formula>
    </cfRule>
  </conditionalFormatting>
  <conditionalFormatting sqref="F770:G770 F771">
    <cfRule type="containsText" dxfId="318" priority="343" operator="containsText" text="o5">
      <formula>NOT(ISERROR(SEARCH("o5",F770)))</formula>
    </cfRule>
    <cfRule type="containsText" dxfId="317" priority="344" operator="containsText" text="o4">
      <formula>NOT(ISERROR(SEARCH("o4",F770)))</formula>
    </cfRule>
    <cfRule type="containsText" dxfId="316" priority="345" operator="containsText" text="o3">
      <formula>NOT(ISERROR(SEARCH("o3",F770)))</formula>
    </cfRule>
    <cfRule type="containsText" dxfId="315" priority="346" operator="containsText" text="o2">
      <formula>NOT(ISERROR(SEARCH("o2",F770)))</formula>
    </cfRule>
    <cfRule type="containsText" dxfId="314" priority="347" operator="containsText" text="o1b">
      <formula>NOT(ISERROR(SEARCH("o1b",F770)))</formula>
    </cfRule>
    <cfRule type="containsText" dxfId="313" priority="348" operator="containsText" text="o1a">
      <formula>NOT(ISERROR(SEARCH("o1a",F770)))</formula>
    </cfRule>
  </conditionalFormatting>
  <conditionalFormatting sqref="G771">
    <cfRule type="containsText" dxfId="312" priority="337" operator="containsText" text="o5">
      <formula>NOT(ISERROR(SEARCH("o5",G771)))</formula>
    </cfRule>
    <cfRule type="containsText" dxfId="311" priority="338" operator="containsText" text="o4">
      <formula>NOT(ISERROR(SEARCH("o4",G771)))</formula>
    </cfRule>
    <cfRule type="containsText" dxfId="310" priority="339" operator="containsText" text="o3">
      <formula>NOT(ISERROR(SEARCH("o3",G771)))</formula>
    </cfRule>
    <cfRule type="containsText" dxfId="309" priority="340" operator="containsText" text="o2">
      <formula>NOT(ISERROR(SEARCH("o2",G771)))</formula>
    </cfRule>
    <cfRule type="containsText" dxfId="308" priority="341" operator="containsText" text="o1b">
      <formula>NOT(ISERROR(SEARCH("o1b",G771)))</formula>
    </cfRule>
    <cfRule type="containsText" dxfId="307" priority="342" operator="containsText" text="o1a">
      <formula>NOT(ISERROR(SEARCH("o1a",G771)))</formula>
    </cfRule>
  </conditionalFormatting>
  <conditionalFormatting sqref="F774:H774">
    <cfRule type="containsText" dxfId="306" priority="331" operator="containsText" text="o5">
      <formula>NOT(ISERROR(SEARCH("o5",F774)))</formula>
    </cfRule>
    <cfRule type="containsText" dxfId="305" priority="332" operator="containsText" text="o4">
      <formula>NOT(ISERROR(SEARCH("o4",F774)))</formula>
    </cfRule>
    <cfRule type="containsText" dxfId="304" priority="333" operator="containsText" text="o3">
      <formula>NOT(ISERROR(SEARCH("o3",F774)))</formula>
    </cfRule>
    <cfRule type="containsText" dxfId="303" priority="334" operator="containsText" text="o2">
      <formula>NOT(ISERROR(SEARCH("o2",F774)))</formula>
    </cfRule>
    <cfRule type="containsText" dxfId="302" priority="335" operator="containsText" text="o1b">
      <formula>NOT(ISERROR(SEARCH("o1b",F774)))</formula>
    </cfRule>
    <cfRule type="containsText" dxfId="301" priority="336" operator="containsText" text="o1a">
      <formula>NOT(ISERROR(SEARCH("o1a",F774)))</formula>
    </cfRule>
  </conditionalFormatting>
  <conditionalFormatting sqref="G773">
    <cfRule type="containsText" dxfId="300" priority="313" operator="containsText" text="o5">
      <formula>NOT(ISERROR(SEARCH("o5",G773)))</formula>
    </cfRule>
    <cfRule type="containsText" dxfId="299" priority="314" operator="containsText" text="o4">
      <formula>NOT(ISERROR(SEARCH("o4",G773)))</formula>
    </cfRule>
    <cfRule type="containsText" dxfId="298" priority="315" operator="containsText" text="o3">
      <formula>NOT(ISERROR(SEARCH("o3",G773)))</formula>
    </cfRule>
    <cfRule type="containsText" dxfId="297" priority="316" operator="containsText" text="o2">
      <formula>NOT(ISERROR(SEARCH("o2",G773)))</formula>
    </cfRule>
    <cfRule type="containsText" dxfId="296" priority="317" operator="containsText" text="o1b">
      <formula>NOT(ISERROR(SEARCH("o1b",G773)))</formula>
    </cfRule>
    <cfRule type="containsText" dxfId="295" priority="318" operator="containsText" text="o1a">
      <formula>NOT(ISERROR(SEARCH("o1a",G773)))</formula>
    </cfRule>
  </conditionalFormatting>
  <conditionalFormatting sqref="H772:H773">
    <cfRule type="containsText" dxfId="294" priority="325" operator="containsText" text="o5">
      <formula>NOT(ISERROR(SEARCH("o5",H772)))</formula>
    </cfRule>
    <cfRule type="containsText" dxfId="293" priority="326" operator="containsText" text="o4">
      <formula>NOT(ISERROR(SEARCH("o4",H772)))</formula>
    </cfRule>
    <cfRule type="containsText" dxfId="292" priority="327" operator="containsText" text="o3">
      <formula>NOT(ISERROR(SEARCH("o3",H772)))</formula>
    </cfRule>
    <cfRule type="containsText" dxfId="291" priority="328" operator="containsText" text="o2">
      <formula>NOT(ISERROR(SEARCH("o2",H772)))</formula>
    </cfRule>
    <cfRule type="containsText" dxfId="290" priority="329" operator="containsText" text="o1b">
      <formula>NOT(ISERROR(SEARCH("o1b",H772)))</formula>
    </cfRule>
    <cfRule type="containsText" dxfId="289" priority="330" operator="containsText" text="o1a">
      <formula>NOT(ISERROR(SEARCH("o1a",H772)))</formula>
    </cfRule>
  </conditionalFormatting>
  <conditionalFormatting sqref="F772:G772 F773">
    <cfRule type="containsText" dxfId="288" priority="319" operator="containsText" text="o5">
      <formula>NOT(ISERROR(SEARCH("o5",F772)))</formula>
    </cfRule>
    <cfRule type="containsText" dxfId="287" priority="320" operator="containsText" text="o4">
      <formula>NOT(ISERROR(SEARCH("o4",F772)))</formula>
    </cfRule>
    <cfRule type="containsText" dxfId="286" priority="321" operator="containsText" text="o3">
      <formula>NOT(ISERROR(SEARCH("o3",F772)))</formula>
    </cfRule>
    <cfRule type="containsText" dxfId="285" priority="322" operator="containsText" text="o2">
      <formula>NOT(ISERROR(SEARCH("o2",F772)))</formula>
    </cfRule>
    <cfRule type="containsText" dxfId="284" priority="323" operator="containsText" text="o1b">
      <formula>NOT(ISERROR(SEARCH("o1b",F772)))</formula>
    </cfRule>
    <cfRule type="containsText" dxfId="283" priority="324" operator="containsText" text="o1a">
      <formula>NOT(ISERROR(SEARCH("o1a",F772)))</formula>
    </cfRule>
  </conditionalFormatting>
  <conditionalFormatting sqref="E775:F775 H775 E776:H776 E777:E778 H777:H778">
    <cfRule type="containsText" dxfId="282" priority="307" operator="containsText" text="o5">
      <formula>NOT(ISERROR(SEARCH("o5",E775)))</formula>
    </cfRule>
    <cfRule type="containsText" dxfId="281" priority="308" operator="containsText" text="o4">
      <formula>NOT(ISERROR(SEARCH("o4",E775)))</formula>
    </cfRule>
    <cfRule type="containsText" dxfId="280" priority="309" operator="containsText" text="o3">
      <formula>NOT(ISERROR(SEARCH("o3",E775)))</formula>
    </cfRule>
    <cfRule type="containsText" dxfId="279" priority="310" operator="containsText" text="o2">
      <formula>NOT(ISERROR(SEARCH("o2",E775)))</formula>
    </cfRule>
    <cfRule type="containsText" dxfId="278" priority="311" operator="containsText" text="o1b">
      <formula>NOT(ISERROR(SEARCH("o1b",E775)))</formula>
    </cfRule>
    <cfRule type="containsText" dxfId="277" priority="312" operator="containsText" text="o1a">
      <formula>NOT(ISERROR(SEARCH("o1a",E775)))</formula>
    </cfRule>
  </conditionalFormatting>
  <conditionalFormatting sqref="G775">
    <cfRule type="containsText" dxfId="276" priority="301" operator="containsText" text="o5">
      <formula>NOT(ISERROR(SEARCH("o5",G775)))</formula>
    </cfRule>
    <cfRule type="containsText" dxfId="275" priority="302" operator="containsText" text="o4">
      <formula>NOT(ISERROR(SEARCH("o4",G775)))</formula>
    </cfRule>
    <cfRule type="containsText" dxfId="274" priority="303" operator="containsText" text="o3">
      <formula>NOT(ISERROR(SEARCH("o3",G775)))</formula>
    </cfRule>
    <cfRule type="containsText" dxfId="273" priority="304" operator="containsText" text="o2">
      <formula>NOT(ISERROR(SEARCH("o2",G775)))</formula>
    </cfRule>
    <cfRule type="containsText" dxfId="272" priority="305" operator="containsText" text="o1b">
      <formula>NOT(ISERROR(SEARCH("o1b",G775)))</formula>
    </cfRule>
    <cfRule type="containsText" dxfId="271" priority="306" operator="containsText" text="o1a">
      <formula>NOT(ISERROR(SEARCH("o1a",G775)))</formula>
    </cfRule>
  </conditionalFormatting>
  <conditionalFormatting sqref="F777:G777 F778">
    <cfRule type="containsText" dxfId="270" priority="295" operator="containsText" text="o5">
      <formula>NOT(ISERROR(SEARCH("o5",F777)))</formula>
    </cfRule>
    <cfRule type="containsText" dxfId="269" priority="296" operator="containsText" text="o4">
      <formula>NOT(ISERROR(SEARCH("o4",F777)))</formula>
    </cfRule>
    <cfRule type="containsText" dxfId="268" priority="297" operator="containsText" text="o3">
      <formula>NOT(ISERROR(SEARCH("o3",F777)))</formula>
    </cfRule>
    <cfRule type="containsText" dxfId="267" priority="298" operator="containsText" text="o2">
      <formula>NOT(ISERROR(SEARCH("o2",F777)))</formula>
    </cfRule>
    <cfRule type="containsText" dxfId="266" priority="299" operator="containsText" text="o1b">
      <formula>NOT(ISERROR(SEARCH("o1b",F777)))</formula>
    </cfRule>
    <cfRule type="containsText" dxfId="265" priority="300" operator="containsText" text="o1a">
      <formula>NOT(ISERROR(SEARCH("o1a",F777)))</formula>
    </cfRule>
  </conditionalFormatting>
  <conditionalFormatting sqref="G778">
    <cfRule type="containsText" dxfId="264" priority="289" operator="containsText" text="o5">
      <formula>NOT(ISERROR(SEARCH("o5",G778)))</formula>
    </cfRule>
    <cfRule type="containsText" dxfId="263" priority="290" operator="containsText" text="o4">
      <formula>NOT(ISERROR(SEARCH("o4",G778)))</formula>
    </cfRule>
    <cfRule type="containsText" dxfId="262" priority="291" operator="containsText" text="o3">
      <formula>NOT(ISERROR(SEARCH("o3",G778)))</formula>
    </cfRule>
    <cfRule type="containsText" dxfId="261" priority="292" operator="containsText" text="o2">
      <formula>NOT(ISERROR(SEARCH("o2",G778)))</formula>
    </cfRule>
    <cfRule type="containsText" dxfId="260" priority="293" operator="containsText" text="o1b">
      <formula>NOT(ISERROR(SEARCH("o1b",G778)))</formula>
    </cfRule>
    <cfRule type="containsText" dxfId="259" priority="294" operator="containsText" text="o1a">
      <formula>NOT(ISERROR(SEARCH("o1a",G778)))</formula>
    </cfRule>
  </conditionalFormatting>
  <conditionalFormatting sqref="G779">
    <cfRule type="containsText" dxfId="258" priority="283" operator="containsText" text="o5">
      <formula>NOT(ISERROR(SEARCH("o5",G779)))</formula>
    </cfRule>
    <cfRule type="containsText" dxfId="257" priority="284" operator="containsText" text="o4">
      <formula>NOT(ISERROR(SEARCH("o4",G779)))</formula>
    </cfRule>
    <cfRule type="containsText" dxfId="256" priority="285" operator="containsText" text="o3">
      <formula>NOT(ISERROR(SEARCH("o3",G779)))</formula>
    </cfRule>
    <cfRule type="containsText" dxfId="255" priority="286" operator="containsText" text="o2">
      <formula>NOT(ISERROR(SEARCH("o2",G779)))</formula>
    </cfRule>
    <cfRule type="containsText" dxfId="254" priority="287" operator="containsText" text="o1b">
      <formula>NOT(ISERROR(SEARCH("o1b",G779)))</formula>
    </cfRule>
    <cfRule type="containsText" dxfId="253" priority="288" operator="containsText" text="o1a">
      <formula>NOT(ISERROR(SEARCH("o1a",G779)))</formula>
    </cfRule>
  </conditionalFormatting>
  <conditionalFormatting sqref="F780">
    <cfRule type="containsText" dxfId="252" priority="277" operator="containsText" text="o5">
      <formula>NOT(ISERROR(SEARCH("o5",F780)))</formula>
    </cfRule>
    <cfRule type="containsText" dxfId="251" priority="278" operator="containsText" text="o4">
      <formula>NOT(ISERROR(SEARCH("o4",F780)))</formula>
    </cfRule>
    <cfRule type="containsText" dxfId="250" priority="279" operator="containsText" text="o3">
      <formula>NOT(ISERROR(SEARCH("o3",F780)))</formula>
    </cfRule>
    <cfRule type="containsText" dxfId="249" priority="280" operator="containsText" text="o2">
      <formula>NOT(ISERROR(SEARCH("o2",F780)))</formula>
    </cfRule>
    <cfRule type="containsText" dxfId="248" priority="281" operator="containsText" text="o1b">
      <formula>NOT(ISERROR(SEARCH("o1b",F780)))</formula>
    </cfRule>
    <cfRule type="containsText" dxfId="247" priority="282" operator="containsText" text="o1a">
      <formula>NOT(ISERROR(SEARCH("o1a",F780)))</formula>
    </cfRule>
  </conditionalFormatting>
  <conditionalFormatting sqref="G783">
    <cfRule type="containsText" dxfId="246" priority="259" operator="containsText" text="o5">
      <formula>NOT(ISERROR(SEARCH("o5",G783)))</formula>
    </cfRule>
    <cfRule type="containsText" dxfId="245" priority="260" operator="containsText" text="o4">
      <formula>NOT(ISERROR(SEARCH("o4",G783)))</formula>
    </cfRule>
    <cfRule type="containsText" dxfId="244" priority="261" operator="containsText" text="o3">
      <formula>NOT(ISERROR(SEARCH("o3",G783)))</formula>
    </cfRule>
    <cfRule type="containsText" dxfId="243" priority="262" operator="containsText" text="o2">
      <formula>NOT(ISERROR(SEARCH("o2",G783)))</formula>
    </cfRule>
    <cfRule type="containsText" dxfId="242" priority="263" operator="containsText" text="o1b">
      <formula>NOT(ISERROR(SEARCH("o1b",G783)))</formula>
    </cfRule>
    <cfRule type="containsText" dxfId="241" priority="264" operator="containsText" text="o1a">
      <formula>NOT(ISERROR(SEARCH("o1a",G783)))</formula>
    </cfRule>
  </conditionalFormatting>
  <conditionalFormatting sqref="H782:H783">
    <cfRule type="containsText" dxfId="240" priority="271" operator="containsText" text="o5">
      <formula>NOT(ISERROR(SEARCH("o5",H782)))</formula>
    </cfRule>
    <cfRule type="containsText" dxfId="239" priority="272" operator="containsText" text="o4">
      <formula>NOT(ISERROR(SEARCH("o4",H782)))</formula>
    </cfRule>
    <cfRule type="containsText" dxfId="238" priority="273" operator="containsText" text="o3">
      <formula>NOT(ISERROR(SEARCH("o3",H782)))</formula>
    </cfRule>
    <cfRule type="containsText" dxfId="237" priority="274" operator="containsText" text="o2">
      <formula>NOT(ISERROR(SEARCH("o2",H782)))</formula>
    </cfRule>
    <cfRule type="containsText" dxfId="236" priority="275" operator="containsText" text="o1b">
      <formula>NOT(ISERROR(SEARCH("o1b",H782)))</formula>
    </cfRule>
    <cfRule type="containsText" dxfId="235" priority="276" operator="containsText" text="o1a">
      <formula>NOT(ISERROR(SEARCH("o1a",H782)))</formula>
    </cfRule>
  </conditionalFormatting>
  <conditionalFormatting sqref="F782:G782 F783">
    <cfRule type="containsText" dxfId="234" priority="265" operator="containsText" text="o5">
      <formula>NOT(ISERROR(SEARCH("o5",F782)))</formula>
    </cfRule>
    <cfRule type="containsText" dxfId="233" priority="266" operator="containsText" text="o4">
      <formula>NOT(ISERROR(SEARCH("o4",F782)))</formula>
    </cfRule>
    <cfRule type="containsText" dxfId="232" priority="267" operator="containsText" text="o3">
      <formula>NOT(ISERROR(SEARCH("o3",F782)))</formula>
    </cfRule>
    <cfRule type="containsText" dxfId="231" priority="268" operator="containsText" text="o2">
      <formula>NOT(ISERROR(SEARCH("o2",F782)))</formula>
    </cfRule>
    <cfRule type="containsText" dxfId="230" priority="269" operator="containsText" text="o1b">
      <formula>NOT(ISERROR(SEARCH("o1b",F782)))</formula>
    </cfRule>
    <cfRule type="containsText" dxfId="229" priority="270" operator="containsText" text="o1a">
      <formula>NOT(ISERROR(SEARCH("o1a",F782)))</formula>
    </cfRule>
  </conditionalFormatting>
  <conditionalFormatting sqref="E784:F784 H784 E785:H785 E786:E787 H786:H787">
    <cfRule type="containsText" dxfId="228" priority="253" operator="containsText" text="o5">
      <formula>NOT(ISERROR(SEARCH("o5",E784)))</formula>
    </cfRule>
    <cfRule type="containsText" dxfId="227" priority="254" operator="containsText" text="o4">
      <formula>NOT(ISERROR(SEARCH("o4",E784)))</formula>
    </cfRule>
    <cfRule type="containsText" dxfId="226" priority="255" operator="containsText" text="o3">
      <formula>NOT(ISERROR(SEARCH("o3",E784)))</formula>
    </cfRule>
    <cfRule type="containsText" dxfId="225" priority="256" operator="containsText" text="o2">
      <formula>NOT(ISERROR(SEARCH("o2",E784)))</formula>
    </cfRule>
    <cfRule type="containsText" dxfId="224" priority="257" operator="containsText" text="o1b">
      <formula>NOT(ISERROR(SEARCH("o1b",E784)))</formula>
    </cfRule>
    <cfRule type="containsText" dxfId="223" priority="258" operator="containsText" text="o1a">
      <formula>NOT(ISERROR(SEARCH("o1a",E784)))</formula>
    </cfRule>
  </conditionalFormatting>
  <conditionalFormatting sqref="G784">
    <cfRule type="containsText" dxfId="222" priority="247" operator="containsText" text="o5">
      <formula>NOT(ISERROR(SEARCH("o5",G784)))</formula>
    </cfRule>
    <cfRule type="containsText" dxfId="221" priority="248" operator="containsText" text="o4">
      <formula>NOT(ISERROR(SEARCH("o4",G784)))</formula>
    </cfRule>
    <cfRule type="containsText" dxfId="220" priority="249" operator="containsText" text="o3">
      <formula>NOT(ISERROR(SEARCH("o3",G784)))</formula>
    </cfRule>
    <cfRule type="containsText" dxfId="219" priority="250" operator="containsText" text="o2">
      <formula>NOT(ISERROR(SEARCH("o2",G784)))</formula>
    </cfRule>
    <cfRule type="containsText" dxfId="218" priority="251" operator="containsText" text="o1b">
      <formula>NOT(ISERROR(SEARCH("o1b",G784)))</formula>
    </cfRule>
    <cfRule type="containsText" dxfId="217" priority="252" operator="containsText" text="o1a">
      <formula>NOT(ISERROR(SEARCH("o1a",G784)))</formula>
    </cfRule>
  </conditionalFormatting>
  <conditionalFormatting sqref="F786:G786 F787">
    <cfRule type="containsText" dxfId="216" priority="241" operator="containsText" text="o5">
      <formula>NOT(ISERROR(SEARCH("o5",F786)))</formula>
    </cfRule>
    <cfRule type="containsText" dxfId="215" priority="242" operator="containsText" text="o4">
      <formula>NOT(ISERROR(SEARCH("o4",F786)))</formula>
    </cfRule>
    <cfRule type="containsText" dxfId="214" priority="243" operator="containsText" text="o3">
      <formula>NOT(ISERROR(SEARCH("o3",F786)))</formula>
    </cfRule>
    <cfRule type="containsText" dxfId="213" priority="244" operator="containsText" text="o2">
      <formula>NOT(ISERROR(SEARCH("o2",F786)))</formula>
    </cfRule>
    <cfRule type="containsText" dxfId="212" priority="245" operator="containsText" text="o1b">
      <formula>NOT(ISERROR(SEARCH("o1b",F786)))</formula>
    </cfRule>
    <cfRule type="containsText" dxfId="211" priority="246" operator="containsText" text="o1a">
      <formula>NOT(ISERROR(SEARCH("o1a",F786)))</formula>
    </cfRule>
  </conditionalFormatting>
  <conditionalFormatting sqref="G787">
    <cfRule type="containsText" dxfId="210" priority="235" operator="containsText" text="o5">
      <formula>NOT(ISERROR(SEARCH("o5",G787)))</formula>
    </cfRule>
    <cfRule type="containsText" dxfId="209" priority="236" operator="containsText" text="o4">
      <formula>NOT(ISERROR(SEARCH("o4",G787)))</formula>
    </cfRule>
    <cfRule type="containsText" dxfId="208" priority="237" operator="containsText" text="o3">
      <formula>NOT(ISERROR(SEARCH("o3",G787)))</formula>
    </cfRule>
    <cfRule type="containsText" dxfId="207" priority="238" operator="containsText" text="o2">
      <formula>NOT(ISERROR(SEARCH("o2",G787)))</formula>
    </cfRule>
    <cfRule type="containsText" dxfId="206" priority="239" operator="containsText" text="o1b">
      <formula>NOT(ISERROR(SEARCH("o1b",G787)))</formula>
    </cfRule>
    <cfRule type="containsText" dxfId="205" priority="240" operator="containsText" text="o1a">
      <formula>NOT(ISERROR(SEARCH("o1a",G787)))</formula>
    </cfRule>
  </conditionalFormatting>
  <conditionalFormatting sqref="G789">
    <cfRule type="containsText" dxfId="204" priority="217" operator="containsText" text="o5">
      <formula>NOT(ISERROR(SEARCH("o5",G789)))</formula>
    </cfRule>
    <cfRule type="containsText" dxfId="203" priority="218" operator="containsText" text="o4">
      <formula>NOT(ISERROR(SEARCH("o4",G789)))</formula>
    </cfRule>
    <cfRule type="containsText" dxfId="202" priority="219" operator="containsText" text="o3">
      <formula>NOT(ISERROR(SEARCH("o3",G789)))</formula>
    </cfRule>
    <cfRule type="containsText" dxfId="201" priority="220" operator="containsText" text="o2">
      <formula>NOT(ISERROR(SEARCH("o2",G789)))</formula>
    </cfRule>
    <cfRule type="containsText" dxfId="200" priority="221" operator="containsText" text="o1b">
      <formula>NOT(ISERROR(SEARCH("o1b",G789)))</formula>
    </cfRule>
    <cfRule type="containsText" dxfId="199" priority="222" operator="containsText" text="o1a">
      <formula>NOT(ISERROR(SEARCH("o1a",G789)))</formula>
    </cfRule>
  </conditionalFormatting>
  <conditionalFormatting sqref="H788:H789">
    <cfRule type="containsText" dxfId="198" priority="229" operator="containsText" text="o5">
      <formula>NOT(ISERROR(SEARCH("o5",H788)))</formula>
    </cfRule>
    <cfRule type="containsText" dxfId="197" priority="230" operator="containsText" text="o4">
      <formula>NOT(ISERROR(SEARCH("o4",H788)))</formula>
    </cfRule>
    <cfRule type="containsText" dxfId="196" priority="231" operator="containsText" text="o3">
      <formula>NOT(ISERROR(SEARCH("o3",H788)))</formula>
    </cfRule>
    <cfRule type="containsText" dxfId="195" priority="232" operator="containsText" text="o2">
      <formula>NOT(ISERROR(SEARCH("o2",H788)))</formula>
    </cfRule>
    <cfRule type="containsText" dxfId="194" priority="233" operator="containsText" text="o1b">
      <formula>NOT(ISERROR(SEARCH("o1b",H788)))</formula>
    </cfRule>
    <cfRule type="containsText" dxfId="193" priority="234" operator="containsText" text="o1a">
      <formula>NOT(ISERROR(SEARCH("o1a",H788)))</formula>
    </cfRule>
  </conditionalFormatting>
  <conditionalFormatting sqref="F788:G788 F789">
    <cfRule type="containsText" dxfId="192" priority="223" operator="containsText" text="o5">
      <formula>NOT(ISERROR(SEARCH("o5",F788)))</formula>
    </cfRule>
    <cfRule type="containsText" dxfId="191" priority="224" operator="containsText" text="o4">
      <formula>NOT(ISERROR(SEARCH("o4",F788)))</formula>
    </cfRule>
    <cfRule type="containsText" dxfId="190" priority="225" operator="containsText" text="o3">
      <formula>NOT(ISERROR(SEARCH("o3",F788)))</formula>
    </cfRule>
    <cfRule type="containsText" dxfId="189" priority="226" operator="containsText" text="o2">
      <formula>NOT(ISERROR(SEARCH("o2",F788)))</formula>
    </cfRule>
    <cfRule type="containsText" dxfId="188" priority="227" operator="containsText" text="o1b">
      <formula>NOT(ISERROR(SEARCH("o1b",F788)))</formula>
    </cfRule>
    <cfRule type="containsText" dxfId="187" priority="228" operator="containsText" text="o1a">
      <formula>NOT(ISERROR(SEARCH("o1a",F788)))</formula>
    </cfRule>
  </conditionalFormatting>
  <conditionalFormatting sqref="E790:F790 H790 E791:H791 E792:E793 H792:H793">
    <cfRule type="containsText" dxfId="186" priority="211" operator="containsText" text="o5">
      <formula>NOT(ISERROR(SEARCH("o5",E790)))</formula>
    </cfRule>
    <cfRule type="containsText" dxfId="185" priority="212" operator="containsText" text="o4">
      <formula>NOT(ISERROR(SEARCH("o4",E790)))</formula>
    </cfRule>
    <cfRule type="containsText" dxfId="184" priority="213" operator="containsText" text="o3">
      <formula>NOT(ISERROR(SEARCH("o3",E790)))</formula>
    </cfRule>
    <cfRule type="containsText" dxfId="183" priority="214" operator="containsText" text="o2">
      <formula>NOT(ISERROR(SEARCH("o2",E790)))</formula>
    </cfRule>
    <cfRule type="containsText" dxfId="182" priority="215" operator="containsText" text="o1b">
      <formula>NOT(ISERROR(SEARCH("o1b",E790)))</formula>
    </cfRule>
    <cfRule type="containsText" dxfId="181" priority="216" operator="containsText" text="o1a">
      <formula>NOT(ISERROR(SEARCH("o1a",E790)))</formula>
    </cfRule>
  </conditionalFormatting>
  <conditionalFormatting sqref="G790">
    <cfRule type="containsText" dxfId="180" priority="205" operator="containsText" text="o5">
      <formula>NOT(ISERROR(SEARCH("o5",G790)))</formula>
    </cfRule>
    <cfRule type="containsText" dxfId="179" priority="206" operator="containsText" text="o4">
      <formula>NOT(ISERROR(SEARCH("o4",G790)))</formula>
    </cfRule>
    <cfRule type="containsText" dxfId="178" priority="207" operator="containsText" text="o3">
      <formula>NOT(ISERROR(SEARCH("o3",G790)))</formula>
    </cfRule>
    <cfRule type="containsText" dxfId="177" priority="208" operator="containsText" text="o2">
      <formula>NOT(ISERROR(SEARCH("o2",G790)))</formula>
    </cfRule>
    <cfRule type="containsText" dxfId="176" priority="209" operator="containsText" text="o1b">
      <formula>NOT(ISERROR(SEARCH("o1b",G790)))</formula>
    </cfRule>
    <cfRule type="containsText" dxfId="175" priority="210" operator="containsText" text="o1a">
      <formula>NOT(ISERROR(SEARCH("o1a",G790)))</formula>
    </cfRule>
  </conditionalFormatting>
  <conditionalFormatting sqref="F792:G792 F793">
    <cfRule type="containsText" dxfId="174" priority="199" operator="containsText" text="o5">
      <formula>NOT(ISERROR(SEARCH("o5",F792)))</formula>
    </cfRule>
    <cfRule type="containsText" dxfId="173" priority="200" operator="containsText" text="o4">
      <formula>NOT(ISERROR(SEARCH("o4",F792)))</formula>
    </cfRule>
    <cfRule type="containsText" dxfId="172" priority="201" operator="containsText" text="o3">
      <formula>NOT(ISERROR(SEARCH("o3",F792)))</formula>
    </cfRule>
    <cfRule type="containsText" dxfId="171" priority="202" operator="containsText" text="o2">
      <formula>NOT(ISERROR(SEARCH("o2",F792)))</formula>
    </cfRule>
    <cfRule type="containsText" dxfId="170" priority="203" operator="containsText" text="o1b">
      <formula>NOT(ISERROR(SEARCH("o1b",F792)))</formula>
    </cfRule>
    <cfRule type="containsText" dxfId="169" priority="204" operator="containsText" text="o1a">
      <formula>NOT(ISERROR(SEARCH("o1a",F792)))</formula>
    </cfRule>
  </conditionalFormatting>
  <conditionalFormatting sqref="G793">
    <cfRule type="containsText" dxfId="168" priority="193" operator="containsText" text="o5">
      <formula>NOT(ISERROR(SEARCH("o5",G793)))</formula>
    </cfRule>
    <cfRule type="containsText" dxfId="167" priority="194" operator="containsText" text="o4">
      <formula>NOT(ISERROR(SEARCH("o4",G793)))</formula>
    </cfRule>
    <cfRule type="containsText" dxfId="166" priority="195" operator="containsText" text="o3">
      <formula>NOT(ISERROR(SEARCH("o3",G793)))</formula>
    </cfRule>
    <cfRule type="containsText" dxfId="165" priority="196" operator="containsText" text="o2">
      <formula>NOT(ISERROR(SEARCH("o2",G793)))</formula>
    </cfRule>
    <cfRule type="containsText" dxfId="164" priority="197" operator="containsText" text="o1b">
      <formula>NOT(ISERROR(SEARCH("o1b",G793)))</formula>
    </cfRule>
    <cfRule type="containsText" dxfId="163" priority="198" operator="containsText" text="o1a">
      <formula>NOT(ISERROR(SEARCH("o1a",G793)))</formula>
    </cfRule>
  </conditionalFormatting>
  <conditionalFormatting sqref="G795">
    <cfRule type="containsText" dxfId="162" priority="175" operator="containsText" text="o5">
      <formula>NOT(ISERROR(SEARCH("o5",G795)))</formula>
    </cfRule>
    <cfRule type="containsText" dxfId="161" priority="176" operator="containsText" text="o4">
      <formula>NOT(ISERROR(SEARCH("o4",G795)))</formula>
    </cfRule>
    <cfRule type="containsText" dxfId="160" priority="177" operator="containsText" text="o3">
      <formula>NOT(ISERROR(SEARCH("o3",G795)))</formula>
    </cfRule>
    <cfRule type="containsText" dxfId="159" priority="178" operator="containsText" text="o2">
      <formula>NOT(ISERROR(SEARCH("o2",G795)))</formula>
    </cfRule>
    <cfRule type="containsText" dxfId="158" priority="179" operator="containsText" text="o1b">
      <formula>NOT(ISERROR(SEARCH("o1b",G795)))</formula>
    </cfRule>
    <cfRule type="containsText" dxfId="157" priority="180" operator="containsText" text="o1a">
      <formula>NOT(ISERROR(SEARCH("o1a",G795)))</formula>
    </cfRule>
  </conditionalFormatting>
  <conditionalFormatting sqref="H794:H795">
    <cfRule type="containsText" dxfId="156" priority="187" operator="containsText" text="o5">
      <formula>NOT(ISERROR(SEARCH("o5",H794)))</formula>
    </cfRule>
    <cfRule type="containsText" dxfId="155" priority="188" operator="containsText" text="o4">
      <formula>NOT(ISERROR(SEARCH("o4",H794)))</formula>
    </cfRule>
    <cfRule type="containsText" dxfId="154" priority="189" operator="containsText" text="o3">
      <formula>NOT(ISERROR(SEARCH("o3",H794)))</formula>
    </cfRule>
    <cfRule type="containsText" dxfId="153" priority="190" operator="containsText" text="o2">
      <formula>NOT(ISERROR(SEARCH("o2",H794)))</formula>
    </cfRule>
    <cfRule type="containsText" dxfId="152" priority="191" operator="containsText" text="o1b">
      <formula>NOT(ISERROR(SEARCH("o1b",H794)))</formula>
    </cfRule>
    <cfRule type="containsText" dxfId="151" priority="192" operator="containsText" text="o1a">
      <formula>NOT(ISERROR(SEARCH("o1a",H794)))</formula>
    </cfRule>
  </conditionalFormatting>
  <conditionalFormatting sqref="F794:G794 F795">
    <cfRule type="containsText" dxfId="150" priority="181" operator="containsText" text="o5">
      <formula>NOT(ISERROR(SEARCH("o5",F794)))</formula>
    </cfRule>
    <cfRule type="containsText" dxfId="149" priority="182" operator="containsText" text="o4">
      <formula>NOT(ISERROR(SEARCH("o4",F794)))</formula>
    </cfRule>
    <cfRule type="containsText" dxfId="148" priority="183" operator="containsText" text="o3">
      <formula>NOT(ISERROR(SEARCH("o3",F794)))</formula>
    </cfRule>
    <cfRule type="containsText" dxfId="147" priority="184" operator="containsText" text="o2">
      <formula>NOT(ISERROR(SEARCH("o2",F794)))</formula>
    </cfRule>
    <cfRule type="containsText" dxfId="146" priority="185" operator="containsText" text="o1b">
      <formula>NOT(ISERROR(SEARCH("o1b",F794)))</formula>
    </cfRule>
    <cfRule type="containsText" dxfId="145" priority="186" operator="containsText" text="o1a">
      <formula>NOT(ISERROR(SEARCH("o1a",F794)))</formula>
    </cfRule>
  </conditionalFormatting>
  <conditionalFormatting sqref="E796:F796 H796 E797:H797 E798:E799 H798:H799">
    <cfRule type="containsText" dxfId="144" priority="169" operator="containsText" text="o5">
      <formula>NOT(ISERROR(SEARCH("o5",E796)))</formula>
    </cfRule>
    <cfRule type="containsText" dxfId="143" priority="170" operator="containsText" text="o4">
      <formula>NOT(ISERROR(SEARCH("o4",E796)))</formula>
    </cfRule>
    <cfRule type="containsText" dxfId="142" priority="171" operator="containsText" text="o3">
      <formula>NOT(ISERROR(SEARCH("o3",E796)))</formula>
    </cfRule>
    <cfRule type="containsText" dxfId="141" priority="172" operator="containsText" text="o2">
      <formula>NOT(ISERROR(SEARCH("o2",E796)))</formula>
    </cfRule>
    <cfRule type="containsText" dxfId="140" priority="173" operator="containsText" text="o1b">
      <formula>NOT(ISERROR(SEARCH("o1b",E796)))</formula>
    </cfRule>
    <cfRule type="containsText" dxfId="139" priority="174" operator="containsText" text="o1a">
      <formula>NOT(ISERROR(SEARCH("o1a",E796)))</formula>
    </cfRule>
  </conditionalFormatting>
  <conditionalFormatting sqref="G796">
    <cfRule type="containsText" dxfId="138" priority="163" operator="containsText" text="o5">
      <formula>NOT(ISERROR(SEARCH("o5",G796)))</formula>
    </cfRule>
    <cfRule type="containsText" dxfId="137" priority="164" operator="containsText" text="o4">
      <formula>NOT(ISERROR(SEARCH("o4",G796)))</formula>
    </cfRule>
    <cfRule type="containsText" dxfId="136" priority="165" operator="containsText" text="o3">
      <formula>NOT(ISERROR(SEARCH("o3",G796)))</formula>
    </cfRule>
    <cfRule type="containsText" dxfId="135" priority="166" operator="containsText" text="o2">
      <formula>NOT(ISERROR(SEARCH("o2",G796)))</formula>
    </cfRule>
    <cfRule type="containsText" dxfId="134" priority="167" operator="containsText" text="o1b">
      <formula>NOT(ISERROR(SEARCH("o1b",G796)))</formula>
    </cfRule>
    <cfRule type="containsText" dxfId="133" priority="168" operator="containsText" text="o1a">
      <formula>NOT(ISERROR(SEARCH("o1a",G796)))</formula>
    </cfRule>
  </conditionalFormatting>
  <conditionalFormatting sqref="F798:G798 F799">
    <cfRule type="containsText" dxfId="132" priority="157" operator="containsText" text="o5">
      <formula>NOT(ISERROR(SEARCH("o5",F798)))</formula>
    </cfRule>
    <cfRule type="containsText" dxfId="131" priority="158" operator="containsText" text="o4">
      <formula>NOT(ISERROR(SEARCH("o4",F798)))</formula>
    </cfRule>
    <cfRule type="containsText" dxfId="130" priority="159" operator="containsText" text="o3">
      <formula>NOT(ISERROR(SEARCH("o3",F798)))</formula>
    </cfRule>
    <cfRule type="containsText" dxfId="129" priority="160" operator="containsText" text="o2">
      <formula>NOT(ISERROR(SEARCH("o2",F798)))</formula>
    </cfRule>
    <cfRule type="containsText" dxfId="128" priority="161" operator="containsText" text="o1b">
      <formula>NOT(ISERROR(SEARCH("o1b",F798)))</formula>
    </cfRule>
    <cfRule type="containsText" dxfId="127" priority="162" operator="containsText" text="o1a">
      <formula>NOT(ISERROR(SEARCH("o1a",F798)))</formula>
    </cfRule>
  </conditionalFormatting>
  <conditionalFormatting sqref="G799">
    <cfRule type="containsText" dxfId="126" priority="151" operator="containsText" text="o5">
      <formula>NOT(ISERROR(SEARCH("o5",G799)))</formula>
    </cfRule>
    <cfRule type="containsText" dxfId="125" priority="152" operator="containsText" text="o4">
      <formula>NOT(ISERROR(SEARCH("o4",G799)))</formula>
    </cfRule>
    <cfRule type="containsText" dxfId="124" priority="153" operator="containsText" text="o3">
      <formula>NOT(ISERROR(SEARCH("o3",G799)))</formula>
    </cfRule>
    <cfRule type="containsText" dxfId="123" priority="154" operator="containsText" text="o2">
      <formula>NOT(ISERROR(SEARCH("o2",G799)))</formula>
    </cfRule>
    <cfRule type="containsText" dxfId="122" priority="155" operator="containsText" text="o1b">
      <formula>NOT(ISERROR(SEARCH("o1b",G799)))</formula>
    </cfRule>
    <cfRule type="containsText" dxfId="121" priority="156" operator="containsText" text="o1a">
      <formula>NOT(ISERROR(SEARCH("o1a",G799)))</formula>
    </cfRule>
  </conditionalFormatting>
  <conditionalFormatting sqref="G801">
    <cfRule type="containsText" dxfId="120" priority="133" operator="containsText" text="o5">
      <formula>NOT(ISERROR(SEARCH("o5",G801)))</formula>
    </cfRule>
    <cfRule type="containsText" dxfId="119" priority="134" operator="containsText" text="o4">
      <formula>NOT(ISERROR(SEARCH("o4",G801)))</formula>
    </cfRule>
    <cfRule type="containsText" dxfId="118" priority="135" operator="containsText" text="o3">
      <formula>NOT(ISERROR(SEARCH("o3",G801)))</formula>
    </cfRule>
    <cfRule type="containsText" dxfId="117" priority="136" operator="containsText" text="o2">
      <formula>NOT(ISERROR(SEARCH("o2",G801)))</formula>
    </cfRule>
    <cfRule type="containsText" dxfId="116" priority="137" operator="containsText" text="o1b">
      <formula>NOT(ISERROR(SEARCH("o1b",G801)))</formula>
    </cfRule>
    <cfRule type="containsText" dxfId="115" priority="138" operator="containsText" text="o1a">
      <formula>NOT(ISERROR(SEARCH("o1a",G801)))</formula>
    </cfRule>
  </conditionalFormatting>
  <conditionalFormatting sqref="H800:H801">
    <cfRule type="containsText" dxfId="114" priority="145" operator="containsText" text="o5">
      <formula>NOT(ISERROR(SEARCH("o5",H800)))</formula>
    </cfRule>
    <cfRule type="containsText" dxfId="113" priority="146" operator="containsText" text="o4">
      <formula>NOT(ISERROR(SEARCH("o4",H800)))</formula>
    </cfRule>
    <cfRule type="containsText" dxfId="112" priority="147" operator="containsText" text="o3">
      <formula>NOT(ISERROR(SEARCH("o3",H800)))</formula>
    </cfRule>
    <cfRule type="containsText" dxfId="111" priority="148" operator="containsText" text="o2">
      <formula>NOT(ISERROR(SEARCH("o2",H800)))</formula>
    </cfRule>
    <cfRule type="containsText" dxfId="110" priority="149" operator="containsText" text="o1b">
      <formula>NOT(ISERROR(SEARCH("o1b",H800)))</formula>
    </cfRule>
    <cfRule type="containsText" dxfId="109" priority="150" operator="containsText" text="o1a">
      <formula>NOT(ISERROR(SEARCH("o1a",H800)))</formula>
    </cfRule>
  </conditionalFormatting>
  <conditionalFormatting sqref="F800:G800 F801">
    <cfRule type="containsText" dxfId="108" priority="139" operator="containsText" text="o5">
      <formula>NOT(ISERROR(SEARCH("o5",F800)))</formula>
    </cfRule>
    <cfRule type="containsText" dxfId="107" priority="140" operator="containsText" text="o4">
      <formula>NOT(ISERROR(SEARCH("o4",F800)))</formula>
    </cfRule>
    <cfRule type="containsText" dxfId="106" priority="141" operator="containsText" text="o3">
      <formula>NOT(ISERROR(SEARCH("o3",F800)))</formula>
    </cfRule>
    <cfRule type="containsText" dxfId="105" priority="142" operator="containsText" text="o2">
      <formula>NOT(ISERROR(SEARCH("o2",F800)))</formula>
    </cfRule>
    <cfRule type="containsText" dxfId="104" priority="143" operator="containsText" text="o1b">
      <formula>NOT(ISERROR(SEARCH("o1b",F800)))</formula>
    </cfRule>
    <cfRule type="containsText" dxfId="103" priority="144" operator="containsText" text="o1a">
      <formula>NOT(ISERROR(SEARCH("o1a",F800)))</formula>
    </cfRule>
  </conditionalFormatting>
  <conditionalFormatting sqref="E802:F802 H802 E803:H803 E804:E805 H804:H805">
    <cfRule type="containsText" dxfId="102" priority="127" operator="containsText" text="o5">
      <formula>NOT(ISERROR(SEARCH("o5",E802)))</formula>
    </cfRule>
    <cfRule type="containsText" dxfId="101" priority="128" operator="containsText" text="o4">
      <formula>NOT(ISERROR(SEARCH("o4",E802)))</formula>
    </cfRule>
    <cfRule type="containsText" dxfId="100" priority="129" operator="containsText" text="o3">
      <formula>NOT(ISERROR(SEARCH("o3",E802)))</formula>
    </cfRule>
    <cfRule type="containsText" dxfId="99" priority="130" operator="containsText" text="o2">
      <formula>NOT(ISERROR(SEARCH("o2",E802)))</formula>
    </cfRule>
    <cfRule type="containsText" dxfId="98" priority="131" operator="containsText" text="o1b">
      <formula>NOT(ISERROR(SEARCH("o1b",E802)))</formula>
    </cfRule>
    <cfRule type="containsText" dxfId="97" priority="132" operator="containsText" text="o1a">
      <formula>NOT(ISERROR(SEARCH("o1a",E802)))</formula>
    </cfRule>
  </conditionalFormatting>
  <conditionalFormatting sqref="G802">
    <cfRule type="containsText" dxfId="96" priority="121" operator="containsText" text="o5">
      <formula>NOT(ISERROR(SEARCH("o5",G802)))</formula>
    </cfRule>
    <cfRule type="containsText" dxfId="95" priority="122" operator="containsText" text="o4">
      <formula>NOT(ISERROR(SEARCH("o4",G802)))</formula>
    </cfRule>
    <cfRule type="containsText" dxfId="94" priority="123" operator="containsText" text="o3">
      <formula>NOT(ISERROR(SEARCH("o3",G802)))</formula>
    </cfRule>
    <cfRule type="containsText" dxfId="93" priority="124" operator="containsText" text="o2">
      <formula>NOT(ISERROR(SEARCH("o2",G802)))</formula>
    </cfRule>
    <cfRule type="containsText" dxfId="92" priority="125" operator="containsText" text="o1b">
      <formula>NOT(ISERROR(SEARCH("o1b",G802)))</formula>
    </cfRule>
    <cfRule type="containsText" dxfId="91" priority="126" operator="containsText" text="o1a">
      <formula>NOT(ISERROR(SEARCH("o1a",G802)))</formula>
    </cfRule>
  </conditionalFormatting>
  <conditionalFormatting sqref="F804:G804 F805">
    <cfRule type="containsText" dxfId="90" priority="115" operator="containsText" text="o5">
      <formula>NOT(ISERROR(SEARCH("o5",F804)))</formula>
    </cfRule>
    <cfRule type="containsText" dxfId="89" priority="116" operator="containsText" text="o4">
      <formula>NOT(ISERROR(SEARCH("o4",F804)))</formula>
    </cfRule>
    <cfRule type="containsText" dxfId="88" priority="117" operator="containsText" text="o3">
      <formula>NOT(ISERROR(SEARCH("o3",F804)))</formula>
    </cfRule>
    <cfRule type="containsText" dxfId="87" priority="118" operator="containsText" text="o2">
      <formula>NOT(ISERROR(SEARCH("o2",F804)))</formula>
    </cfRule>
    <cfRule type="containsText" dxfId="86" priority="119" operator="containsText" text="o1b">
      <formula>NOT(ISERROR(SEARCH("o1b",F804)))</formula>
    </cfRule>
    <cfRule type="containsText" dxfId="85" priority="120" operator="containsText" text="o1a">
      <formula>NOT(ISERROR(SEARCH("o1a",F804)))</formula>
    </cfRule>
  </conditionalFormatting>
  <conditionalFormatting sqref="G805">
    <cfRule type="containsText" dxfId="84" priority="109" operator="containsText" text="o5">
      <formula>NOT(ISERROR(SEARCH("o5",G805)))</formula>
    </cfRule>
    <cfRule type="containsText" dxfId="83" priority="110" operator="containsText" text="o4">
      <formula>NOT(ISERROR(SEARCH("o4",G805)))</formula>
    </cfRule>
    <cfRule type="containsText" dxfId="82" priority="111" operator="containsText" text="o3">
      <formula>NOT(ISERROR(SEARCH("o3",G805)))</formula>
    </cfRule>
    <cfRule type="containsText" dxfId="81" priority="112" operator="containsText" text="o2">
      <formula>NOT(ISERROR(SEARCH("o2",G805)))</formula>
    </cfRule>
    <cfRule type="containsText" dxfId="80" priority="113" operator="containsText" text="o1b">
      <formula>NOT(ISERROR(SEARCH("o1b",G805)))</formula>
    </cfRule>
    <cfRule type="containsText" dxfId="79" priority="114" operator="containsText" text="o1a">
      <formula>NOT(ISERROR(SEARCH("o1a",G805)))</formula>
    </cfRule>
  </conditionalFormatting>
  <conditionalFormatting sqref="G808">
    <cfRule type="containsText" dxfId="78" priority="79" operator="containsText" text="o5">
      <formula>NOT(ISERROR(SEARCH("o5",G808)))</formula>
    </cfRule>
    <cfRule type="containsText" dxfId="77" priority="80" operator="containsText" text="o4">
      <formula>NOT(ISERROR(SEARCH("o4",G808)))</formula>
    </cfRule>
    <cfRule type="containsText" dxfId="76" priority="81" operator="containsText" text="o3">
      <formula>NOT(ISERROR(SEARCH("o3",G808)))</formula>
    </cfRule>
    <cfRule type="containsText" dxfId="75" priority="82" operator="containsText" text="o2">
      <formula>NOT(ISERROR(SEARCH("o2",G808)))</formula>
    </cfRule>
    <cfRule type="containsText" dxfId="74" priority="83" operator="containsText" text="o1b">
      <formula>NOT(ISERROR(SEARCH("o1b",G808)))</formula>
    </cfRule>
    <cfRule type="containsText" dxfId="73" priority="84" operator="containsText" text="o1a">
      <formula>NOT(ISERROR(SEARCH("o1a",G808)))</formula>
    </cfRule>
  </conditionalFormatting>
  <conditionalFormatting sqref="G809">
    <cfRule type="containsText" dxfId="72" priority="73" operator="containsText" text="o5">
      <formula>NOT(ISERROR(SEARCH("o5",G809)))</formula>
    </cfRule>
    <cfRule type="containsText" dxfId="71" priority="74" operator="containsText" text="o4">
      <formula>NOT(ISERROR(SEARCH("o4",G809)))</formula>
    </cfRule>
    <cfRule type="containsText" dxfId="70" priority="75" operator="containsText" text="o3">
      <formula>NOT(ISERROR(SEARCH("o3",G809)))</formula>
    </cfRule>
    <cfRule type="containsText" dxfId="69" priority="76" operator="containsText" text="o2">
      <formula>NOT(ISERROR(SEARCH("o2",G809)))</formula>
    </cfRule>
    <cfRule type="containsText" dxfId="68" priority="77" operator="containsText" text="o1b">
      <formula>NOT(ISERROR(SEARCH("o1b",G809)))</formula>
    </cfRule>
    <cfRule type="containsText" dxfId="67" priority="78" operator="containsText" text="o1a">
      <formula>NOT(ISERROR(SEARCH("o1a",G809)))</formula>
    </cfRule>
  </conditionalFormatting>
  <conditionalFormatting sqref="G812">
    <cfRule type="containsText" dxfId="66" priority="67" operator="containsText" text="o5">
      <formula>NOT(ISERROR(SEARCH("o5",G812)))</formula>
    </cfRule>
    <cfRule type="containsText" dxfId="65" priority="68" operator="containsText" text="o4">
      <formula>NOT(ISERROR(SEARCH("o4",G812)))</formula>
    </cfRule>
    <cfRule type="containsText" dxfId="64" priority="69" operator="containsText" text="o3">
      <formula>NOT(ISERROR(SEARCH("o3",G812)))</formula>
    </cfRule>
    <cfRule type="containsText" dxfId="63" priority="70" operator="containsText" text="o2">
      <formula>NOT(ISERROR(SEARCH("o2",G812)))</formula>
    </cfRule>
    <cfRule type="containsText" dxfId="62" priority="71" operator="containsText" text="o1b">
      <formula>NOT(ISERROR(SEARCH("o1b",G812)))</formula>
    </cfRule>
    <cfRule type="containsText" dxfId="61" priority="72" operator="containsText" text="o1a">
      <formula>NOT(ISERROR(SEARCH("o1a",G812)))</formula>
    </cfRule>
  </conditionalFormatting>
  <conditionalFormatting sqref="E549:H549">
    <cfRule type="containsText" dxfId="60" priority="55" operator="containsText" text="o5">
      <formula>NOT(ISERROR(SEARCH("o5",E549)))</formula>
    </cfRule>
    <cfRule type="containsText" dxfId="59" priority="56" operator="containsText" text="o4">
      <formula>NOT(ISERROR(SEARCH("o4",E549)))</formula>
    </cfRule>
    <cfRule type="containsText" dxfId="58" priority="57" operator="containsText" text="o3">
      <formula>NOT(ISERROR(SEARCH("o3",E549)))</formula>
    </cfRule>
    <cfRule type="containsText" dxfId="57" priority="58" operator="containsText" text="o2">
      <formula>NOT(ISERROR(SEARCH("o2",E549)))</formula>
    </cfRule>
    <cfRule type="containsText" dxfId="56" priority="59" operator="containsText" text="o1b">
      <formula>NOT(ISERROR(SEARCH("o1b",E549)))</formula>
    </cfRule>
    <cfRule type="containsText" dxfId="55" priority="60" operator="containsText" text="o1a">
      <formula>NOT(ISERROR(SEARCH("o1a",E549)))</formula>
    </cfRule>
  </conditionalFormatting>
  <conditionalFormatting sqref="E565">
    <cfRule type="containsText" dxfId="54" priority="49" operator="containsText" text="o5">
      <formula>NOT(ISERROR(SEARCH("o5",E565)))</formula>
    </cfRule>
    <cfRule type="containsText" dxfId="53" priority="50" operator="containsText" text="o4">
      <formula>NOT(ISERROR(SEARCH("o4",E565)))</formula>
    </cfRule>
    <cfRule type="containsText" dxfId="52" priority="51" operator="containsText" text="o3">
      <formula>NOT(ISERROR(SEARCH("o3",E565)))</formula>
    </cfRule>
    <cfRule type="containsText" dxfId="51" priority="52" operator="containsText" text="o2">
      <formula>NOT(ISERROR(SEARCH("o2",E565)))</formula>
    </cfRule>
    <cfRule type="containsText" dxfId="50" priority="53" operator="containsText" text="o1b">
      <formula>NOT(ISERROR(SEARCH("o1b",E565)))</formula>
    </cfRule>
    <cfRule type="containsText" dxfId="49" priority="54" operator="containsText" text="o1a">
      <formula>NOT(ISERROR(SEARCH("o1a",E565)))</formula>
    </cfRule>
  </conditionalFormatting>
  <conditionalFormatting sqref="F682">
    <cfRule type="containsText" dxfId="48" priority="43" operator="containsText" text="o5">
      <formula>NOT(ISERROR(SEARCH("o5",F682)))</formula>
    </cfRule>
    <cfRule type="containsText" dxfId="47" priority="44" operator="containsText" text="o4">
      <formula>NOT(ISERROR(SEARCH("o4",F682)))</formula>
    </cfRule>
    <cfRule type="containsText" dxfId="46" priority="45" operator="containsText" text="o3">
      <formula>NOT(ISERROR(SEARCH("o3",F682)))</formula>
    </cfRule>
    <cfRule type="containsText" dxfId="45" priority="46" operator="containsText" text="o2">
      <formula>NOT(ISERROR(SEARCH("o2",F682)))</formula>
    </cfRule>
    <cfRule type="containsText" dxfId="44" priority="47" operator="containsText" text="o1b">
      <formula>NOT(ISERROR(SEARCH("o1b",F682)))</formula>
    </cfRule>
    <cfRule type="containsText" dxfId="43" priority="48" operator="containsText" text="o1a">
      <formula>NOT(ISERROR(SEARCH("o1a",F682)))</formula>
    </cfRule>
  </conditionalFormatting>
  <conditionalFormatting sqref="E229:H242">
    <cfRule type="containsText" dxfId="42" priority="37" operator="containsText" text="o5">
      <formula>NOT(ISERROR(SEARCH("o5",E229)))</formula>
    </cfRule>
    <cfRule type="containsText" dxfId="41" priority="38" operator="containsText" text="o4">
      <formula>NOT(ISERROR(SEARCH("o4",E229)))</formula>
    </cfRule>
    <cfRule type="containsText" dxfId="40" priority="39" operator="containsText" text="o3">
      <formula>NOT(ISERROR(SEARCH("o3",E229)))</formula>
    </cfRule>
    <cfRule type="containsText" dxfId="39" priority="40" operator="containsText" text="o2">
      <formula>NOT(ISERROR(SEARCH("o2",E229)))</formula>
    </cfRule>
    <cfRule type="containsText" dxfId="38" priority="41" operator="containsText" text="o1b">
      <formula>NOT(ISERROR(SEARCH("o1b",E229)))</formula>
    </cfRule>
    <cfRule type="containsText" dxfId="37" priority="42" operator="containsText" text="o1a">
      <formula>NOT(ISERROR(SEARCH("o1a",E229)))</formula>
    </cfRule>
  </conditionalFormatting>
  <conditionalFormatting sqref="E526:H527">
    <cfRule type="containsText" dxfId="36" priority="31" operator="containsText" text="o5">
      <formula>NOT(ISERROR(SEARCH("o5",E526)))</formula>
    </cfRule>
    <cfRule type="containsText" dxfId="35" priority="32" operator="containsText" text="o4">
      <formula>NOT(ISERROR(SEARCH("o4",E526)))</formula>
    </cfRule>
    <cfRule type="containsText" dxfId="34" priority="33" operator="containsText" text="o3">
      <formula>NOT(ISERROR(SEARCH("o3",E526)))</formula>
    </cfRule>
    <cfRule type="containsText" dxfId="33" priority="34" operator="containsText" text="o2">
      <formula>NOT(ISERROR(SEARCH("o2",E526)))</formula>
    </cfRule>
    <cfRule type="containsText" dxfId="32" priority="35" operator="containsText" text="o1b">
      <formula>NOT(ISERROR(SEARCH("o1b",E526)))</formula>
    </cfRule>
    <cfRule type="containsText" dxfId="31" priority="36" operator="containsText" text="o1a">
      <formula>NOT(ISERROR(SEARCH("o1a",E526)))</formula>
    </cfRule>
  </conditionalFormatting>
  <conditionalFormatting sqref="H528:H535">
    <cfRule type="containsText" dxfId="30" priority="25" operator="containsText" text="o5">
      <formula>NOT(ISERROR(SEARCH("o5",H528)))</formula>
    </cfRule>
    <cfRule type="containsText" dxfId="29" priority="26" operator="containsText" text="o4">
      <formula>NOT(ISERROR(SEARCH("o4",H528)))</formula>
    </cfRule>
    <cfRule type="containsText" dxfId="28" priority="27" operator="containsText" text="o3">
      <formula>NOT(ISERROR(SEARCH("o3",H528)))</formula>
    </cfRule>
    <cfRule type="containsText" dxfId="27" priority="28" operator="containsText" text="o2">
      <formula>NOT(ISERROR(SEARCH("o2",H528)))</formula>
    </cfRule>
    <cfRule type="containsText" dxfId="26" priority="29" operator="containsText" text="o1b">
      <formula>NOT(ISERROR(SEARCH("o1b",H528)))</formula>
    </cfRule>
    <cfRule type="containsText" dxfId="25" priority="30" operator="containsText" text="o1a">
      <formula>NOT(ISERROR(SEARCH("o1a",H528)))</formula>
    </cfRule>
  </conditionalFormatting>
  <conditionalFormatting sqref="G817:G824 E817:E824">
    <cfRule type="containsText" dxfId="24" priority="19" operator="containsText" text="o5">
      <formula>NOT(ISERROR(SEARCH("o5",E817)))</formula>
    </cfRule>
    <cfRule type="containsText" dxfId="23" priority="20" operator="containsText" text="o4">
      <formula>NOT(ISERROR(SEARCH("o4",E817)))</formula>
    </cfRule>
    <cfRule type="containsText" dxfId="22" priority="21" operator="containsText" text="o3">
      <formula>NOT(ISERROR(SEARCH("o3",E817)))</formula>
    </cfRule>
    <cfRule type="containsText" dxfId="21" priority="22" operator="containsText" text="o2">
      <formula>NOT(ISERROR(SEARCH("o2",E817)))</formula>
    </cfRule>
    <cfRule type="containsText" dxfId="20" priority="23" operator="containsText" text="o1b">
      <formula>NOT(ISERROR(SEARCH("o1b",E817)))</formula>
    </cfRule>
    <cfRule type="containsText" dxfId="19" priority="24" operator="containsText" text="o1a">
      <formula>NOT(ISERROR(SEARCH("o1a",E817)))</formula>
    </cfRule>
  </conditionalFormatting>
  <conditionalFormatting sqref="F817:F824">
    <cfRule type="containsText" dxfId="18" priority="13" operator="containsText" text="o5">
      <formula>NOT(ISERROR(SEARCH("o5",F817)))</formula>
    </cfRule>
    <cfRule type="containsText" dxfId="17" priority="14" operator="containsText" text="o4">
      <formula>NOT(ISERROR(SEARCH("o4",F817)))</formula>
    </cfRule>
    <cfRule type="containsText" dxfId="16" priority="15" operator="containsText" text="o3">
      <formula>NOT(ISERROR(SEARCH("o3",F817)))</formula>
    </cfRule>
    <cfRule type="containsText" dxfId="15" priority="16" operator="containsText" text="o2">
      <formula>NOT(ISERROR(SEARCH("o2",F817)))</formula>
    </cfRule>
    <cfRule type="containsText" dxfId="14" priority="17" operator="containsText" text="o1b">
      <formula>NOT(ISERROR(SEARCH("o1b",F817)))</formula>
    </cfRule>
    <cfRule type="containsText" dxfId="13" priority="18" operator="containsText" text="o1a">
      <formula>NOT(ISERROR(SEARCH("o1a",F817)))</formula>
    </cfRule>
  </conditionalFormatting>
  <conditionalFormatting sqref="E815:H816">
    <cfRule type="containsText" dxfId="12" priority="7" operator="containsText" text="o5">
      <formula>NOT(ISERROR(SEARCH("o5",E815)))</formula>
    </cfRule>
    <cfRule type="containsText" dxfId="11" priority="8" operator="containsText" text="o4">
      <formula>NOT(ISERROR(SEARCH("o4",E815)))</formula>
    </cfRule>
    <cfRule type="containsText" dxfId="10" priority="9" operator="containsText" text="o3">
      <formula>NOT(ISERROR(SEARCH("o3",E815)))</formula>
    </cfRule>
    <cfRule type="containsText" dxfId="9" priority="10" operator="containsText" text="o2">
      <formula>NOT(ISERROR(SEARCH("o2",E815)))</formula>
    </cfRule>
    <cfRule type="containsText" dxfId="8" priority="11" operator="containsText" text="o1b">
      <formula>NOT(ISERROR(SEARCH("o1b",E815)))</formula>
    </cfRule>
    <cfRule type="containsText" dxfId="7" priority="12" operator="containsText" text="o1a">
      <formula>NOT(ISERROR(SEARCH("o1a",E815)))</formula>
    </cfRule>
  </conditionalFormatting>
  <conditionalFormatting sqref="H817:H824">
    <cfRule type="containsText" dxfId="6" priority="1" operator="containsText" text="o5">
      <formula>NOT(ISERROR(SEARCH("o5",H817)))</formula>
    </cfRule>
    <cfRule type="containsText" dxfId="5" priority="2" operator="containsText" text="o4">
      <formula>NOT(ISERROR(SEARCH("o4",H817)))</formula>
    </cfRule>
    <cfRule type="containsText" dxfId="4" priority="3" operator="containsText" text="o3">
      <formula>NOT(ISERROR(SEARCH("o3",H817)))</formula>
    </cfRule>
    <cfRule type="containsText" dxfId="3" priority="4" operator="containsText" text="o2">
      <formula>NOT(ISERROR(SEARCH("o2",H817)))</formula>
    </cfRule>
    <cfRule type="containsText" dxfId="2" priority="5" operator="containsText" text="o1b">
      <formula>NOT(ISERROR(SEARCH("o1b",H817)))</formula>
    </cfRule>
    <cfRule type="containsText" dxfId="1" priority="6" operator="containsText" text="o1a">
      <formula>NOT(ISERROR(SEARCH("o1a",H817)))</formula>
    </cfRule>
  </conditionalFormatting>
  <pageMargins left="0.43307086614173229" right="0.23622047244094491" top="1.1417322834645669" bottom="0.74803149606299213" header="0.31496062992125984" footer="0.31496062992125984"/>
  <pageSetup paperSize="9" scale="82" fitToHeight="0" orientation="landscape" r:id="rId1"/>
  <headerFooter>
    <oddHeader>&amp;A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64104-219B-43D2-9B2F-F046BBA85230}">
  <sheetPr>
    <tabColor rgb="FF0070C0"/>
    <pageSetUpPr fitToPage="1"/>
  </sheetPr>
  <dimension ref="A1:F26"/>
  <sheetViews>
    <sheetView zoomScale="115" zoomScaleNormal="115" workbookViewId="0">
      <selection activeCell="D6" sqref="D6"/>
    </sheetView>
  </sheetViews>
  <sheetFormatPr defaultRowHeight="15" x14ac:dyDescent="0.25"/>
  <cols>
    <col min="1" max="1" width="1.42578125" customWidth="1"/>
    <col min="2" max="2" width="3.140625" customWidth="1"/>
    <col min="3" max="3" width="5.5703125" customWidth="1"/>
    <col min="4" max="4" width="63.85546875" customWidth="1"/>
    <col min="5" max="5" width="7.7109375" customWidth="1"/>
    <col min="6" max="6" width="10.85546875" customWidth="1"/>
    <col min="7" max="7" width="1" customWidth="1"/>
    <col min="8" max="20" width="7.7109375" customWidth="1"/>
    <col min="21" max="21" width="0.85546875" customWidth="1"/>
  </cols>
  <sheetData>
    <row r="1" spans="1:6" x14ac:dyDescent="0.25">
      <c r="A1" s="2"/>
      <c r="B1" s="2"/>
      <c r="C1" s="2"/>
      <c r="D1" s="2"/>
    </row>
    <row r="2" spans="1:6" x14ac:dyDescent="0.25">
      <c r="B2" s="11" t="s">
        <v>17</v>
      </c>
      <c r="C2" s="11"/>
      <c r="D2" s="11"/>
    </row>
    <row r="3" spans="1:6" ht="15" customHeight="1" x14ac:dyDescent="0.25">
      <c r="B3" s="80" t="s">
        <v>11</v>
      </c>
      <c r="C3" s="81"/>
      <c r="D3" s="80" t="s">
        <v>12</v>
      </c>
      <c r="E3" s="81"/>
      <c r="F3" s="86" t="s">
        <v>9</v>
      </c>
    </row>
    <row r="4" spans="1:6" x14ac:dyDescent="0.25">
      <c r="B4" s="82"/>
      <c r="C4" s="83"/>
      <c r="D4" s="82"/>
      <c r="E4" s="83"/>
      <c r="F4" s="87"/>
    </row>
    <row r="5" spans="1:6" x14ac:dyDescent="0.25">
      <c r="B5" s="84"/>
      <c r="C5" s="85"/>
      <c r="D5" s="84"/>
      <c r="E5" s="85"/>
      <c r="F5" s="26"/>
    </row>
    <row r="6" spans="1:6" x14ac:dyDescent="0.25">
      <c r="B6" s="78" t="s">
        <v>80</v>
      </c>
      <c r="C6" s="79"/>
      <c r="D6" s="49" t="s">
        <v>196</v>
      </c>
      <c r="E6" s="27" t="s">
        <v>13</v>
      </c>
      <c r="F6" s="29">
        <v>4157.05</v>
      </c>
    </row>
    <row r="7" spans="1:6" x14ac:dyDescent="0.25">
      <c r="B7" s="43"/>
      <c r="C7" s="44"/>
      <c r="D7" s="49" t="s">
        <v>197</v>
      </c>
      <c r="E7" s="27" t="s">
        <v>13</v>
      </c>
      <c r="F7" s="29">
        <f>F6-F8</f>
        <v>3675.9100000000003</v>
      </c>
    </row>
    <row r="8" spans="1:6" x14ac:dyDescent="0.25">
      <c r="B8" s="43"/>
      <c r="C8" s="44"/>
      <c r="D8" s="49" t="s">
        <v>198</v>
      </c>
      <c r="E8" s="27" t="s">
        <v>13</v>
      </c>
      <c r="F8" s="29">
        <v>481.14</v>
      </c>
    </row>
    <row r="9" spans="1:6" x14ac:dyDescent="0.25">
      <c r="B9" s="78" t="s">
        <v>81</v>
      </c>
      <c r="C9" s="79"/>
      <c r="D9" s="49" t="s">
        <v>199</v>
      </c>
      <c r="E9" s="27" t="s">
        <v>13</v>
      </c>
      <c r="F9" s="29">
        <v>1917.16</v>
      </c>
    </row>
    <row r="10" spans="1:6" x14ac:dyDescent="0.25">
      <c r="B10" s="43"/>
      <c r="C10" s="44"/>
      <c r="D10" s="49" t="s">
        <v>197</v>
      </c>
      <c r="E10" s="27" t="s">
        <v>13</v>
      </c>
      <c r="F10" s="29">
        <f>F9-F11</f>
        <v>1859.6000000000001</v>
      </c>
    </row>
    <row r="11" spans="1:6" x14ac:dyDescent="0.25">
      <c r="B11" s="43"/>
      <c r="C11" s="44"/>
      <c r="D11" s="49" t="s">
        <v>198</v>
      </c>
      <c r="E11" s="27" t="s">
        <v>13</v>
      </c>
      <c r="F11" s="29">
        <v>57.56</v>
      </c>
    </row>
    <row r="12" spans="1:6" x14ac:dyDescent="0.25">
      <c r="B12" s="78" t="s">
        <v>75</v>
      </c>
      <c r="C12" s="79"/>
      <c r="D12" s="49" t="s">
        <v>214</v>
      </c>
      <c r="E12" s="27" t="s">
        <v>13</v>
      </c>
      <c r="F12" s="29">
        <v>99.85</v>
      </c>
    </row>
    <row r="13" spans="1:6" x14ac:dyDescent="0.25">
      <c r="B13" s="78" t="s">
        <v>76</v>
      </c>
      <c r="C13" s="79"/>
      <c r="D13" s="49" t="s">
        <v>213</v>
      </c>
      <c r="E13" s="27" t="s">
        <v>13</v>
      </c>
      <c r="F13" s="29">
        <v>1204.44</v>
      </c>
    </row>
    <row r="14" spans="1:6" x14ac:dyDescent="0.25">
      <c r="B14" s="43"/>
      <c r="C14" s="44"/>
      <c r="D14" s="49" t="s">
        <v>197</v>
      </c>
      <c r="E14" s="27" t="s">
        <v>13</v>
      </c>
      <c r="F14" s="29">
        <f>F13-F15</f>
        <v>1024.8500000000001</v>
      </c>
    </row>
    <row r="15" spans="1:6" x14ac:dyDescent="0.25">
      <c r="B15" s="43"/>
      <c r="C15" s="44"/>
      <c r="D15" s="49" t="s">
        <v>198</v>
      </c>
      <c r="E15" s="27" t="s">
        <v>13</v>
      </c>
      <c r="F15" s="29">
        <v>179.59</v>
      </c>
    </row>
    <row r="16" spans="1:6" x14ac:dyDescent="0.25">
      <c r="B16" s="78" t="s">
        <v>77</v>
      </c>
      <c r="C16" s="79"/>
      <c r="D16" s="49" t="s">
        <v>194</v>
      </c>
      <c r="E16" s="27" t="s">
        <v>13</v>
      </c>
      <c r="F16" s="29">
        <v>1838.5</v>
      </c>
    </row>
    <row r="17" spans="2:6" x14ac:dyDescent="0.25">
      <c r="B17" s="78"/>
      <c r="C17" s="79"/>
      <c r="D17" s="49" t="s">
        <v>191</v>
      </c>
      <c r="E17" s="27" t="s">
        <v>13</v>
      </c>
      <c r="F17" s="29">
        <v>1333.93</v>
      </c>
    </row>
    <row r="18" spans="2:6" x14ac:dyDescent="0.25">
      <c r="B18" s="78"/>
      <c r="C18" s="79"/>
      <c r="D18" s="49" t="s">
        <v>192</v>
      </c>
      <c r="E18" s="27" t="s">
        <v>13</v>
      </c>
      <c r="F18" s="29">
        <v>226.12</v>
      </c>
    </row>
    <row r="19" spans="2:6" x14ac:dyDescent="0.25">
      <c r="B19" s="78"/>
      <c r="C19" s="79"/>
      <c r="D19" s="49" t="s">
        <v>193</v>
      </c>
      <c r="E19" s="27" t="s">
        <v>13</v>
      </c>
      <c r="F19" s="29">
        <v>268.41000000000003</v>
      </c>
    </row>
    <row r="20" spans="2:6" x14ac:dyDescent="0.25">
      <c r="B20" s="78" t="s">
        <v>78</v>
      </c>
      <c r="C20" s="79"/>
      <c r="D20" s="49" t="s">
        <v>216</v>
      </c>
      <c r="E20" s="27" t="s">
        <v>13</v>
      </c>
      <c r="F20" s="29">
        <v>48.53</v>
      </c>
    </row>
    <row r="21" spans="2:6" x14ac:dyDescent="0.25">
      <c r="B21" s="78"/>
      <c r="C21" s="79"/>
      <c r="D21" s="49" t="s">
        <v>191</v>
      </c>
      <c r="E21" s="27" t="s">
        <v>13</v>
      </c>
      <c r="F21" s="29">
        <v>46.61</v>
      </c>
    </row>
    <row r="22" spans="2:6" x14ac:dyDescent="0.25">
      <c r="B22" s="78"/>
      <c r="C22" s="79"/>
      <c r="D22" s="49" t="s">
        <v>215</v>
      </c>
      <c r="E22" s="27" t="s">
        <v>13</v>
      </c>
      <c r="F22" s="29">
        <v>1.92</v>
      </c>
    </row>
    <row r="23" spans="2:6" x14ac:dyDescent="0.25">
      <c r="B23" s="78" t="s">
        <v>79</v>
      </c>
      <c r="C23" s="79"/>
      <c r="D23" s="49" t="s">
        <v>95</v>
      </c>
      <c r="E23" s="27" t="s">
        <v>13</v>
      </c>
      <c r="F23" s="29">
        <v>43.84</v>
      </c>
    </row>
    <row r="24" spans="2:6" x14ac:dyDescent="0.25">
      <c r="B24" s="78" t="s">
        <v>100</v>
      </c>
      <c r="C24" s="79"/>
      <c r="D24" s="49" t="s">
        <v>101</v>
      </c>
      <c r="E24" s="27" t="s">
        <v>13</v>
      </c>
      <c r="F24" s="29">
        <v>2.4500000000000002</v>
      </c>
    </row>
    <row r="25" spans="2:6" x14ac:dyDescent="0.25">
      <c r="B25" s="78" t="s">
        <v>200</v>
      </c>
      <c r="C25" s="79"/>
      <c r="D25" s="49" t="s">
        <v>201</v>
      </c>
      <c r="E25" s="27" t="s">
        <v>13</v>
      </c>
      <c r="F25" s="29">
        <v>436.18</v>
      </c>
    </row>
    <row r="26" spans="2:6" x14ac:dyDescent="0.25">
      <c r="B26" s="78"/>
      <c r="C26" s="79"/>
      <c r="D26" s="28"/>
      <c r="E26" s="27"/>
      <c r="F26" s="29"/>
    </row>
  </sheetData>
  <mergeCells count="18">
    <mergeCell ref="B3:C5"/>
    <mergeCell ref="D3:E5"/>
    <mergeCell ref="F3:F4"/>
    <mergeCell ref="B24:C24"/>
    <mergeCell ref="B12:C12"/>
    <mergeCell ref="B26:C26"/>
    <mergeCell ref="B6:C6"/>
    <mergeCell ref="B9:C9"/>
    <mergeCell ref="B13:C13"/>
    <mergeCell ref="B16:C16"/>
    <mergeCell ref="B20:C20"/>
    <mergeCell ref="B23:C23"/>
    <mergeCell ref="B17:C17"/>
    <mergeCell ref="B18:C18"/>
    <mergeCell ref="B19:C19"/>
    <mergeCell ref="B25:C25"/>
    <mergeCell ref="B21:C21"/>
    <mergeCell ref="B22:C22"/>
  </mergeCells>
  <phoneticPr fontId="9" type="noConversion"/>
  <conditionalFormatting sqref="F6:F26">
    <cfRule type="cellIs" dxfId="0" priority="1" operator="greaterThan">
      <formula>0</formula>
    </cfRule>
  </conditionalFormatting>
  <pageMargins left="0.43307086614173229" right="0.23622047244094491" top="1.1417322834645669" bottom="0.74803149606299213" header="0.31496062992125984" footer="0.31496062992125984"/>
  <pageSetup paperSize="9" fitToHeight="0" orientation="portrait" r:id="rId1"/>
  <headerFooter>
    <oddHeader>&amp;A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A6_Vnitřní povrchy stěn</vt:lpstr>
      <vt:lpstr>A6_Rekapitulace</vt:lpstr>
      <vt:lpstr>'A6_Vnitřní povrchy stěn'!Názvy_tisku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Štefan Sivák</dc:creator>
  <cp:keywords/>
  <dc:description/>
  <cp:lastModifiedBy>Štefan Sivák</cp:lastModifiedBy>
  <cp:revision/>
  <cp:lastPrinted>2021-08-06T06:51:03Z</cp:lastPrinted>
  <dcterms:created xsi:type="dcterms:W3CDTF">2017-10-24T07:38:10Z</dcterms:created>
  <dcterms:modified xsi:type="dcterms:W3CDTF">2021-10-21T07:12:04Z</dcterms:modified>
  <cp:category/>
  <cp:contentStatus/>
</cp:coreProperties>
</file>