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2431" documentId="8_{6D715608-33FF-4E6A-8E60-BA8A3952F132}" xr6:coauthVersionLast="47" xr6:coauthVersionMax="47" xr10:uidLastSave="{93E03F7D-1B37-4409-A6FB-5596EFC83A10}"/>
  <bookViews>
    <workbookView xWindow="0" yWindow="0" windowWidth="25800" windowHeight="21000" tabRatio="888" activeTab="1" xr2:uid="{F957F52A-736B-4987-B368-D2DF2DD827F2}"/>
  </bookViews>
  <sheets>
    <sheet name="A5_Podlahy" sheetId="23" r:id="rId1"/>
    <sheet name="A5_Rekapitulace" sheetId="26" r:id="rId2"/>
  </sheets>
  <definedNames>
    <definedName name="_xlnm._FilterDatabase" localSheetId="0" hidden="1">A5_Podlahy!$A$2:$S$356</definedName>
    <definedName name="_xlnm._FilterDatabase" localSheetId="1" hidden="1">A5_Rekapitulace!#REF!</definedName>
    <definedName name="_xlnm.Print_Titles" localSheetId="0">A5_Podlahy!$3:$7</definedName>
    <definedName name="podlaha.p1">A5_Rekapitulace!$H$6</definedName>
    <definedName name="podlaha.p10">A5_Rekapitulace!$H$18</definedName>
    <definedName name="podlaha.p11">A5_Rekapitulace!$H$19</definedName>
    <definedName name="podlaha.p11a">A5_Rekapitulace!$H$20</definedName>
    <definedName name="podlaha.p12">A5_Rekapitulace!$H$21</definedName>
    <definedName name="podlaha.p12a">A5_Rekapitulace!$H$22</definedName>
    <definedName name="podlaha.p13">A5_Rekapitulace!$H$23</definedName>
    <definedName name="podlaha.p13a">A5_Rekapitulace!$H$24</definedName>
    <definedName name="podlaha.p14">A5_Rekapitulace!$H$25</definedName>
    <definedName name="podlaha.p15">A5_Rekapitulace!$H$26</definedName>
    <definedName name="podlaha.p16">A5_Rekapitulace!$H$27</definedName>
    <definedName name="podlaha.p17">A5_Rekapitulace!$H$28</definedName>
    <definedName name="podlaha.p18">A5_Rekapitulace!$H$29</definedName>
    <definedName name="podlaha.p19">A5_Rekapitulace!$H$30</definedName>
    <definedName name="podlaha.p1a">A5_Rekapitulace!$H$7</definedName>
    <definedName name="podlaha.p2">A5_Rekapitulace!$H$8</definedName>
    <definedName name="podlaha.p20">A5_Rekapitulace!$H$31</definedName>
    <definedName name="podlaha.p21">A5_Rekapitulace!$H$32</definedName>
    <definedName name="podlaha.p22">A5_Rekapitulace!$H$33</definedName>
    <definedName name="podlaha.p23">A5_Rekapitulace!$H$34</definedName>
    <definedName name="podlaha.p24">A5_Rekapitulace!$H$35</definedName>
    <definedName name="podlaha.p25">A5_Rekapitulace!$H$36</definedName>
    <definedName name="podlaha.p26">A5_Rekapitulace!$H$37</definedName>
    <definedName name="podlaha.p27">A5_Rekapitulace!$H$38</definedName>
    <definedName name="podlaha.p28">A5_Rekapitulace!$H$39</definedName>
    <definedName name="podlaha.p28_1">A5_Rekapitulace!$H$40</definedName>
    <definedName name="podlaha.p3">A5_Rekapitulace!$H$9</definedName>
    <definedName name="podlaha.p4">A5_Rekapitulace!$H$10</definedName>
    <definedName name="podlaha.p4a">A5_Rekapitulace!$H$11</definedName>
    <definedName name="podlaha.p5">A5_Rekapitulace!$H$12</definedName>
    <definedName name="podlaha.p5a">A5_Rekapitulace!$H$13</definedName>
    <definedName name="podlaha.p6">A5_Rekapitulace!$H$14</definedName>
    <definedName name="podlaha.p7">A5_Rekapitulace!$H$15</definedName>
    <definedName name="podlaha.p8">A5_Rekapitulace!$H$16</definedName>
    <definedName name="podlaha.p9">A5_Rekapitulace!$H$17</definedName>
    <definedName name="sokl.p1">A5_Rekapitulace!$I$6</definedName>
    <definedName name="sokl.p10">A5_Rekapitulace!$I$18</definedName>
    <definedName name="sokl.p11">A5_Rekapitulace!$I$19</definedName>
    <definedName name="sokl.p11a">A5_Rekapitulace!$I$20</definedName>
    <definedName name="sokl.p12">A5_Rekapitulace!$I$21</definedName>
    <definedName name="sokl.p12a">A5_Rekapitulace!$I$22</definedName>
    <definedName name="sokl.p13">A5_Rekapitulace!$I$23</definedName>
    <definedName name="sokl.p13a">A5_Rekapitulace!$I$24</definedName>
    <definedName name="sokl.p14">A5_Rekapitulace!$I$25</definedName>
    <definedName name="sokl.p15">A5_Rekapitulace!$I$26</definedName>
    <definedName name="sokl.p16">A5_Rekapitulace!$I$27</definedName>
    <definedName name="sokl.p17">A5_Rekapitulace!$I$28</definedName>
    <definedName name="sokl.p18">A5_Rekapitulace!$I$29</definedName>
    <definedName name="sokl.p19">A5_Rekapitulace!$I$30</definedName>
    <definedName name="sokl.p1a">A5_Rekapitulace!$I$7</definedName>
    <definedName name="sokl.p2">A5_Rekapitulace!$I$8</definedName>
    <definedName name="sokl.p20">A5_Rekapitulace!$I$31</definedName>
    <definedName name="sokl.p21">A5_Rekapitulace!$I$32</definedName>
    <definedName name="sokl.p22">A5_Rekapitulace!$I$33</definedName>
    <definedName name="sokl.p23">A5_Rekapitulace!$I$34</definedName>
    <definedName name="sokl.p24">A5_Rekapitulace!$I$35</definedName>
    <definedName name="sokl.p25">A5_Rekapitulace!$I$36</definedName>
    <definedName name="sokl.p26">A5_Rekapitulace!$I$37</definedName>
    <definedName name="sokl.p27">A5_Rekapitulace!$I$38</definedName>
    <definedName name="sokl.p28">A5_Rekapitulace!$I$39</definedName>
    <definedName name="sokl.p28_4">A5_Rekapitulace!$I$43</definedName>
    <definedName name="sokl.p3">A5_Rekapitulace!$I$9</definedName>
    <definedName name="sokl.p4">A5_Rekapitulace!$I$10</definedName>
    <definedName name="sokl.p4a">A5_Rekapitulace!$I$11</definedName>
    <definedName name="sokl.p5">A5_Rekapitulace!$I$12</definedName>
    <definedName name="sokl.p5a">A5_Rekapitulace!$I$13</definedName>
    <definedName name="sokl.p6">A5_Rekapitulace!$I$14</definedName>
    <definedName name="sokl.p7">A5_Rekapitulace!$I$15</definedName>
    <definedName name="sokl.p8">A5_Rekapitulace!$I$16</definedName>
    <definedName name="sokl.p9">A5_Rekapitulace!$I$17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0" i="23" l="1"/>
  <c r="AQ110" i="26"/>
  <c r="I110" i="26" s="1"/>
  <c r="L335" i="23"/>
  <c r="K333" i="23"/>
  <c r="AQ112" i="26" l="1"/>
  <c r="H112" i="26" s="1"/>
  <c r="AQ111" i="26"/>
  <c r="H111" i="26" s="1"/>
  <c r="AQ109" i="26"/>
  <c r="H109" i="26" s="1"/>
  <c r="AQ108" i="26"/>
  <c r="H108" i="26" s="1"/>
  <c r="AQ107" i="26"/>
  <c r="H107" i="26" s="1"/>
  <c r="AQ106" i="26"/>
  <c r="H106" i="26" s="1"/>
  <c r="AQ105" i="26"/>
  <c r="H105" i="26" s="1"/>
  <c r="K354" i="23" l="1"/>
  <c r="P354" i="23" s="1"/>
  <c r="K352" i="23"/>
  <c r="P352" i="23"/>
  <c r="K350" i="23"/>
  <c r="P350" i="23" s="1"/>
  <c r="K349" i="23"/>
  <c r="O354" i="23"/>
  <c r="N354" i="23"/>
  <c r="P353" i="23"/>
  <c r="O353" i="23"/>
  <c r="N353" i="23"/>
  <c r="O352" i="23"/>
  <c r="N352" i="23"/>
  <c r="P356" i="23"/>
  <c r="O356" i="23"/>
  <c r="N356" i="23"/>
  <c r="P355" i="23"/>
  <c r="O355" i="23"/>
  <c r="N355" i="23"/>
  <c r="P351" i="23"/>
  <c r="O351" i="23"/>
  <c r="N351" i="23"/>
  <c r="O350" i="23"/>
  <c r="N350" i="23"/>
  <c r="P349" i="23"/>
  <c r="O349" i="23"/>
  <c r="N349" i="23"/>
  <c r="P348" i="23"/>
  <c r="O348" i="23"/>
  <c r="N348" i="23"/>
  <c r="K347" i="23"/>
  <c r="O347" i="23" s="1"/>
  <c r="K346" i="23"/>
  <c r="O346" i="23" s="1"/>
  <c r="K345" i="23"/>
  <c r="O345" i="23" s="1"/>
  <c r="K344" i="23"/>
  <c r="P344" i="23" s="1"/>
  <c r="K342" i="23"/>
  <c r="N345" i="23"/>
  <c r="N347" i="23"/>
  <c r="N346" i="23"/>
  <c r="K343" i="23"/>
  <c r="P343" i="23" s="1"/>
  <c r="N343" i="23"/>
  <c r="P342" i="23"/>
  <c r="N344" i="23"/>
  <c r="P339" i="23"/>
  <c r="O339" i="23"/>
  <c r="N339" i="23"/>
  <c r="N342" i="23"/>
  <c r="P341" i="23"/>
  <c r="O341" i="23"/>
  <c r="N341" i="23"/>
  <c r="P340" i="23"/>
  <c r="O340" i="23"/>
  <c r="N340" i="23"/>
  <c r="P338" i="23"/>
  <c r="O338" i="23"/>
  <c r="N338" i="23"/>
  <c r="I330" i="23"/>
  <c r="N330" i="23" s="1"/>
  <c r="P337" i="23"/>
  <c r="O337" i="23"/>
  <c r="N337" i="23"/>
  <c r="P336" i="23"/>
  <c r="O336" i="23"/>
  <c r="N336" i="23"/>
  <c r="P335" i="23"/>
  <c r="O335" i="23"/>
  <c r="N335" i="23"/>
  <c r="P334" i="23"/>
  <c r="O334" i="23"/>
  <c r="N334" i="23"/>
  <c r="P333" i="23"/>
  <c r="O333" i="23"/>
  <c r="N333" i="23"/>
  <c r="P332" i="23"/>
  <c r="O332" i="23"/>
  <c r="N332" i="23"/>
  <c r="P331" i="23"/>
  <c r="O331" i="23"/>
  <c r="N331" i="23"/>
  <c r="P330" i="23"/>
  <c r="O330" i="23"/>
  <c r="P329" i="23"/>
  <c r="O329" i="23"/>
  <c r="N329" i="23"/>
  <c r="P328" i="23"/>
  <c r="O328" i="23"/>
  <c r="N328" i="23"/>
  <c r="P327" i="23"/>
  <c r="O327" i="23"/>
  <c r="N327" i="23"/>
  <c r="P326" i="23"/>
  <c r="O326" i="23"/>
  <c r="N326" i="23"/>
  <c r="P325" i="23"/>
  <c r="O325" i="23"/>
  <c r="N325" i="23"/>
  <c r="U62" i="26"/>
  <c r="J56" i="26"/>
  <c r="K56" i="26"/>
  <c r="L56" i="26"/>
  <c r="J55" i="26"/>
  <c r="K55" i="26"/>
  <c r="L55" i="26"/>
  <c r="AO80" i="26"/>
  <c r="AO79" i="26"/>
  <c r="I80" i="26"/>
  <c r="H79" i="26"/>
  <c r="P346" i="23" l="1"/>
  <c r="O343" i="23"/>
  <c r="P347" i="23"/>
  <c r="P345" i="23"/>
  <c r="O344" i="23"/>
  <c r="O342" i="23"/>
  <c r="L25" i="23"/>
  <c r="P25" i="23" s="1"/>
  <c r="K25" i="23"/>
  <c r="L22" i="23"/>
  <c r="P22" i="23" s="1"/>
  <c r="L20" i="23"/>
  <c r="P20" i="23" s="1"/>
  <c r="I82" i="26"/>
  <c r="L60" i="23"/>
  <c r="K60" i="23"/>
  <c r="P60" i="23" s="1"/>
  <c r="L59" i="23"/>
  <c r="K59" i="23"/>
  <c r="L270" i="23"/>
  <c r="P270" i="23" s="1"/>
  <c r="L226" i="23"/>
  <c r="P226" i="23" s="1"/>
  <c r="L150" i="23"/>
  <c r="P150" i="23" s="1"/>
  <c r="L102" i="23"/>
  <c r="P102" i="23" s="1"/>
  <c r="P324" i="23"/>
  <c r="P323" i="23"/>
  <c r="P322" i="23"/>
  <c r="P321" i="23"/>
  <c r="P320" i="23"/>
  <c r="P319" i="23"/>
  <c r="P318" i="23"/>
  <c r="P317" i="23"/>
  <c r="P316" i="23"/>
  <c r="P315" i="23"/>
  <c r="P314" i="23"/>
  <c r="P313" i="23"/>
  <c r="P309" i="23"/>
  <c r="P308" i="23"/>
  <c r="P307" i="23"/>
  <c r="P306" i="23"/>
  <c r="P305" i="23"/>
  <c r="P304" i="23"/>
  <c r="P303" i="23"/>
  <c r="P302" i="23"/>
  <c r="P301" i="23"/>
  <c r="P300" i="23"/>
  <c r="P299" i="23"/>
  <c r="P298" i="23"/>
  <c r="P297" i="23"/>
  <c r="P296" i="23"/>
  <c r="P295" i="23"/>
  <c r="P294" i="23"/>
  <c r="P293" i="23"/>
  <c r="P292" i="23"/>
  <c r="P291" i="23"/>
  <c r="P290" i="23"/>
  <c r="P289" i="23"/>
  <c r="P288" i="23"/>
  <c r="P287" i="23"/>
  <c r="P286" i="23"/>
  <c r="P285" i="23"/>
  <c r="P284" i="23"/>
  <c r="P283" i="23"/>
  <c r="P282" i="23"/>
  <c r="P281" i="23"/>
  <c r="P280" i="23"/>
  <c r="P279" i="23"/>
  <c r="P278" i="23"/>
  <c r="P277" i="23"/>
  <c r="P276" i="23"/>
  <c r="P275" i="23"/>
  <c r="P274" i="23"/>
  <c r="P273" i="23"/>
  <c r="P272" i="23"/>
  <c r="P271" i="23"/>
  <c r="P267" i="23"/>
  <c r="P266" i="23"/>
  <c r="P265" i="23"/>
  <c r="P264" i="23"/>
  <c r="P263" i="23"/>
  <c r="P262" i="23"/>
  <c r="P261" i="23"/>
  <c r="P260" i="23"/>
  <c r="P259" i="23"/>
  <c r="P258" i="23"/>
  <c r="P257" i="23"/>
  <c r="P256" i="23"/>
  <c r="P255" i="23"/>
  <c r="P254" i="23"/>
  <c r="P253" i="23"/>
  <c r="P252" i="23"/>
  <c r="P251" i="23"/>
  <c r="P250" i="23"/>
  <c r="P249" i="23"/>
  <c r="P248" i="23"/>
  <c r="P247" i="23"/>
  <c r="P246" i="23"/>
  <c r="P244" i="23"/>
  <c r="P243" i="23"/>
  <c r="P242" i="23"/>
  <c r="P241" i="23"/>
  <c r="P240" i="23"/>
  <c r="P239" i="23"/>
  <c r="P238" i="23"/>
  <c r="P237" i="23"/>
  <c r="P236" i="23"/>
  <c r="P235" i="23"/>
  <c r="P234" i="23"/>
  <c r="P233" i="23"/>
  <c r="P232" i="23"/>
  <c r="P231" i="23"/>
  <c r="P230" i="23"/>
  <c r="P229" i="23"/>
  <c r="P228" i="23"/>
  <c r="P227" i="23"/>
  <c r="P223" i="23"/>
  <c r="P222" i="23"/>
  <c r="P221" i="23"/>
  <c r="P220" i="23"/>
  <c r="P219" i="23"/>
  <c r="P218" i="23"/>
  <c r="P217" i="23"/>
  <c r="P216" i="23"/>
  <c r="P215" i="23"/>
  <c r="P214" i="23"/>
  <c r="P213" i="23"/>
  <c r="P212" i="23"/>
  <c r="P211" i="23"/>
  <c r="P210" i="23"/>
  <c r="P209" i="23"/>
  <c r="P208" i="23"/>
  <c r="P207" i="23"/>
  <c r="P206" i="23"/>
  <c r="P205" i="23"/>
  <c r="P192" i="23"/>
  <c r="P191" i="23"/>
  <c r="P190" i="23"/>
  <c r="P189" i="23"/>
  <c r="P188" i="23"/>
  <c r="P187" i="23"/>
  <c r="P186" i="23"/>
  <c r="P185" i="23"/>
  <c r="P184" i="23"/>
  <c r="P183" i="23"/>
  <c r="P182" i="23"/>
  <c r="P181" i="23"/>
  <c r="P180" i="23"/>
  <c r="P179" i="23"/>
  <c r="P178" i="23"/>
  <c r="P177" i="23"/>
  <c r="P176" i="23"/>
  <c r="P175" i="23"/>
  <c r="P174" i="23"/>
  <c r="P173" i="23"/>
  <c r="P172" i="23"/>
  <c r="P171" i="23"/>
  <c r="P170" i="23"/>
  <c r="P169" i="23"/>
  <c r="P168" i="23"/>
  <c r="P167" i="23"/>
  <c r="P166" i="23"/>
  <c r="P165" i="23"/>
  <c r="P164" i="23"/>
  <c r="P163" i="23"/>
  <c r="P162" i="23"/>
  <c r="P161" i="23"/>
  <c r="P160" i="23"/>
  <c r="P159" i="23"/>
  <c r="P158" i="23"/>
  <c r="P157" i="23"/>
  <c r="P156" i="23"/>
  <c r="P155" i="23"/>
  <c r="P154" i="23"/>
  <c r="P153" i="23"/>
  <c r="P152" i="23"/>
  <c r="P151" i="23"/>
  <c r="P149" i="23"/>
  <c r="P147" i="23"/>
  <c r="P146" i="23"/>
  <c r="P144" i="23"/>
  <c r="P143" i="23"/>
  <c r="P142" i="23"/>
  <c r="P141" i="23"/>
  <c r="P140" i="23"/>
  <c r="P139" i="23"/>
  <c r="P138" i="23"/>
  <c r="P137" i="23"/>
  <c r="P136" i="23"/>
  <c r="P135" i="23"/>
  <c r="P134" i="23"/>
  <c r="P133" i="23"/>
  <c r="P132" i="23"/>
  <c r="P131" i="23"/>
  <c r="P130" i="23"/>
  <c r="P129" i="23"/>
  <c r="P128" i="23"/>
  <c r="P127" i="23"/>
  <c r="P126" i="23"/>
  <c r="P125" i="23"/>
  <c r="P124" i="23"/>
  <c r="P123" i="23"/>
  <c r="P120" i="23"/>
  <c r="P119" i="23"/>
  <c r="P118" i="23"/>
  <c r="P117" i="23"/>
  <c r="P116" i="23"/>
  <c r="P115" i="23"/>
  <c r="P114" i="23"/>
  <c r="P113" i="23"/>
  <c r="P112" i="23"/>
  <c r="P111" i="23"/>
  <c r="P110" i="23"/>
  <c r="P109" i="23"/>
  <c r="P108" i="23"/>
  <c r="P107" i="23"/>
  <c r="P106" i="23"/>
  <c r="P105" i="23"/>
  <c r="P104" i="23"/>
  <c r="P103" i="23"/>
  <c r="P98" i="23"/>
  <c r="P97" i="23"/>
  <c r="P96" i="23"/>
  <c r="P95" i="23"/>
  <c r="P94" i="23"/>
  <c r="P93" i="23"/>
  <c r="P92" i="23"/>
  <c r="P91" i="23"/>
  <c r="P90" i="23"/>
  <c r="P89" i="23"/>
  <c r="P88" i="23"/>
  <c r="P87" i="23"/>
  <c r="P86" i="23"/>
  <c r="P78" i="23"/>
  <c r="P72" i="23"/>
  <c r="P71" i="23"/>
  <c r="P70" i="23"/>
  <c r="P69" i="23"/>
  <c r="P68" i="23"/>
  <c r="P67" i="23"/>
  <c r="P64" i="23"/>
  <c r="P63" i="23"/>
  <c r="P62" i="23"/>
  <c r="P61" i="23"/>
  <c r="P58" i="23"/>
  <c r="P57" i="23"/>
  <c r="P56" i="23"/>
  <c r="P55" i="23"/>
  <c r="P54" i="23"/>
  <c r="P53" i="23"/>
  <c r="P52" i="23"/>
  <c r="P51" i="23"/>
  <c r="P50" i="23"/>
  <c r="P49" i="23"/>
  <c r="P48" i="23"/>
  <c r="P44" i="23"/>
  <c r="P42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4" i="23"/>
  <c r="P23" i="23"/>
  <c r="P21" i="23"/>
  <c r="P19" i="23"/>
  <c r="P17" i="23"/>
  <c r="P16" i="23"/>
  <c r="P15" i="23"/>
  <c r="P14" i="23"/>
  <c r="P13" i="23"/>
  <c r="P12" i="23"/>
  <c r="P10" i="23"/>
  <c r="P8" i="23"/>
  <c r="P9" i="23"/>
  <c r="P59" i="23" l="1"/>
  <c r="Z100" i="26"/>
  <c r="Z96" i="26"/>
  <c r="Z95" i="26"/>
  <c r="Z92" i="26"/>
  <c r="Z81" i="26"/>
  <c r="Z64" i="26"/>
  <c r="Z63" i="26"/>
  <c r="H314" i="23"/>
  <c r="N314" i="23" s="1"/>
  <c r="H313" i="23"/>
  <c r="N313" i="23" s="1"/>
  <c r="O315" i="23"/>
  <c r="N315" i="23"/>
  <c r="O314" i="23"/>
  <c r="O313" i="23"/>
  <c r="H209" i="23"/>
  <c r="N209" i="23" s="1"/>
  <c r="H208" i="23"/>
  <c r="N208" i="23" s="1"/>
  <c r="H207" i="23"/>
  <c r="N207" i="23" s="1"/>
  <c r="H206" i="23"/>
  <c r="N206" i="23" s="1"/>
  <c r="O211" i="23"/>
  <c r="N211" i="23"/>
  <c r="O210" i="23"/>
  <c r="N210" i="23"/>
  <c r="O209" i="23"/>
  <c r="O208" i="23"/>
  <c r="O207" i="23"/>
  <c r="O206" i="23"/>
  <c r="O205" i="23"/>
  <c r="N205" i="23"/>
  <c r="AN96" i="26"/>
  <c r="AN95" i="26"/>
  <c r="AN84" i="26"/>
  <c r="AN56" i="26"/>
  <c r="AN55" i="26"/>
  <c r="AM95" i="26"/>
  <c r="AM83" i="26"/>
  <c r="H83" i="26" s="1"/>
  <c r="AM78" i="26"/>
  <c r="AM77" i="26"/>
  <c r="AL103" i="26"/>
  <c r="AL96" i="26"/>
  <c r="AL95" i="26"/>
  <c r="AL89" i="26"/>
  <c r="AL78" i="26"/>
  <c r="AL77" i="26"/>
  <c r="AK98" i="26"/>
  <c r="AK96" i="26"/>
  <c r="AK95" i="26"/>
  <c r="AK94" i="26"/>
  <c r="AK89" i="26"/>
  <c r="AK78" i="26"/>
  <c r="AK77" i="26"/>
  <c r="AJ100" i="26"/>
  <c r="AJ96" i="26"/>
  <c r="AJ95" i="26"/>
  <c r="AJ94" i="26"/>
  <c r="AJ89" i="26"/>
  <c r="AJ78" i="26"/>
  <c r="AJ77" i="26"/>
  <c r="AI76" i="26"/>
  <c r="I76" i="26" s="1"/>
  <c r="AI75" i="26"/>
  <c r="H75" i="26" s="1"/>
  <c r="AH102" i="26"/>
  <c r="AH95" i="26"/>
  <c r="AH93" i="26"/>
  <c r="H93" i="26" s="1"/>
  <c r="AH74" i="26"/>
  <c r="I74" i="26" s="1"/>
  <c r="AH73" i="26"/>
  <c r="H73" i="26" s="1"/>
  <c r="K43" i="23"/>
  <c r="H43" i="23"/>
  <c r="N43" i="23" s="1"/>
  <c r="I42" i="23" s="1"/>
  <c r="AG101" i="26"/>
  <c r="AG96" i="26"/>
  <c r="AG95" i="26"/>
  <c r="AG89" i="26"/>
  <c r="AG81" i="26"/>
  <c r="AG72" i="26"/>
  <c r="I72" i="26" s="1"/>
  <c r="AG71" i="26"/>
  <c r="H71" i="26" s="1"/>
  <c r="AF101" i="26"/>
  <c r="AF96" i="26"/>
  <c r="AF95" i="26"/>
  <c r="AF90" i="26"/>
  <c r="AF70" i="26"/>
  <c r="I70" i="26" s="1"/>
  <c r="AF69" i="26"/>
  <c r="H69" i="26" s="1"/>
  <c r="AE98" i="26"/>
  <c r="AE96" i="26"/>
  <c r="AE95" i="26"/>
  <c r="AE94" i="26"/>
  <c r="AE85" i="26"/>
  <c r="AE68" i="26"/>
  <c r="AE67" i="26"/>
  <c r="AD100" i="26"/>
  <c r="AD96" i="26"/>
  <c r="AD95" i="26"/>
  <c r="AD94" i="26"/>
  <c r="AD85" i="26"/>
  <c r="AD68" i="26"/>
  <c r="AD67" i="26"/>
  <c r="AC103" i="26"/>
  <c r="AC96" i="26"/>
  <c r="AC95" i="26"/>
  <c r="AC87" i="26"/>
  <c r="AC81" i="26"/>
  <c r="AC64" i="26"/>
  <c r="AC63" i="26"/>
  <c r="AB92" i="26"/>
  <c r="H92" i="26" s="1"/>
  <c r="AB98" i="26"/>
  <c r="AB96" i="26"/>
  <c r="AB95" i="26"/>
  <c r="AB81" i="26"/>
  <c r="AB64" i="26"/>
  <c r="AB63" i="26"/>
  <c r="AA98" i="26"/>
  <c r="AA96" i="26"/>
  <c r="AA95" i="26"/>
  <c r="AA94" i="26"/>
  <c r="AA87" i="26"/>
  <c r="AA81" i="26"/>
  <c r="AA64" i="26"/>
  <c r="AA63" i="26"/>
  <c r="Y100" i="26"/>
  <c r="Y96" i="26"/>
  <c r="Y95" i="26"/>
  <c r="Y94" i="26"/>
  <c r="Y87" i="26"/>
  <c r="Y81" i="26"/>
  <c r="Y64" i="26"/>
  <c r="Y63" i="26"/>
  <c r="X103" i="26"/>
  <c r="X96" i="26"/>
  <c r="X95" i="26"/>
  <c r="X88" i="26"/>
  <c r="X66" i="26"/>
  <c r="I66" i="26" s="1"/>
  <c r="X65" i="26"/>
  <c r="H65" i="26" s="1"/>
  <c r="W103" i="26"/>
  <c r="W96" i="26"/>
  <c r="W95" i="26"/>
  <c r="W88" i="26"/>
  <c r="W64" i="26"/>
  <c r="W63" i="26"/>
  <c r="V100" i="26"/>
  <c r="V96" i="26"/>
  <c r="V95" i="26"/>
  <c r="V94" i="26"/>
  <c r="V88" i="26"/>
  <c r="V64" i="26"/>
  <c r="V63" i="26"/>
  <c r="U102" i="26"/>
  <c r="U96" i="26"/>
  <c r="U95" i="26"/>
  <c r="U86" i="26"/>
  <c r="U81" i="26"/>
  <c r="I62" i="26"/>
  <c r="U61" i="26"/>
  <c r="H61" i="26" s="1"/>
  <c r="T102" i="26"/>
  <c r="T96" i="26"/>
  <c r="T95" i="26"/>
  <c r="T86" i="26"/>
  <c r="T81" i="26"/>
  <c r="T60" i="26"/>
  <c r="T59" i="26"/>
  <c r="S97" i="26"/>
  <c r="S96" i="26"/>
  <c r="S95" i="26"/>
  <c r="S94" i="26"/>
  <c r="S86" i="26"/>
  <c r="S81" i="26"/>
  <c r="S60" i="26"/>
  <c r="S59" i="26"/>
  <c r="R99" i="26"/>
  <c r="R96" i="26"/>
  <c r="R95" i="26"/>
  <c r="R94" i="26"/>
  <c r="R86" i="26"/>
  <c r="R81" i="26"/>
  <c r="R60" i="26"/>
  <c r="R59" i="26"/>
  <c r="Q97" i="26"/>
  <c r="Q96" i="26"/>
  <c r="Q95" i="26"/>
  <c r="Q91" i="26"/>
  <c r="H91" i="26" s="1"/>
  <c r="Q60" i="26"/>
  <c r="Q59" i="26"/>
  <c r="P97" i="26"/>
  <c r="P96" i="26"/>
  <c r="P95" i="26"/>
  <c r="P94" i="26"/>
  <c r="P86" i="26"/>
  <c r="P60" i="26"/>
  <c r="P59" i="26"/>
  <c r="O104" i="26"/>
  <c r="H104" i="26" s="1"/>
  <c r="O99" i="26"/>
  <c r="O96" i="26"/>
  <c r="O95" i="26"/>
  <c r="O94" i="26"/>
  <c r="O86" i="26"/>
  <c r="O60" i="26"/>
  <c r="O59" i="26"/>
  <c r="N99" i="26"/>
  <c r="N96" i="26"/>
  <c r="N95" i="26"/>
  <c r="N94" i="26"/>
  <c r="N86" i="26"/>
  <c r="N60" i="26"/>
  <c r="N59" i="26"/>
  <c r="M99" i="26"/>
  <c r="M96" i="26"/>
  <c r="M95" i="26"/>
  <c r="M94" i="26"/>
  <c r="M84" i="26"/>
  <c r="M58" i="26"/>
  <c r="I58" i="26" s="1"/>
  <c r="M57" i="26"/>
  <c r="H57" i="26" s="1"/>
  <c r="L97" i="26"/>
  <c r="L96" i="26"/>
  <c r="L95" i="26"/>
  <c r="L94" i="26"/>
  <c r="L84" i="26"/>
  <c r="K99" i="26"/>
  <c r="K96" i="26"/>
  <c r="K95" i="26"/>
  <c r="K90" i="26"/>
  <c r="J99" i="26"/>
  <c r="J96" i="26"/>
  <c r="J95" i="26"/>
  <c r="J94" i="26"/>
  <c r="J84" i="26"/>
  <c r="H90" i="26" l="1"/>
  <c r="O43" i="23"/>
  <c r="P43" i="23"/>
  <c r="H101" i="26"/>
  <c r="I78" i="26"/>
  <c r="H77" i="26"/>
  <c r="H89" i="26"/>
  <c r="H81" i="26"/>
  <c r="H67" i="26"/>
  <c r="H85" i="26"/>
  <c r="I68" i="26"/>
  <c r="H94" i="26"/>
  <c r="H98" i="26"/>
  <c r="H100" i="26"/>
  <c r="H87" i="26"/>
  <c r="H103" i="26"/>
  <c r="H102" i="26"/>
  <c r="I64" i="26"/>
  <c r="H63" i="26"/>
  <c r="H88" i="26"/>
  <c r="H86" i="26"/>
  <c r="I60" i="26"/>
  <c r="H97" i="26"/>
  <c r="H59" i="26"/>
  <c r="I56" i="26"/>
  <c r="H99" i="26"/>
  <c r="H84" i="26"/>
  <c r="H55" i="26"/>
  <c r="H96" i="26"/>
  <c r="H95" i="26"/>
  <c r="K312" i="23"/>
  <c r="P312" i="23" s="1"/>
  <c r="K311" i="23"/>
  <c r="P311" i="23" s="1"/>
  <c r="L310" i="23"/>
  <c r="K310" i="23"/>
  <c r="P310" i="23" s="1"/>
  <c r="L305" i="23"/>
  <c r="L303" i="23"/>
  <c r="L301" i="23"/>
  <c r="L299" i="23"/>
  <c r="L298" i="23"/>
  <c r="L296" i="23"/>
  <c r="L294" i="23"/>
  <c r="L292" i="23"/>
  <c r="L290" i="23"/>
  <c r="L288" i="23"/>
  <c r="L286" i="23"/>
  <c r="L284" i="23"/>
  <c r="L282" i="23"/>
  <c r="L280" i="23"/>
  <c r="L278" i="23"/>
  <c r="L276" i="23"/>
  <c r="L271" i="23"/>
  <c r="L269" i="23"/>
  <c r="K269" i="23"/>
  <c r="P269" i="23" s="1"/>
  <c r="L268" i="23"/>
  <c r="K268" i="23"/>
  <c r="P268" i="23" s="1"/>
  <c r="L261" i="23"/>
  <c r="L259" i="23"/>
  <c r="L257" i="23"/>
  <c r="L255" i="23"/>
  <c r="L253" i="23"/>
  <c r="L251" i="23"/>
  <c r="L249" i="23"/>
  <c r="L247" i="23"/>
  <c r="K245" i="23"/>
  <c r="P245" i="23" s="1"/>
  <c r="L245" i="23"/>
  <c r="L243" i="23"/>
  <c r="L242" i="23"/>
  <c r="L240" i="23"/>
  <c r="L238" i="23"/>
  <c r="L236" i="23"/>
  <c r="L234" i="23"/>
  <c r="L232" i="23"/>
  <c r="L227" i="23"/>
  <c r="L99" i="23"/>
  <c r="L224" i="23"/>
  <c r="L225" i="23"/>
  <c r="K225" i="23"/>
  <c r="P225" i="23" s="1"/>
  <c r="K203" i="23"/>
  <c r="P203" i="23" s="1"/>
  <c r="K204" i="23"/>
  <c r="P204" i="23" s="1"/>
  <c r="K202" i="23"/>
  <c r="P202" i="23" s="1"/>
  <c r="L201" i="23"/>
  <c r="K201" i="23"/>
  <c r="P201" i="23" s="1"/>
  <c r="K200" i="23"/>
  <c r="P200" i="23" s="1"/>
  <c r="K199" i="23"/>
  <c r="P199" i="23" s="1"/>
  <c r="K198" i="23"/>
  <c r="P198" i="23" s="1"/>
  <c r="K197" i="23"/>
  <c r="P197" i="23" s="1"/>
  <c r="K196" i="23"/>
  <c r="P196" i="23" s="1"/>
  <c r="K195" i="23"/>
  <c r="P195" i="23" s="1"/>
  <c r="K194" i="23"/>
  <c r="P194" i="23" s="1"/>
  <c r="L193" i="23"/>
  <c r="K193" i="23"/>
  <c r="P193" i="23" s="1"/>
  <c r="L185" i="23"/>
  <c r="L183" i="23"/>
  <c r="L181" i="23"/>
  <c r="L179" i="23"/>
  <c r="L178" i="23"/>
  <c r="L145" i="23"/>
  <c r="L176" i="23"/>
  <c r="L174" i="23"/>
  <c r="L172" i="23"/>
  <c r="L170" i="23"/>
  <c r="L168" i="23"/>
  <c r="L166" i="23"/>
  <c r="L164" i="23"/>
  <c r="L162" i="23"/>
  <c r="L160" i="23"/>
  <c r="L158" i="23"/>
  <c r="L156" i="23"/>
  <c r="L151" i="23"/>
  <c r="L148" i="23"/>
  <c r="K148" i="23"/>
  <c r="P148" i="23" s="1"/>
  <c r="L138" i="23"/>
  <c r="L136" i="23"/>
  <c r="L134" i="23"/>
  <c r="L132" i="23"/>
  <c r="L130" i="23"/>
  <c r="L128" i="23"/>
  <c r="L126" i="23"/>
  <c r="L124" i="23"/>
  <c r="K122" i="23"/>
  <c r="P122" i="23" s="1"/>
  <c r="L121" i="23"/>
  <c r="L119" i="23"/>
  <c r="L118" i="23"/>
  <c r="L116" i="23"/>
  <c r="L114" i="23"/>
  <c r="L112" i="23"/>
  <c r="L110" i="23"/>
  <c r="L108" i="23"/>
  <c r="L103" i="23"/>
  <c r="L100" i="23"/>
  <c r="K100" i="23"/>
  <c r="P100" i="23" s="1"/>
  <c r="K101" i="23"/>
  <c r="P101" i="23" s="1"/>
  <c r="K83" i="23"/>
  <c r="P83" i="23" s="1"/>
  <c r="K82" i="23"/>
  <c r="P82" i="23" s="1"/>
  <c r="K81" i="23"/>
  <c r="P81" i="23" s="1"/>
  <c r="K76" i="23"/>
  <c r="P76" i="23" s="1"/>
  <c r="K79" i="23"/>
  <c r="P79" i="23" s="1"/>
  <c r="K80" i="23"/>
  <c r="P80" i="23" s="1"/>
  <c r="K75" i="23"/>
  <c r="P75" i="23" s="1"/>
  <c r="L78" i="23"/>
  <c r="K77" i="23"/>
  <c r="P77" i="23" s="1"/>
  <c r="K74" i="23"/>
  <c r="P74" i="23" s="1"/>
  <c r="K73" i="23"/>
  <c r="P73" i="23" s="1"/>
  <c r="L71" i="23"/>
  <c r="L70" i="23"/>
  <c r="L69" i="23"/>
  <c r="L68" i="23"/>
  <c r="K66" i="23"/>
  <c r="P66" i="23" s="1"/>
  <c r="K65" i="23"/>
  <c r="P65" i="23" s="1"/>
  <c r="L65" i="23"/>
  <c r="L63" i="23"/>
  <c r="L41" i="23"/>
  <c r="K41" i="23"/>
  <c r="N41" i="23"/>
  <c r="O41" i="23" l="1"/>
  <c r="P41" i="23"/>
  <c r="M47" i="23"/>
  <c r="M46" i="23"/>
  <c r="L46" i="23"/>
  <c r="L47" i="23"/>
  <c r="L45" i="23"/>
  <c r="P45" i="23" s="1"/>
  <c r="M44" i="23"/>
  <c r="L44" i="23"/>
  <c r="M42" i="23"/>
  <c r="M40" i="23"/>
  <c r="L40" i="23"/>
  <c r="L36" i="23"/>
  <c r="L35" i="23"/>
  <c r="L29" i="23"/>
  <c r="L18" i="23"/>
  <c r="K18" i="23"/>
  <c r="L15" i="23"/>
  <c r="L14" i="23"/>
  <c r="M13" i="23"/>
  <c r="L13" i="23"/>
  <c r="K11" i="23"/>
  <c r="P11" i="23" s="1"/>
  <c r="H269" i="23"/>
  <c r="H268" i="23" s="1"/>
  <c r="N268" i="23" s="1"/>
  <c r="O268" i="23"/>
  <c r="H225" i="23"/>
  <c r="H224" i="23" s="1"/>
  <c r="N224" i="23" s="1"/>
  <c r="H204" i="23"/>
  <c r="N204" i="23" s="1"/>
  <c r="H203" i="23"/>
  <c r="N203" i="23" s="1"/>
  <c r="H202" i="23"/>
  <c r="N202" i="23" s="1"/>
  <c r="O204" i="23"/>
  <c r="O203" i="23"/>
  <c r="O202" i="23"/>
  <c r="H200" i="23"/>
  <c r="H198" i="23"/>
  <c r="N198" i="23" s="1"/>
  <c r="H199" i="23"/>
  <c r="N199" i="23" s="1"/>
  <c r="O213" i="23"/>
  <c r="N213" i="23"/>
  <c r="O212" i="23"/>
  <c r="N212" i="23"/>
  <c r="O201" i="23"/>
  <c r="N201" i="23"/>
  <c r="O199" i="23"/>
  <c r="O198" i="23"/>
  <c r="H196" i="23"/>
  <c r="N196" i="23" s="1"/>
  <c r="H194" i="23"/>
  <c r="N194" i="23" s="1"/>
  <c r="H195" i="23"/>
  <c r="N195" i="23" s="1"/>
  <c r="O194" i="23"/>
  <c r="O196" i="23"/>
  <c r="O195" i="23"/>
  <c r="J146" i="23"/>
  <c r="H146" i="23"/>
  <c r="O147" i="23"/>
  <c r="N147" i="23"/>
  <c r="H148" i="23"/>
  <c r="H149" i="23"/>
  <c r="N149" i="23" s="1"/>
  <c r="O148" i="23"/>
  <c r="K145" i="23" s="1"/>
  <c r="P145" i="23" s="1"/>
  <c r="O149" i="23"/>
  <c r="O146" i="23"/>
  <c r="H121" i="23"/>
  <c r="O122" i="23"/>
  <c r="K121" i="23" s="1"/>
  <c r="P121" i="23" s="1"/>
  <c r="N122" i="23"/>
  <c r="H100" i="23"/>
  <c r="N100" i="23" s="1"/>
  <c r="O101" i="23"/>
  <c r="N101" i="23"/>
  <c r="O100" i="23"/>
  <c r="K85" i="23"/>
  <c r="K84" i="23"/>
  <c r="H85" i="23"/>
  <c r="N85" i="23" s="1"/>
  <c r="H84" i="23"/>
  <c r="N84" i="23" s="1"/>
  <c r="H83" i="23"/>
  <c r="N83" i="23" s="1"/>
  <c r="H79" i="23"/>
  <c r="N79" i="23" s="1"/>
  <c r="H81" i="23"/>
  <c r="N81" i="23" s="1"/>
  <c r="H80" i="23"/>
  <c r="N80" i="23" s="1"/>
  <c r="H82" i="23"/>
  <c r="N82" i="23" s="1"/>
  <c r="O87" i="23"/>
  <c r="N87" i="23"/>
  <c r="O86" i="23"/>
  <c r="N86" i="23"/>
  <c r="O83" i="23"/>
  <c r="O82" i="23"/>
  <c r="O81" i="23"/>
  <c r="O80" i="23"/>
  <c r="O79" i="23"/>
  <c r="H77" i="23"/>
  <c r="O78" i="23"/>
  <c r="N78" i="23"/>
  <c r="H76" i="23"/>
  <c r="N76" i="23" s="1"/>
  <c r="H74" i="23"/>
  <c r="N74" i="23" s="1"/>
  <c r="H75" i="23"/>
  <c r="N75" i="23" s="1"/>
  <c r="O76" i="23"/>
  <c r="O75" i="23"/>
  <c r="O74" i="23"/>
  <c r="H65" i="23"/>
  <c r="O66" i="23"/>
  <c r="N66" i="23"/>
  <c r="N11" i="23"/>
  <c r="P40" i="23" l="1"/>
  <c r="P18" i="23"/>
  <c r="P47" i="23"/>
  <c r="P46" i="23"/>
  <c r="O11" i="23"/>
  <c r="L10" i="23" s="1"/>
  <c r="O84" i="23"/>
  <c r="P84" i="23"/>
  <c r="O85" i="23"/>
  <c r="P85" i="23"/>
  <c r="K99" i="23"/>
  <c r="N146" i="23"/>
  <c r="H145" i="23"/>
  <c r="N145" i="23" s="1"/>
  <c r="H99" i="23"/>
  <c r="N99" i="23" s="1"/>
  <c r="N148" i="23"/>
  <c r="O323" i="23"/>
  <c r="N323" i="23"/>
  <c r="O322" i="23"/>
  <c r="N322" i="23"/>
  <c r="O321" i="23"/>
  <c r="N321" i="23"/>
  <c r="O320" i="23"/>
  <c r="N320" i="23"/>
  <c r="O319" i="23"/>
  <c r="N319" i="23"/>
  <c r="O318" i="23"/>
  <c r="N318" i="23"/>
  <c r="O317" i="23"/>
  <c r="N317" i="23"/>
  <c r="O316" i="23"/>
  <c r="N316" i="23"/>
  <c r="O312" i="23"/>
  <c r="N312" i="23"/>
  <c r="O311" i="23"/>
  <c r="N311" i="23"/>
  <c r="O310" i="23"/>
  <c r="N310" i="23"/>
  <c r="O309" i="23"/>
  <c r="N309" i="23"/>
  <c r="O308" i="23"/>
  <c r="N308" i="23"/>
  <c r="O307" i="23"/>
  <c r="N307" i="23"/>
  <c r="O306" i="23"/>
  <c r="N306" i="23"/>
  <c r="O305" i="23"/>
  <c r="N305" i="23"/>
  <c r="O304" i="23"/>
  <c r="N304" i="23"/>
  <c r="O303" i="23"/>
  <c r="N303" i="23"/>
  <c r="O302" i="23"/>
  <c r="N302" i="23"/>
  <c r="O301" i="23"/>
  <c r="N301" i="23"/>
  <c r="O300" i="23"/>
  <c r="N300" i="23"/>
  <c r="O299" i="23"/>
  <c r="N299" i="23"/>
  <c r="O298" i="23"/>
  <c r="N298" i="23"/>
  <c r="O297" i="23"/>
  <c r="N297" i="23"/>
  <c r="O296" i="23"/>
  <c r="N296" i="23"/>
  <c r="O295" i="23"/>
  <c r="N295" i="23"/>
  <c r="O294" i="23"/>
  <c r="N294" i="23"/>
  <c r="O293" i="23"/>
  <c r="N293" i="23"/>
  <c r="O292" i="23"/>
  <c r="N292" i="23"/>
  <c r="O291" i="23"/>
  <c r="N291" i="23"/>
  <c r="O290" i="23"/>
  <c r="N290" i="23"/>
  <c r="O289" i="23"/>
  <c r="N289" i="23"/>
  <c r="O288" i="23"/>
  <c r="N288" i="23"/>
  <c r="O287" i="23"/>
  <c r="N287" i="23"/>
  <c r="O286" i="23"/>
  <c r="N286" i="23"/>
  <c r="O285" i="23"/>
  <c r="N285" i="23"/>
  <c r="O284" i="23"/>
  <c r="N284" i="23"/>
  <c r="O283" i="23"/>
  <c r="N283" i="23"/>
  <c r="O282" i="23"/>
  <c r="N282" i="23"/>
  <c r="O281" i="23"/>
  <c r="N281" i="23"/>
  <c r="O280" i="23"/>
  <c r="N280" i="23"/>
  <c r="O279" i="23"/>
  <c r="N279" i="23"/>
  <c r="O278" i="23"/>
  <c r="N278" i="23"/>
  <c r="O277" i="23"/>
  <c r="N277" i="23"/>
  <c r="O276" i="23"/>
  <c r="N276" i="23"/>
  <c r="O275" i="23"/>
  <c r="N275" i="23"/>
  <c r="O274" i="23"/>
  <c r="N274" i="23"/>
  <c r="O273" i="23"/>
  <c r="N273" i="23"/>
  <c r="O272" i="23"/>
  <c r="N272" i="23"/>
  <c r="O271" i="23"/>
  <c r="N271" i="23"/>
  <c r="O270" i="23"/>
  <c r="N270" i="23"/>
  <c r="O269" i="23"/>
  <c r="N269" i="23"/>
  <c r="O267" i="23"/>
  <c r="N267" i="23"/>
  <c r="O266" i="23"/>
  <c r="N266" i="23"/>
  <c r="O265" i="23"/>
  <c r="N265" i="23"/>
  <c r="O264" i="23"/>
  <c r="N264" i="23"/>
  <c r="O263" i="23"/>
  <c r="N263" i="23"/>
  <c r="O262" i="23"/>
  <c r="N262" i="23"/>
  <c r="O261" i="23"/>
  <c r="N261" i="23"/>
  <c r="O260" i="23"/>
  <c r="N260" i="23"/>
  <c r="O259" i="23"/>
  <c r="N259" i="23"/>
  <c r="O258" i="23"/>
  <c r="N258" i="23"/>
  <c r="O257" i="23"/>
  <c r="N257" i="23"/>
  <c r="O256" i="23"/>
  <c r="N256" i="23"/>
  <c r="O255" i="23"/>
  <c r="N255" i="23"/>
  <c r="O254" i="23"/>
  <c r="N254" i="23"/>
  <c r="O253" i="23"/>
  <c r="N253" i="23"/>
  <c r="O252" i="23"/>
  <c r="N252" i="23"/>
  <c r="O251" i="23"/>
  <c r="N251" i="23"/>
  <c r="O250" i="23"/>
  <c r="N250" i="23"/>
  <c r="O249" i="23"/>
  <c r="N249" i="23"/>
  <c r="O248" i="23"/>
  <c r="N248" i="23"/>
  <c r="O247" i="23"/>
  <c r="N247" i="23"/>
  <c r="O246" i="23"/>
  <c r="O245" i="23" s="1"/>
  <c r="N246" i="23"/>
  <c r="N245" i="23"/>
  <c r="O244" i="23"/>
  <c r="N244" i="23"/>
  <c r="O243" i="23"/>
  <c r="N243" i="23"/>
  <c r="O165" i="23"/>
  <c r="N165" i="23"/>
  <c r="O164" i="23"/>
  <c r="N164" i="23"/>
  <c r="O163" i="23"/>
  <c r="N163" i="23"/>
  <c r="O162" i="23"/>
  <c r="N162" i="23"/>
  <c r="O161" i="23"/>
  <c r="N161" i="23"/>
  <c r="O160" i="23"/>
  <c r="N160" i="23"/>
  <c r="O159" i="23"/>
  <c r="N159" i="23"/>
  <c r="O158" i="23"/>
  <c r="N158" i="23"/>
  <c r="O157" i="23"/>
  <c r="N157" i="23"/>
  <c r="O156" i="23"/>
  <c r="N156" i="23"/>
  <c r="O155" i="23"/>
  <c r="N155" i="23"/>
  <c r="O154" i="23"/>
  <c r="N154" i="23"/>
  <c r="O153" i="23"/>
  <c r="N153" i="23"/>
  <c r="O152" i="23"/>
  <c r="N152" i="23"/>
  <c r="O151" i="23"/>
  <c r="N151" i="23"/>
  <c r="O150" i="23"/>
  <c r="N150" i="23"/>
  <c r="O145" i="23"/>
  <c r="O144" i="23"/>
  <c r="N144" i="23"/>
  <c r="O143" i="23"/>
  <c r="N143" i="23"/>
  <c r="O142" i="23"/>
  <c r="N142" i="23"/>
  <c r="O141" i="23"/>
  <c r="N141" i="23"/>
  <c r="O140" i="23"/>
  <c r="N140" i="23"/>
  <c r="O139" i="23"/>
  <c r="N139" i="23"/>
  <c r="O138" i="23"/>
  <c r="N138" i="23"/>
  <c r="O137" i="23"/>
  <c r="N137" i="23"/>
  <c r="O136" i="23"/>
  <c r="N136" i="23"/>
  <c r="O135" i="23"/>
  <c r="N135" i="23"/>
  <c r="O134" i="23"/>
  <c r="N134" i="23"/>
  <c r="O133" i="23"/>
  <c r="N133" i="23"/>
  <c r="O132" i="23"/>
  <c r="N132" i="23"/>
  <c r="O131" i="23"/>
  <c r="N131" i="23"/>
  <c r="O130" i="23"/>
  <c r="N130" i="23"/>
  <c r="O129" i="23"/>
  <c r="N129" i="23"/>
  <c r="O128" i="23"/>
  <c r="N128" i="23"/>
  <c r="O127" i="23"/>
  <c r="N127" i="23"/>
  <c r="O126" i="23"/>
  <c r="N126" i="23"/>
  <c r="O125" i="23"/>
  <c r="N125" i="23"/>
  <c r="O124" i="23"/>
  <c r="N124" i="23"/>
  <c r="O123" i="23"/>
  <c r="N123" i="23"/>
  <c r="O121" i="23"/>
  <c r="N121" i="23"/>
  <c r="O120" i="23"/>
  <c r="N120" i="23"/>
  <c r="O119" i="23"/>
  <c r="N119" i="23"/>
  <c r="O118" i="23"/>
  <c r="N118" i="23"/>
  <c r="O117" i="23"/>
  <c r="N117" i="23"/>
  <c r="O116" i="23"/>
  <c r="N116" i="23"/>
  <c r="O115" i="23"/>
  <c r="N115" i="23"/>
  <c r="O114" i="23"/>
  <c r="N114" i="23"/>
  <c r="O113" i="23"/>
  <c r="N113" i="23"/>
  <c r="O112" i="23"/>
  <c r="N112" i="23"/>
  <c r="O111" i="23"/>
  <c r="N111" i="23"/>
  <c r="O110" i="23"/>
  <c r="N110" i="23"/>
  <c r="O109" i="23"/>
  <c r="N109" i="23"/>
  <c r="O108" i="23"/>
  <c r="N108" i="23"/>
  <c r="O107" i="23"/>
  <c r="N107" i="23"/>
  <c r="O106" i="23"/>
  <c r="N106" i="23"/>
  <c r="O105" i="23"/>
  <c r="N105" i="23"/>
  <c r="O104" i="23"/>
  <c r="N104" i="23"/>
  <c r="O103" i="23"/>
  <c r="N103" i="23"/>
  <c r="O102" i="23"/>
  <c r="N102" i="23"/>
  <c r="O98" i="23"/>
  <c r="N98" i="23"/>
  <c r="O97" i="23"/>
  <c r="N97" i="23"/>
  <c r="O96" i="23"/>
  <c r="N96" i="23"/>
  <c r="O95" i="23"/>
  <c r="N95" i="23"/>
  <c r="O94" i="23"/>
  <c r="N94" i="23"/>
  <c r="O93" i="23"/>
  <c r="N93" i="23"/>
  <c r="O92" i="23"/>
  <c r="N92" i="23"/>
  <c r="O91" i="23"/>
  <c r="N91" i="23"/>
  <c r="O90" i="23"/>
  <c r="N90" i="23"/>
  <c r="O89" i="23"/>
  <c r="N89" i="23"/>
  <c r="O88" i="23"/>
  <c r="N88" i="23"/>
  <c r="O77" i="23"/>
  <c r="N77" i="23"/>
  <c r="O73" i="23"/>
  <c r="N73" i="23"/>
  <c r="O72" i="23"/>
  <c r="N72" i="23"/>
  <c r="O71" i="23"/>
  <c r="N71" i="23"/>
  <c r="O70" i="23"/>
  <c r="N70" i="23"/>
  <c r="O69" i="23"/>
  <c r="N69" i="23"/>
  <c r="O68" i="23"/>
  <c r="N68" i="23"/>
  <c r="O67" i="23"/>
  <c r="N67" i="23"/>
  <c r="O65" i="23"/>
  <c r="N65" i="23"/>
  <c r="O64" i="23"/>
  <c r="N64" i="23"/>
  <c r="O63" i="23"/>
  <c r="N63" i="23"/>
  <c r="O62" i="23"/>
  <c r="N62" i="23"/>
  <c r="O61" i="23"/>
  <c r="N61" i="23"/>
  <c r="O60" i="23"/>
  <c r="N60" i="23"/>
  <c r="O59" i="23"/>
  <c r="N59" i="23"/>
  <c r="O58" i="23"/>
  <c r="N58" i="23"/>
  <c r="O57" i="23"/>
  <c r="N57" i="23"/>
  <c r="O56" i="23"/>
  <c r="N56" i="23"/>
  <c r="O55" i="23"/>
  <c r="N55" i="23"/>
  <c r="O54" i="23"/>
  <c r="N54" i="23"/>
  <c r="O53" i="23"/>
  <c r="N53" i="23"/>
  <c r="O52" i="23"/>
  <c r="N52" i="23"/>
  <c r="O51" i="23"/>
  <c r="N51" i="23"/>
  <c r="O50" i="23"/>
  <c r="N50" i="23"/>
  <c r="O49" i="23"/>
  <c r="N49" i="23"/>
  <c r="O48" i="23"/>
  <c r="N48" i="23"/>
  <c r="O47" i="23"/>
  <c r="N47" i="23"/>
  <c r="O46" i="23"/>
  <c r="N46" i="23"/>
  <c r="O45" i="23"/>
  <c r="N45" i="23"/>
  <c r="O44" i="23"/>
  <c r="N44" i="23"/>
  <c r="O42" i="23"/>
  <c r="N42" i="23"/>
  <c r="O40" i="23"/>
  <c r="N40" i="23"/>
  <c r="O39" i="23"/>
  <c r="N39" i="23"/>
  <c r="O38" i="23"/>
  <c r="N38" i="23"/>
  <c r="O37" i="23"/>
  <c r="N37" i="23"/>
  <c r="O36" i="23"/>
  <c r="N36" i="23"/>
  <c r="O35" i="23"/>
  <c r="N35" i="23"/>
  <c r="O34" i="23"/>
  <c r="N34" i="23"/>
  <c r="O33" i="23"/>
  <c r="N33" i="23"/>
  <c r="O32" i="23"/>
  <c r="N32" i="23"/>
  <c r="O31" i="23"/>
  <c r="N31" i="23"/>
  <c r="O30" i="23"/>
  <c r="N30" i="23"/>
  <c r="N181" i="23"/>
  <c r="O181" i="23"/>
  <c r="N180" i="23"/>
  <c r="O180" i="23"/>
  <c r="O230" i="23"/>
  <c r="O229" i="23"/>
  <c r="N230" i="23"/>
  <c r="N229" i="23"/>
  <c r="O228" i="23"/>
  <c r="N228" i="23"/>
  <c r="O227" i="23"/>
  <c r="N227" i="23"/>
  <c r="O179" i="23"/>
  <c r="N179" i="23"/>
  <c r="O178" i="23"/>
  <c r="N178" i="23"/>
  <c r="O99" i="23" l="1"/>
  <c r="P99" i="23"/>
  <c r="Q357" i="23"/>
  <c r="O174" i="23"/>
  <c r="N174" i="23"/>
  <c r="O176" i="23"/>
  <c r="N176" i="23"/>
  <c r="O217" i="23"/>
  <c r="N217" i="23"/>
  <c r="S357" i="23"/>
  <c r="H357" i="23" l="1"/>
  <c r="O324" i="23"/>
  <c r="N324" i="23"/>
  <c r="O242" i="23"/>
  <c r="N242" i="23"/>
  <c r="O241" i="23"/>
  <c r="N241" i="23"/>
  <c r="O240" i="23"/>
  <c r="N240" i="23"/>
  <c r="O239" i="23"/>
  <c r="N239" i="23"/>
  <c r="O238" i="23"/>
  <c r="N238" i="23"/>
  <c r="O237" i="23"/>
  <c r="N237" i="23"/>
  <c r="O236" i="23"/>
  <c r="N236" i="23"/>
  <c r="O235" i="23"/>
  <c r="N235" i="23"/>
  <c r="O234" i="23"/>
  <c r="N234" i="23"/>
  <c r="O233" i="23"/>
  <c r="N233" i="23"/>
  <c r="O232" i="23"/>
  <c r="N232" i="23"/>
  <c r="O231" i="23"/>
  <c r="N231" i="23"/>
  <c r="O226" i="23"/>
  <c r="N226" i="23"/>
  <c r="O225" i="23"/>
  <c r="N225" i="23"/>
  <c r="O223" i="23"/>
  <c r="N223" i="23"/>
  <c r="O222" i="23"/>
  <c r="N222" i="23"/>
  <c r="O221" i="23"/>
  <c r="N221" i="23"/>
  <c r="O220" i="23"/>
  <c r="N220" i="23"/>
  <c r="O219" i="23"/>
  <c r="N219" i="23"/>
  <c r="O218" i="23"/>
  <c r="N218" i="23"/>
  <c r="O216" i="23"/>
  <c r="N216" i="23"/>
  <c r="O215" i="23"/>
  <c r="N215" i="23"/>
  <c r="O214" i="23"/>
  <c r="N214" i="23"/>
  <c r="O200" i="23"/>
  <c r="N200" i="23"/>
  <c r="O197" i="23"/>
  <c r="N197" i="23"/>
  <c r="O193" i="23"/>
  <c r="N193" i="23"/>
  <c r="O192" i="23"/>
  <c r="N192" i="23"/>
  <c r="O191" i="23"/>
  <c r="N191" i="23"/>
  <c r="O190" i="23"/>
  <c r="N190" i="23"/>
  <c r="O189" i="23"/>
  <c r="N189" i="23"/>
  <c r="O188" i="23"/>
  <c r="N188" i="23"/>
  <c r="O187" i="23"/>
  <c r="N187" i="23"/>
  <c r="O186" i="23"/>
  <c r="N186" i="23"/>
  <c r="O185" i="23"/>
  <c r="N185" i="23"/>
  <c r="O184" i="23"/>
  <c r="N184" i="23"/>
  <c r="O183" i="23"/>
  <c r="N183" i="23"/>
  <c r="O182" i="23"/>
  <c r="N182" i="23"/>
  <c r="O177" i="23"/>
  <c r="N177" i="23"/>
  <c r="O175" i="23"/>
  <c r="N175" i="23"/>
  <c r="O173" i="23"/>
  <c r="N173" i="23"/>
  <c r="O172" i="23"/>
  <c r="N172" i="23"/>
  <c r="O171" i="23"/>
  <c r="N171" i="23"/>
  <c r="O170" i="23"/>
  <c r="N170" i="23"/>
  <c r="O169" i="23"/>
  <c r="N169" i="23"/>
  <c r="O168" i="23"/>
  <c r="N168" i="23"/>
  <c r="O167" i="23"/>
  <c r="N167" i="23"/>
  <c r="O166" i="23"/>
  <c r="N166" i="23"/>
  <c r="O29" i="23"/>
  <c r="N29" i="23"/>
  <c r="O28" i="23"/>
  <c r="N28" i="23"/>
  <c r="O27" i="23"/>
  <c r="N27" i="23"/>
  <c r="O26" i="23"/>
  <c r="N26" i="23"/>
  <c r="O25" i="23"/>
  <c r="N25" i="23"/>
  <c r="O24" i="23"/>
  <c r="N24" i="23"/>
  <c r="O23" i="23"/>
  <c r="N23" i="23"/>
  <c r="O22" i="23"/>
  <c r="N22" i="23"/>
  <c r="O21" i="23"/>
  <c r="N21" i="23"/>
  <c r="O20" i="23"/>
  <c r="N20" i="23"/>
  <c r="O19" i="23"/>
  <c r="N19" i="23"/>
  <c r="O18" i="23"/>
  <c r="N18" i="23"/>
  <c r="O17" i="23"/>
  <c r="N17" i="23"/>
  <c r="O16" i="23"/>
  <c r="N16" i="23"/>
  <c r="O15" i="23"/>
  <c r="N15" i="23"/>
  <c r="O14" i="23"/>
  <c r="N14" i="23"/>
  <c r="K224" i="23" l="1"/>
  <c r="O13" i="23"/>
  <c r="N13" i="23"/>
  <c r="O12" i="23"/>
  <c r="N12" i="23"/>
  <c r="O10" i="23"/>
  <c r="N10" i="23"/>
  <c r="O9" i="23"/>
  <c r="N9" i="23"/>
  <c r="O8" i="23"/>
  <c r="N8" i="23"/>
  <c r="O224" i="23" l="1"/>
  <c r="P224" i="23"/>
  <c r="P357" i="23" s="1"/>
  <c r="N357" i="23"/>
  <c r="O357" i="23"/>
</calcChain>
</file>

<file path=xl/sharedStrings.xml><?xml version="1.0" encoding="utf-8"?>
<sst xmlns="http://schemas.openxmlformats.org/spreadsheetml/2006/main" count="1574" uniqueCount="398">
  <si>
    <t>Poznámka</t>
  </si>
  <si>
    <t>Přípočet</t>
  </si>
  <si>
    <t>m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</si>
  <si>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</si>
  <si>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CELKEM</t>
  </si>
  <si>
    <t>Umístění, popis konstrukce</t>
  </si>
  <si>
    <t>Odečet</t>
  </si>
  <si>
    <t>Půdorysná plocha</t>
  </si>
  <si>
    <t>Č.místnosti</t>
  </si>
  <si>
    <t>podlaží</t>
  </si>
  <si>
    <t>místnost</t>
  </si>
  <si>
    <t>část m.</t>
  </si>
  <si>
    <t>Kód</t>
  </si>
  <si>
    <t>Délka</t>
  </si>
  <si>
    <t>Výměra</t>
  </si>
  <si>
    <t>Typ</t>
  </si>
  <si>
    <t>Popis</t>
  </si>
  <si>
    <t>m2</t>
  </si>
  <si>
    <t>typ skladby</t>
  </si>
  <si>
    <t>Plocha podlah</t>
  </si>
  <si>
    <t>Spáry, lišty, sokly</t>
  </si>
  <si>
    <t>Délka soklu, lišt, spáry aj.</t>
  </si>
  <si>
    <t>sokly, lišty</t>
  </si>
  <si>
    <t>Celková plocha</t>
  </si>
  <si>
    <t>1NP</t>
  </si>
  <si>
    <t>1</t>
  </si>
  <si>
    <t>2NP</t>
  </si>
  <si>
    <t>2</t>
  </si>
  <si>
    <t>mezipodesta</t>
  </si>
  <si>
    <t>hydroizolace podlahy svislá - vytažení HI na stěny v.150mm</t>
  </si>
  <si>
    <t>A5 - PODLAHY</t>
  </si>
  <si>
    <t>REKAPITULACE - SKLADBY PODLAH</t>
  </si>
  <si>
    <t>.01</t>
  </si>
  <si>
    <t>.02</t>
  </si>
  <si>
    <t>.03</t>
  </si>
  <si>
    <t>.04</t>
  </si>
  <si>
    <t>.05</t>
  </si>
  <si>
    <t>.06</t>
  </si>
  <si>
    <t>.07</t>
  </si>
  <si>
    <t>.08</t>
  </si>
  <si>
    <t>.09</t>
  </si>
  <si>
    <t>ADMINISTRATIVA</t>
  </si>
  <si>
    <t>.10</t>
  </si>
  <si>
    <t>a</t>
  </si>
  <si>
    <t>b</t>
  </si>
  <si>
    <t>.11</t>
  </si>
  <si>
    <t>c</t>
  </si>
  <si>
    <t>.12</t>
  </si>
  <si>
    <t>.13</t>
  </si>
  <si>
    <t>.14</t>
  </si>
  <si>
    <t>.15</t>
  </si>
  <si>
    <t>.16</t>
  </si>
  <si>
    <t>.17</t>
  </si>
  <si>
    <t>.18</t>
  </si>
  <si>
    <t>.19</t>
  </si>
  <si>
    <t>.20</t>
  </si>
  <si>
    <t>.21</t>
  </si>
  <si>
    <t>.22</t>
  </si>
  <si>
    <t>.23</t>
  </si>
  <si>
    <t>ZÁZEMÍ, PRÁDELNA</t>
  </si>
  <si>
    <t>.24</t>
  </si>
  <si>
    <t>.25</t>
  </si>
  <si>
    <t>.26</t>
  </si>
  <si>
    <t>.27</t>
  </si>
  <si>
    <t>.28</t>
  </si>
  <si>
    <t>.29</t>
  </si>
  <si>
    <t>.30</t>
  </si>
  <si>
    <t>.31</t>
  </si>
  <si>
    <t>.32</t>
  </si>
  <si>
    <t>.33</t>
  </si>
  <si>
    <t>.34</t>
  </si>
  <si>
    <t>KUCHYNĚ</t>
  </si>
  <si>
    <t>.35</t>
  </si>
  <si>
    <t>.36</t>
  </si>
  <si>
    <t>.37</t>
  </si>
  <si>
    <t>.38</t>
  </si>
  <si>
    <t>.39</t>
  </si>
  <si>
    <t>.40</t>
  </si>
  <si>
    <t>.41</t>
  </si>
  <si>
    <t>.42</t>
  </si>
  <si>
    <t>.43</t>
  </si>
  <si>
    <t>.44</t>
  </si>
  <si>
    <t>.45</t>
  </si>
  <si>
    <t>.46</t>
  </si>
  <si>
    <t>ORDINACE</t>
  </si>
  <si>
    <t>.47</t>
  </si>
  <si>
    <t>.48</t>
  </si>
  <si>
    <t>.49</t>
  </si>
  <si>
    <t>.50</t>
  </si>
  <si>
    <t>.51</t>
  </si>
  <si>
    <t>.52</t>
  </si>
  <si>
    <t>.53</t>
  </si>
  <si>
    <t>UC.1</t>
  </si>
  <si>
    <t>UC.2</t>
  </si>
  <si>
    <t>V.1</t>
  </si>
  <si>
    <t>Š.01</t>
  </si>
  <si>
    <t>Š.02</t>
  </si>
  <si>
    <t>Š.03</t>
  </si>
  <si>
    <t>Š.04</t>
  </si>
  <si>
    <t>Š.05</t>
  </si>
  <si>
    <t>Š.06</t>
  </si>
  <si>
    <t>Š.07</t>
  </si>
  <si>
    <t>Š.08</t>
  </si>
  <si>
    <t>Š.09</t>
  </si>
  <si>
    <t>Š.10</t>
  </si>
  <si>
    <t>Š.11</t>
  </si>
  <si>
    <t>.54</t>
  </si>
  <si>
    <t>.55</t>
  </si>
  <si>
    <t>.56</t>
  </si>
  <si>
    <t>.57</t>
  </si>
  <si>
    <t>.58</t>
  </si>
  <si>
    <t>.59</t>
  </si>
  <si>
    <t>.60</t>
  </si>
  <si>
    <t>.61</t>
  </si>
  <si>
    <t>.62</t>
  </si>
  <si>
    <t>.63</t>
  </si>
  <si>
    <t>.64</t>
  </si>
  <si>
    <t>.65</t>
  </si>
  <si>
    <t>.66</t>
  </si>
  <si>
    <t>.67</t>
  </si>
  <si>
    <t>.68</t>
  </si>
  <si>
    <t>.69</t>
  </si>
  <si>
    <t>.70</t>
  </si>
  <si>
    <t>.71</t>
  </si>
  <si>
    <t>.72</t>
  </si>
  <si>
    <t>.73</t>
  </si>
  <si>
    <t>.74</t>
  </si>
  <si>
    <t>.75</t>
  </si>
  <si>
    <t>.76</t>
  </si>
  <si>
    <t>.77</t>
  </si>
  <si>
    <t>.78</t>
  </si>
  <si>
    <t>.79</t>
  </si>
  <si>
    <t>.80</t>
  </si>
  <si>
    <t>.81</t>
  </si>
  <si>
    <t>.82</t>
  </si>
  <si>
    <t>.83</t>
  </si>
  <si>
    <t>.84</t>
  </si>
  <si>
    <t>.85</t>
  </si>
  <si>
    <t>.86</t>
  </si>
  <si>
    <t>.87</t>
  </si>
  <si>
    <t>UC.3</t>
  </si>
  <si>
    <t>UC.4</t>
  </si>
  <si>
    <t>3NP</t>
  </si>
  <si>
    <t>3</t>
  </si>
  <si>
    <t>p18</t>
  </si>
  <si>
    <t>p1</t>
  </si>
  <si>
    <t>p11</t>
  </si>
  <si>
    <t>p17</t>
  </si>
  <si>
    <t>p3</t>
  </si>
  <si>
    <t>p20</t>
  </si>
  <si>
    <t>p8</t>
  </si>
  <si>
    <t>p10</t>
  </si>
  <si>
    <t>epoxidová stěrka</t>
  </si>
  <si>
    <t>p7</t>
  </si>
  <si>
    <t>p5</t>
  </si>
  <si>
    <t>p5a</t>
  </si>
  <si>
    <t>p15</t>
  </si>
  <si>
    <t>p12</t>
  </si>
  <si>
    <t>p4</t>
  </si>
  <si>
    <t>p13</t>
  </si>
  <si>
    <t>p16</t>
  </si>
  <si>
    <t>p6</t>
  </si>
  <si>
    <t>s5</t>
  </si>
  <si>
    <t>s6</t>
  </si>
  <si>
    <t>s7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</si>
  <si>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</si>
  <si>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</si>
  <si>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</si>
  <si>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</si>
  <si>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</si>
  <si>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</si>
  <si>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</si>
  <si>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</si>
  <si>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</si>
  <si>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</si>
  <si>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</si>
  <si>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</si>
  <si>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</si>
  <si>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</si>
  <si>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P13A</t>
  </si>
  <si>
    <t>P5A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</si>
  <si>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</si>
  <si>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</si>
  <si>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</si>
  <si>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</si>
  <si>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</si>
  <si>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</si>
  <si>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</si>
  <si>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</si>
  <si>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</si>
  <si>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</si>
  <si>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</si>
  <si>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</si>
  <si>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lité terazzo s podlahovým vytápěním tl.200mm</t>
  </si>
  <si>
    <t>lité terazzo s podlahovým vytápěním tl.150mm</t>
  </si>
  <si>
    <t>dřevěné vlysy s podlahovým vytápěním tl.200mm</t>
  </si>
  <si>
    <t>keramická dlažba s podlahovým vytápěním tl.200mm</t>
  </si>
  <si>
    <t>keramická dlažba s podlahovým vytápěním tl.150mm</t>
  </si>
  <si>
    <t>keramická dlažba tl.150mm</t>
  </si>
  <si>
    <t>keramická dlažba s HI stěrkou a podlahovým vatápěním tl.200mm</t>
  </si>
  <si>
    <t>keramická dlažba s HI stěrkou a podlahovým vatápěním tl.150mm</t>
  </si>
  <si>
    <t>keramická dlažba s HI stěrkou tl.200mm</t>
  </si>
  <si>
    <t>odolná keramická dlažba s HI stěrkou tl.200mm</t>
  </si>
  <si>
    <t>PUR stěrka s podlahovým vytápěním tl.200mm</t>
  </si>
  <si>
    <t>PUR stěrka tl.200mm</t>
  </si>
  <si>
    <t>PUR stěrka s HI stěrkou a podlahovým vytápěním tl.200mm</t>
  </si>
  <si>
    <t>PUR stěrka s HI stěrkou a podlahovým vytápěním tl.150mm</t>
  </si>
  <si>
    <t>PUR stěrka s HI stěrkou ve sprchovém koutu tl.140-120mm</t>
  </si>
  <si>
    <t>PUR stěrka s HI stěrkou tl.200mm</t>
  </si>
  <si>
    <t>vinylová podlaha s podlahovým vytápěním tl.200mm</t>
  </si>
  <si>
    <t>vinylová podlaha s podlahovým vytápěním tl.150mm</t>
  </si>
  <si>
    <t>broušená betonová podlaha s ochranným nátěrem tl.200mm</t>
  </si>
  <si>
    <t>čistící rohož tl.200mm</t>
  </si>
  <si>
    <t>základ technologie tl.300mm</t>
  </si>
  <si>
    <t>ochranný nátěr tl.1mm</t>
  </si>
  <si>
    <t>nátěr na podestě s podlahovým vytápěním tl.200mm</t>
  </si>
  <si>
    <t>nátěr na podestě s podlahovým vytápěním tl.150mm</t>
  </si>
  <si>
    <t>nátěr v chodbě CHÚC tl.200mm</t>
  </si>
  <si>
    <t>nátěr na mezipodestě tl.100mm</t>
  </si>
  <si>
    <t>lité terazzo na mezipodestě tl.100mm</t>
  </si>
  <si>
    <t>nátěr prefabrikovaných ramen schodišť tl.1mm</t>
  </si>
  <si>
    <t>sklad odpadu a zahradního náčiní</t>
  </si>
  <si>
    <t>podesta 1NP</t>
  </si>
  <si>
    <t>podesta 2NP</t>
  </si>
  <si>
    <t>rameno R01</t>
  </si>
  <si>
    <t>rameno R02</t>
  </si>
  <si>
    <t>p25</t>
  </si>
  <si>
    <t>p26</t>
  </si>
  <si>
    <t>p23</t>
  </si>
  <si>
    <t>p22</t>
  </si>
  <si>
    <t>čistící rohož</t>
  </si>
  <si>
    <t>chodba a podesta 1NP</t>
  </si>
  <si>
    <t>rameno R05</t>
  </si>
  <si>
    <t>rameno R06</t>
  </si>
  <si>
    <t>rameno R07</t>
  </si>
  <si>
    <t>p24</t>
  </si>
  <si>
    <t>es</t>
  </si>
  <si>
    <t>sokl v.0,15m</t>
  </si>
  <si>
    <t>p2</t>
  </si>
  <si>
    <t>tl.podlahy 200mm</t>
  </si>
  <si>
    <t>tl.podlahy 150mm</t>
  </si>
  <si>
    <t>tl.podlahy 400mm</t>
  </si>
  <si>
    <t>p4a</t>
  </si>
  <si>
    <t>P4A</t>
  </si>
  <si>
    <t>keramická dlažba s podlahovým vytápěním tl.400mm</t>
  </si>
  <si>
    <t>rameno R03</t>
  </si>
  <si>
    <t>rameno R04</t>
  </si>
  <si>
    <t>podesta, chodba - 2NP</t>
  </si>
  <si>
    <t>rameno 08</t>
  </si>
  <si>
    <t>rameno R09</t>
  </si>
  <si>
    <t>rameno 10</t>
  </si>
  <si>
    <t>rameno R11</t>
  </si>
  <si>
    <t>P27</t>
  </si>
  <si>
    <t>P28</t>
  </si>
  <si>
    <t>rám čistící rohože</t>
  </si>
  <si>
    <t>antistatická nášlapná vrstva</t>
  </si>
  <si>
    <t>2x místnost u 1.37</t>
  </si>
  <si>
    <t>sokl: délka schodů +výška schodů</t>
  </si>
  <si>
    <t>Plocha
(m2)</t>
  </si>
  <si>
    <t>Sokl
(m)</t>
  </si>
  <si>
    <t>HI</t>
  </si>
  <si>
    <t>SKLADBY PODLAH - MATERIÁLY</t>
  </si>
  <si>
    <t>Čís. pol</t>
  </si>
  <si>
    <t>20mm</t>
  </si>
  <si>
    <t>50mm</t>
  </si>
  <si>
    <t>vrstva k uložení podlahového topení (trubky, šablony, izolace)</t>
  </si>
  <si>
    <t>30mm</t>
  </si>
  <si>
    <t>separační folie PE</t>
  </si>
  <si>
    <t>0,1mm</t>
  </si>
  <si>
    <t>kročejová izolace (Isover T-P)</t>
  </si>
  <si>
    <t>70mm</t>
  </si>
  <si>
    <t>P1A</t>
  </si>
  <si>
    <t>lité terazzo bez podlahového vytápění tl.200mm</t>
  </si>
  <si>
    <t>p1a</t>
  </si>
  <si>
    <t>hiv</t>
  </si>
  <si>
    <t>his</t>
  </si>
  <si>
    <t>lité terazzo, broušení, penetrace, ochranná vosková vrstva</t>
  </si>
  <si>
    <t>litý samonivelační cementový potěr CT-C25-F5 (Cemflow CF25) +kari síť</t>
  </si>
  <si>
    <t>sokl</t>
  </si>
  <si>
    <t>80mm</t>
  </si>
  <si>
    <t>15mm</t>
  </si>
  <si>
    <t>55mm</t>
  </si>
  <si>
    <t>200mm</t>
  </si>
  <si>
    <t>dřevěné vlysy dle interiéru, broušení, lakování, tmelení, lepidlo, penetrace</t>
  </si>
  <si>
    <t>keramická dlažba dle interiéru, spárování, lepidlo, penetrace</t>
  </si>
  <si>
    <t>85mm</t>
  </si>
  <si>
    <t>1mm</t>
  </si>
  <si>
    <t>vytažení na stěny</t>
  </si>
  <si>
    <t>stěrková hydroizolace 2 vrstvy (Sikalastic 220W), penetrace</t>
  </si>
  <si>
    <t>100mm</t>
  </si>
  <si>
    <t>chemicky odolná keramická dlažba dle interiéru, spárování, lepidlo, penetrace</t>
  </si>
  <si>
    <t>57mm</t>
  </si>
  <si>
    <t>PUR stěrka (Sikafloor 330), penetrace, barva dle architekta</t>
  </si>
  <si>
    <t>3mm</t>
  </si>
  <si>
    <t>110mm</t>
  </si>
  <si>
    <t>P11A</t>
  </si>
  <si>
    <t>PUR stěrka antistatická tl.200mm</t>
  </si>
  <si>
    <t>p11a</t>
  </si>
  <si>
    <t>PUR stěrka antistatická, penetrace, barva dle architekta</t>
  </si>
  <si>
    <t>56mm</t>
  </si>
  <si>
    <t>betonová mazanina - spádová vrstva</t>
  </si>
  <si>
    <t>76-56mm</t>
  </si>
  <si>
    <t>povlaková vinylová krytina, lepidlo, penetrace</t>
  </si>
  <si>
    <t>6mm</t>
  </si>
  <si>
    <t>54mm</t>
  </si>
  <si>
    <t>vyhlazení betonové podlahy, uzavírací nátěr</t>
  </si>
  <si>
    <t>90mm</t>
  </si>
  <si>
    <t>rám</t>
  </si>
  <si>
    <t>59mm</t>
  </si>
  <si>
    <t>p19</t>
  </si>
  <si>
    <t>základ technologie</t>
  </si>
  <si>
    <t>vyztužený betonový základ technologie</t>
  </si>
  <si>
    <t>ochranný nátěr na bet.podlahu, uzavírací, transparentní, hydrofobní, penetrace</t>
  </si>
  <si>
    <t>p21</t>
  </si>
  <si>
    <t>barevný epoxidový nátěr (COMFLOOR PM N131), penetrace</t>
  </si>
  <si>
    <t>49mm</t>
  </si>
  <si>
    <t>tepelná izolace - desky z polystyrenu EPS 150</t>
  </si>
  <si>
    <t>P12A</t>
  </si>
  <si>
    <t>PUR stěrka s HI stěrkou ve sprchovém koutu tl.190-170mm</t>
  </si>
  <si>
    <t>p12a</t>
  </si>
  <si>
    <t>sprchové kouty 16x</t>
  </si>
  <si>
    <t>odečet z plochy z koupelny 16x</t>
  </si>
  <si>
    <t>sprchové kouty 14x</t>
  </si>
  <si>
    <t>odečet z plochy z koupelny 14x</t>
  </si>
  <si>
    <t>p13a</t>
  </si>
  <si>
    <t>sprchové kouty 30x</t>
  </si>
  <si>
    <t>odečet z plochy z koupelny 30x</t>
  </si>
  <si>
    <t>Hydroizol.stěrka</t>
  </si>
  <si>
    <t>vytažení na stěnu</t>
  </si>
  <si>
    <t>hydroizol. stěrka</t>
  </si>
  <si>
    <t>p14</t>
  </si>
  <si>
    <t>p9</t>
  </si>
  <si>
    <t>hydroizolace podlahy vodorovná - viz.pol.25 níže</t>
  </si>
  <si>
    <t>epoxidová stěrka - výtahová šachta</t>
  </si>
  <si>
    <t>čistící rohož v lištách -  započteno ve výrobcích 38.8</t>
  </si>
  <si>
    <t>ochranný nátěr na betonovou podlahu, penetrace - základ technologie</t>
  </si>
  <si>
    <t>barevný epoxidový nátěr (COMFLOOR PM N131), penetrace - schodiště</t>
  </si>
  <si>
    <t>sokl - schodiště</t>
  </si>
  <si>
    <t>POD ZÁKLADOVOU DESKOU</t>
  </si>
  <si>
    <t>p28</t>
  </si>
  <si>
    <t>HYDROIZOLACE, PODKL.BETON:</t>
  </si>
  <si>
    <t>viz.obrázek 4</t>
  </si>
  <si>
    <t>výměra změřena ve výkrese CAD, obr.4</t>
  </si>
  <si>
    <t>viz.obrázek 5</t>
  </si>
  <si>
    <t>HH=-0,465/-0,565 (1NP)</t>
  </si>
  <si>
    <t>šachta: HH=-1,665 (1NP)</t>
  </si>
  <si>
    <t>výtah: HH=-1,515 (1NP)</t>
  </si>
  <si>
    <t>HH=3,235 (2NP)</t>
  </si>
  <si>
    <t>pas: HH=+2,735/+2,235 (2NP)</t>
  </si>
  <si>
    <t>viz.obrázek 6</t>
  </si>
  <si>
    <t>viz.obrázek 7</t>
  </si>
  <si>
    <t>HH=+3,235/+3,035/+2,935 (2NP)</t>
  </si>
  <si>
    <t>P28_1</t>
  </si>
  <si>
    <t>p28_1</t>
  </si>
  <si>
    <t>skladba pod základovou deskou - štěrkový podsyp tl.100mm</t>
  </si>
  <si>
    <t>skladba pod základovou deskou - plocha s štěrkovým podsypem tl.200mm (odvětrání radonu)</t>
  </si>
  <si>
    <t>p28_2</t>
  </si>
  <si>
    <t>z toho podsyp štěrku tl.200mm</t>
  </si>
  <si>
    <t>HH=-0,465 (1NP)</t>
  </si>
  <si>
    <t>HH=+3,235/+3,035 (2NP)</t>
  </si>
  <si>
    <t>viz.obrázek 8</t>
  </si>
  <si>
    <t>P28_2</t>
  </si>
  <si>
    <t>DRENÁŽ PRO ODVĚTRÁVÁNÍ RADONU:</t>
  </si>
  <si>
    <t>viz.obrázek 9</t>
  </si>
  <si>
    <t>viz.obrázek 10</t>
  </si>
  <si>
    <t>viz.obrázek 11</t>
  </si>
  <si>
    <t>P28_3</t>
  </si>
  <si>
    <t>skladba pod základovou deskou - drenáž DN150 pro odvětrávání radonu</t>
  </si>
  <si>
    <t>skladba pod základovou deskou - drenáž DN100 pro odvětrávání radonu</t>
  </si>
  <si>
    <t>p28_3</t>
  </si>
  <si>
    <t>HH=-0,465 (1NP) - potrubí DN150</t>
  </si>
  <si>
    <t>HH=3,235 (2NP) - potrubí DN150</t>
  </si>
  <si>
    <t>HH=+3,235/+3,035 (2NP) - potrubí DN150</t>
  </si>
  <si>
    <t>HH=-0,465 (1NP) - potrubí DN100</t>
  </si>
  <si>
    <t>HH=3,235 (2NP) - potrubí DN100</t>
  </si>
  <si>
    <t>HH=+3,235/+3,035 (2NP) - potrubí DN100</t>
  </si>
  <si>
    <t>dr1</t>
  </si>
  <si>
    <t>DRENÁŽ KOLEM BUDOVY:</t>
  </si>
  <si>
    <t>po obvodě 2NP - strana Z</t>
  </si>
  <si>
    <t>po obvodě 2NP - strana J</t>
  </si>
  <si>
    <t>po obvodě 1NP - strana S</t>
  </si>
  <si>
    <t>po obvodě 1NP - strana Z</t>
  </si>
  <si>
    <t>po obvodě 1NP - strana J</t>
  </si>
  <si>
    <t>po obvodě 1NP - strana V</t>
  </si>
  <si>
    <t>drenáž kolem budovy š.400mm - flexi DN100, beton.v.150mm, štěrk v.350mm</t>
  </si>
  <si>
    <t>ochranná betonová mazanina</t>
  </si>
  <si>
    <t>40mm</t>
  </si>
  <si>
    <t>separační PE folie</t>
  </si>
  <si>
    <t>ochranná geotextilie 150g/m2</t>
  </si>
  <si>
    <t>2x SBS modifikovaný asfaltový pás</t>
  </si>
  <si>
    <t>8mm</t>
  </si>
  <si>
    <t>podkladní beton</t>
  </si>
  <si>
    <t>štěrkový podsyp</t>
  </si>
  <si>
    <t>P28_4</t>
  </si>
  <si>
    <t>podkladní beton tl.100mm - bednění boků</t>
  </si>
  <si>
    <t>p28_4</t>
  </si>
  <si>
    <t>bednění boků mazaniny</t>
  </si>
  <si>
    <t>podlaha skladu odpadu - viz.P20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</si>
</sst>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49" fontId="0" fillId="0" borderId="0" xfId="0" applyNumberFormat="1"/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vertical="center"/>
    </xf>
    <xf numFmtId="0" fontId="0" fillId="0" borderId="1" xfId="0" applyBorder="1"/>
    <xf numFmtId="4" fontId="0" fillId="0" borderId="1" xfId="0" applyNumberFormat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4" fontId="0" fillId="0" borderId="10" xfId="0" applyNumberForma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7" fillId="0" borderId="10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21" xfId="0" quotePrefix="1" applyNumberFormat="1" applyFont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4" fillId="3" borderId="10" xfId="0" applyNumberFormat="1" applyFont="1" applyFill="1" applyBorder="1"/>
    <xf numFmtId="49" fontId="4" fillId="3" borderId="15" xfId="0" applyNumberFormat="1" applyFont="1" applyFill="1" applyBorder="1"/>
    <xf numFmtId="49" fontId="4" fillId="3" borderId="21" xfId="0" applyNumberFormat="1" applyFont="1" applyFill="1" applyBorder="1"/>
    <xf numFmtId="0" fontId="0" fillId="2" borderId="19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4" fontId="0" fillId="4" borderId="10" xfId="0" applyNumberFormat="1" applyFill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right" vertical="center" wrapText="1"/>
    </xf>
    <xf numFmtId="0" fontId="10" fillId="0" borderId="1" xfId="0" applyFont="1" applyBorder="1"/>
    <xf numFmtId="49" fontId="5" fillId="0" borderId="5" xfId="0" applyNumberFormat="1" applyFont="1" applyBorder="1"/>
    <xf numFmtId="4" fontId="11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49" fontId="5" fillId="0" borderId="10" xfId="0" applyNumberFormat="1" applyFont="1" applyBorder="1"/>
    <xf numFmtId="49" fontId="7" fillId="0" borderId="10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horizontal="left" vertical="center"/>
    </xf>
    <xf numFmtId="4" fontId="12" fillId="3" borderId="1" xfId="0" applyNumberFormat="1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vertical="center"/>
    </xf>
    <xf numFmtId="0" fontId="0" fillId="0" borderId="10" xfId="0" applyBorder="1"/>
    <xf numFmtId="0" fontId="0" fillId="0" borderId="15" xfId="0" applyBorder="1"/>
    <xf numFmtId="0" fontId="0" fillId="0" borderId="21" xfId="0" applyBorder="1"/>
    <xf numFmtId="4" fontId="2" fillId="0" borderId="1" xfId="0" applyNumberFormat="1" applyFont="1" applyBorder="1"/>
    <xf numFmtId="4" fontId="0" fillId="0" borderId="0" xfId="0" applyNumberFormat="1"/>
    <xf numFmtId="49" fontId="7" fillId="0" borderId="10" xfId="0" applyNumberFormat="1" applyFont="1" applyFill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/>
    <xf numFmtId="0" fontId="6" fillId="0" borderId="1" xfId="0" applyFont="1" applyBorder="1"/>
    <xf numFmtId="0" fontId="11" fillId="0" borderId="10" xfId="0" applyFont="1" applyBorder="1"/>
    <xf numFmtId="0" fontId="11" fillId="0" borderId="15" xfId="0" applyFont="1" applyBorder="1"/>
    <xf numFmtId="0" fontId="11" fillId="0" borderId="21" xfId="0" applyFont="1" applyBorder="1"/>
    <xf numFmtId="0" fontId="13" fillId="0" borderId="10" xfId="0" applyFont="1" applyBorder="1"/>
    <xf numFmtId="0" fontId="13" fillId="0" borderId="15" xfId="0" applyFont="1" applyBorder="1"/>
    <xf numFmtId="0" fontId="13" fillId="0" borderId="21" xfId="0" applyFont="1" applyBorder="1"/>
    <xf numFmtId="0" fontId="11" fillId="0" borderId="15" xfId="0" applyFont="1" applyFill="1" applyBorder="1"/>
    <xf numFmtId="49" fontId="14" fillId="0" borderId="1" xfId="0" applyNumberFormat="1" applyFont="1" applyBorder="1" applyAlignment="1">
      <alignment horizontal="left" vertical="center"/>
    </xf>
    <xf numFmtId="0" fontId="0" fillId="2" borderId="2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3" xfId="0" applyFont="1" applyFill="1" applyBorder="1" applyAlignment="1">
      <alignment horizontal="center" vertical="center" textRotation="90"/>
    </xf>
    <xf numFmtId="0" fontId="7" fillId="2" borderId="10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0" fontId="0" fillId="6" borderId="14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</cellXfs>
  <cellStyles count="1">
    <cellStyle name="Normální" xfId="0" builtinId="0"/>
  </cellStyles>
  <dxfs count="609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87A1F-A7C7-4F5A-9662-A42EB2FB88DC}">
  <sheetPr>
    <tabColor rgb="FF0070C0"/>
    <pageSetUpPr fitToPage="1"/>
  </sheetPr>
  <dimension ref="A1:S360"/>
  <sheetViews>
    <sheetView zoomScale="130" zoomScaleNormal="130" workbookViewId="0">
      <pane xSplit="7" ySplit="7" topLeftCell="H29" activePane="bottomRight" state="frozen"/>
      <selection pane="topRight" activeCell="G1" sqref="G1"/>
      <selection pane="bottomLeft" activeCell="A8" sqref="A8"/>
      <selection pane="bottomRight" activeCell="E38" sqref="E38"/>
    </sheetView>
  </sheetViews>
  <sheetFormatPr defaultRowHeight="15" x14ac:dyDescent="0.25"/>
  <cols>
    <col min="1" max="1" width="2.85546875" customWidth="1"/>
    <col min="2" max="2" width="4" customWidth="1"/>
    <col min="3" max="3" width="4.28515625" customWidth="1"/>
    <col min="4" max="4" width="5.28515625" customWidth="1"/>
    <col min="5" max="6" width="4.28515625" customWidth="1"/>
    <col min="7" max="7" width="23.42578125" customWidth="1"/>
    <col min="8" max="10" width="8.42578125" customWidth="1"/>
    <col min="11" max="13" width="7.7109375" customWidth="1"/>
    <col min="14" max="14" width="8.7109375" customWidth="1"/>
    <col min="15" max="17" width="7.7109375" customWidth="1"/>
    <col min="18" max="18" width="26.7109375" customWidth="1"/>
    <col min="19" max="19" width="1" customWidth="1"/>
    <col min="20" max="32" width="7.7109375" customWidth="1"/>
    <col min="33" max="33" width="0.85546875" customWidth="1"/>
  </cols>
  <sheetData>
    <row r="1" spans="1:19" ht="18.75" x14ac:dyDescent="0.3">
      <c r="A1" s="1" t="s">
        <v>30</v>
      </c>
      <c r="B1" s="1"/>
      <c r="C1" s="1"/>
      <c r="D1" s="1"/>
      <c r="E1" s="1"/>
      <c r="F1" s="1"/>
      <c r="G1" s="1"/>
    </row>
    <row r="2" spans="1:19" ht="15.75" thickBot="1" x14ac:dyDescent="0.3"/>
    <row r="3" spans="1:19" ht="15" customHeight="1" x14ac:dyDescent="0.25">
      <c r="A3" s="65" t="s">
        <v>5</v>
      </c>
      <c r="B3" s="62"/>
      <c r="C3" s="62"/>
      <c r="D3" s="62"/>
      <c r="E3" s="62"/>
      <c r="F3" s="62"/>
      <c r="G3" s="66"/>
      <c r="H3" s="61" t="s">
        <v>19</v>
      </c>
      <c r="I3" s="62"/>
      <c r="J3" s="62"/>
      <c r="K3" s="67" t="s">
        <v>20</v>
      </c>
      <c r="L3" s="68"/>
      <c r="M3" s="69"/>
      <c r="N3" s="67" t="s">
        <v>14</v>
      </c>
      <c r="O3" s="68"/>
      <c r="P3" s="68"/>
      <c r="Q3" s="69"/>
      <c r="R3" s="54" t="s">
        <v>0</v>
      </c>
      <c r="S3" s="20"/>
    </row>
    <row r="4" spans="1:19" ht="23.25" customHeight="1" x14ac:dyDescent="0.25">
      <c r="A4" s="72" t="s">
        <v>8</v>
      </c>
      <c r="B4" s="73"/>
      <c r="C4" s="73"/>
      <c r="D4" s="80" t="s">
        <v>12</v>
      </c>
      <c r="E4" s="81"/>
      <c r="F4" s="82"/>
      <c r="G4" s="70" t="s">
        <v>16</v>
      </c>
      <c r="H4" s="56" t="s">
        <v>7</v>
      </c>
      <c r="I4" s="57" t="s">
        <v>6</v>
      </c>
      <c r="J4" s="57" t="s">
        <v>1</v>
      </c>
      <c r="K4" s="56" t="s">
        <v>13</v>
      </c>
      <c r="L4" s="56" t="s">
        <v>6</v>
      </c>
      <c r="M4" s="56" t="s">
        <v>1</v>
      </c>
      <c r="N4" s="58" t="s">
        <v>23</v>
      </c>
      <c r="O4" s="58" t="s">
        <v>21</v>
      </c>
      <c r="P4" s="63" t="s">
        <v>327</v>
      </c>
      <c r="Q4" s="64"/>
      <c r="R4" s="55"/>
      <c r="S4" s="21"/>
    </row>
    <row r="5" spans="1:19" ht="22.5" customHeight="1" x14ac:dyDescent="0.25">
      <c r="A5" s="74" t="s">
        <v>9</v>
      </c>
      <c r="B5" s="76" t="s">
        <v>10</v>
      </c>
      <c r="C5" s="78" t="s">
        <v>11</v>
      </c>
      <c r="D5" s="76" t="s">
        <v>18</v>
      </c>
      <c r="E5" s="76" t="s">
        <v>22</v>
      </c>
      <c r="F5" s="76" t="s">
        <v>329</v>
      </c>
      <c r="G5" s="70"/>
      <c r="H5" s="56"/>
      <c r="I5" s="57"/>
      <c r="J5" s="57"/>
      <c r="K5" s="56"/>
      <c r="L5" s="56"/>
      <c r="M5" s="56"/>
      <c r="N5" s="59"/>
      <c r="O5" s="59"/>
      <c r="P5" s="58" t="s">
        <v>328</v>
      </c>
      <c r="Q5" s="58"/>
      <c r="R5" s="55"/>
      <c r="S5" s="21"/>
    </row>
    <row r="6" spans="1:19" x14ac:dyDescent="0.25">
      <c r="A6" s="74"/>
      <c r="B6" s="76"/>
      <c r="C6" s="78"/>
      <c r="D6" s="76"/>
      <c r="E6" s="76"/>
      <c r="F6" s="76"/>
      <c r="G6" s="70"/>
      <c r="H6" s="56"/>
      <c r="I6" s="57"/>
      <c r="J6" s="57"/>
      <c r="K6" s="56"/>
      <c r="L6" s="56"/>
      <c r="M6" s="56"/>
      <c r="N6" s="60"/>
      <c r="O6" s="60"/>
      <c r="P6" s="60"/>
      <c r="Q6" s="60"/>
      <c r="R6" s="55"/>
      <c r="S6" s="21"/>
    </row>
    <row r="7" spans="1:19" ht="15.75" thickBot="1" x14ac:dyDescent="0.3">
      <c r="A7" s="75"/>
      <c r="B7" s="77"/>
      <c r="C7" s="79"/>
      <c r="D7" s="77"/>
      <c r="E7" s="77"/>
      <c r="F7" s="77"/>
      <c r="G7" s="71"/>
      <c r="H7" s="8" t="s">
        <v>3</v>
      </c>
      <c r="I7" s="8" t="s">
        <v>3</v>
      </c>
      <c r="J7" s="8" t="s">
        <v>3</v>
      </c>
      <c r="K7" s="8" t="s">
        <v>2</v>
      </c>
      <c r="L7" s="8" t="s">
        <v>3</v>
      </c>
      <c r="M7" s="8" t="s">
        <v>3</v>
      </c>
      <c r="N7" s="8" t="s">
        <v>3</v>
      </c>
      <c r="O7" s="8" t="s">
        <v>2</v>
      </c>
      <c r="P7" s="8" t="s">
        <v>2</v>
      </c>
      <c r="Q7" s="8"/>
      <c r="R7" s="23"/>
      <c r="S7" s="22"/>
    </row>
    <row r="8" spans="1:19" x14ac:dyDescent="0.25">
      <c r="A8" s="28" t="s">
        <v>24</v>
      </c>
      <c r="B8" s="13"/>
      <c r="C8" s="14"/>
      <c r="D8" s="10"/>
      <c r="E8" s="10"/>
      <c r="F8" s="10"/>
      <c r="G8" s="15"/>
      <c r="H8" s="7"/>
      <c r="I8" s="7"/>
      <c r="J8" s="7"/>
      <c r="K8" s="7"/>
      <c r="L8" s="7"/>
      <c r="M8" s="9"/>
      <c r="N8" s="24" t="str">
        <f>IF(AND(D8&lt;&gt;"",H8&lt;&gt;0),H8-I8+J8,"")</f>
        <v/>
      </c>
      <c r="O8" s="24" t="str">
        <f>IF(AND(E8&lt;&gt;"",K8&lt;&gt;0),K8-L8+M8,"")</f>
        <v/>
      </c>
      <c r="P8" s="24" t="str">
        <f>IF(AND(F8&lt;&gt;"",K8&lt;&gt;0),K8-L8+M8,"")</f>
        <v/>
      </c>
      <c r="Q8" s="24"/>
      <c r="R8" s="27"/>
      <c r="S8" s="6"/>
    </row>
    <row r="9" spans="1:19" x14ac:dyDescent="0.25">
      <c r="A9" s="12" t="s">
        <v>25</v>
      </c>
      <c r="B9" s="13" t="s">
        <v>32</v>
      </c>
      <c r="C9" s="14"/>
      <c r="D9" s="10" t="s">
        <v>144</v>
      </c>
      <c r="E9" s="10" t="s">
        <v>144</v>
      </c>
      <c r="F9" s="10" t="s">
        <v>275</v>
      </c>
      <c r="G9" s="16"/>
      <c r="H9" s="29">
        <v>7.81</v>
      </c>
      <c r="I9" s="7"/>
      <c r="J9" s="7"/>
      <c r="K9" s="7">
        <v>11.15</v>
      </c>
      <c r="L9" s="7"/>
      <c r="M9" s="9"/>
      <c r="N9" s="24">
        <f t="shared" ref="N9:N13" si="0">IF(AND(D9&lt;&gt;"",H9&lt;&gt;0),H9-I9+J9,"")</f>
        <v>7.81</v>
      </c>
      <c r="O9" s="24">
        <f t="shared" ref="O9:O13" si="1">IF(AND(E9&lt;&gt;"",K9&lt;&gt;0),K9-L9+M9,"")</f>
        <v>11.15</v>
      </c>
      <c r="P9" s="24">
        <f>IF(AND(F9&lt;&gt;"",K9&lt;&gt;0),K9-L9+M9,"")</f>
        <v>11.15</v>
      </c>
      <c r="Q9" s="24"/>
      <c r="R9" s="27" t="s">
        <v>254</v>
      </c>
      <c r="S9" s="6"/>
    </row>
    <row r="10" spans="1:19" x14ac:dyDescent="0.25">
      <c r="A10" s="12" t="s">
        <v>25</v>
      </c>
      <c r="B10" s="13" t="s">
        <v>33</v>
      </c>
      <c r="C10" s="14"/>
      <c r="D10" s="10" t="s">
        <v>145</v>
      </c>
      <c r="E10" s="10" t="s">
        <v>145</v>
      </c>
      <c r="F10" s="10"/>
      <c r="G10" s="16"/>
      <c r="H10" s="29">
        <v>119.82</v>
      </c>
      <c r="I10" s="7"/>
      <c r="J10" s="7"/>
      <c r="K10" s="7">
        <v>48.87</v>
      </c>
      <c r="L10" s="7">
        <f>1.25+1.74+1.3+1.7+0.2*2*2+1.12*2+1.8+1.12+1.5+0.92+O11</f>
        <v>24.105000000000004</v>
      </c>
      <c r="M10" s="9"/>
      <c r="N10" s="24">
        <f t="shared" si="0"/>
        <v>119.82</v>
      </c>
      <c r="O10" s="24">
        <f t="shared" si="1"/>
        <v>24.764999999999993</v>
      </c>
      <c r="P10" s="24" t="str">
        <f t="shared" ref="P10:P73" si="2">IF(AND(F10&lt;&gt;"",K10&lt;&gt;0),K10-L10+M10,"")</f>
        <v/>
      </c>
      <c r="Q10" s="24"/>
      <c r="R10" s="27"/>
      <c r="S10" s="6"/>
    </row>
    <row r="11" spans="1:19" x14ac:dyDescent="0.25">
      <c r="A11" s="12" t="s">
        <v>25</v>
      </c>
      <c r="B11" s="13" t="s">
        <v>33</v>
      </c>
      <c r="C11" s="14"/>
      <c r="D11" s="10" t="s">
        <v>148</v>
      </c>
      <c r="E11" s="10" t="s">
        <v>148</v>
      </c>
      <c r="F11" s="10"/>
      <c r="G11" s="16"/>
      <c r="H11" s="29">
        <v>25.24</v>
      </c>
      <c r="I11" s="7"/>
      <c r="J11" s="7"/>
      <c r="K11" s="7">
        <f>4.115+5.5+0.6+0.67</f>
        <v>10.885</v>
      </c>
      <c r="L11" s="7">
        <v>1.1499999999999999</v>
      </c>
      <c r="M11" s="9"/>
      <c r="N11" s="24">
        <f t="shared" ref="N11" si="3">IF(AND(D11&lt;&gt;"",H11&lt;&gt;0),H11-I11+J11,"")</f>
        <v>25.24</v>
      </c>
      <c r="O11" s="24">
        <f t="shared" ref="O11" si="4">IF(AND(E11&lt;&gt;"",K11&lt;&gt;0),K11-L11+M11,"")</f>
        <v>9.7349999999999994</v>
      </c>
      <c r="P11" s="24" t="str">
        <f t="shared" si="2"/>
        <v/>
      </c>
      <c r="Q11" s="24"/>
      <c r="R11" s="27"/>
      <c r="S11" s="6"/>
    </row>
    <row r="12" spans="1:19" x14ac:dyDescent="0.25">
      <c r="A12" s="12" t="s">
        <v>25</v>
      </c>
      <c r="B12" s="13" t="s">
        <v>34</v>
      </c>
      <c r="C12" s="14"/>
      <c r="D12" s="10" t="s">
        <v>145</v>
      </c>
      <c r="E12" s="10" t="s">
        <v>145</v>
      </c>
      <c r="F12" s="10"/>
      <c r="G12" s="16"/>
      <c r="H12" s="29">
        <v>16.03</v>
      </c>
      <c r="I12" s="7"/>
      <c r="J12" s="7"/>
      <c r="K12" s="7">
        <v>14.28</v>
      </c>
      <c r="L12" s="7"/>
      <c r="M12" s="9"/>
      <c r="N12" s="24">
        <f t="shared" si="0"/>
        <v>16.03</v>
      </c>
      <c r="O12" s="24">
        <f t="shared" si="1"/>
        <v>14.28</v>
      </c>
      <c r="P12" s="24" t="str">
        <f t="shared" si="2"/>
        <v/>
      </c>
      <c r="Q12" s="24"/>
      <c r="R12" s="27"/>
      <c r="S12" s="6"/>
    </row>
    <row r="13" spans="1:19" x14ac:dyDescent="0.25">
      <c r="A13" s="12" t="s">
        <v>25</v>
      </c>
      <c r="B13" s="13" t="s">
        <v>35</v>
      </c>
      <c r="C13" s="14"/>
      <c r="D13" s="10" t="s">
        <v>146</v>
      </c>
      <c r="E13" s="10" t="s">
        <v>146</v>
      </c>
      <c r="F13" s="10"/>
      <c r="G13" s="16"/>
      <c r="H13" s="29">
        <v>41.85</v>
      </c>
      <c r="I13" s="7"/>
      <c r="J13" s="7"/>
      <c r="K13" s="7">
        <v>53.1</v>
      </c>
      <c r="L13" s="7">
        <f>1.5+0.985+0.8*4+0.9+1.5+0.8+1+0.8*2+0.7+0.9</f>
        <v>13.085000000000001</v>
      </c>
      <c r="M13" s="9">
        <f>0.5*2+0.7*2</f>
        <v>2.4</v>
      </c>
      <c r="N13" s="24">
        <f t="shared" si="0"/>
        <v>41.85</v>
      </c>
      <c r="O13" s="24">
        <f t="shared" si="1"/>
        <v>42.414999999999999</v>
      </c>
      <c r="P13" s="24" t="str">
        <f t="shared" si="2"/>
        <v/>
      </c>
      <c r="Q13" s="24"/>
      <c r="R13" s="27"/>
      <c r="S13" s="6"/>
    </row>
    <row r="14" spans="1:19" x14ac:dyDescent="0.25">
      <c r="A14" s="12" t="s">
        <v>25</v>
      </c>
      <c r="B14" s="13" t="s">
        <v>36</v>
      </c>
      <c r="C14" s="14"/>
      <c r="D14" s="10" t="s">
        <v>146</v>
      </c>
      <c r="E14" s="10" t="s">
        <v>146</v>
      </c>
      <c r="F14" s="10"/>
      <c r="G14" s="16"/>
      <c r="H14" s="29">
        <v>6.7</v>
      </c>
      <c r="I14" s="7"/>
      <c r="J14" s="7"/>
      <c r="K14" s="7">
        <v>10.7</v>
      </c>
      <c r="L14" s="7">
        <f>0.8*2</f>
        <v>1.6</v>
      </c>
      <c r="M14" s="9"/>
      <c r="N14" s="24">
        <f t="shared" ref="N14:N177" si="5">IF(AND(D14&lt;&gt;"",H14&lt;&gt;0),H14-I14+J14,"")</f>
        <v>6.7</v>
      </c>
      <c r="O14" s="24">
        <f t="shared" ref="O14:O177" si="6">IF(AND(E14&lt;&gt;"",K14&lt;&gt;0),K14-L14+M14,"")</f>
        <v>9.1</v>
      </c>
      <c r="P14" s="24" t="str">
        <f t="shared" si="2"/>
        <v/>
      </c>
      <c r="Q14" s="24"/>
      <c r="R14" s="27"/>
      <c r="S14" s="6"/>
    </row>
    <row r="15" spans="1:19" x14ac:dyDescent="0.25">
      <c r="A15" s="12" t="s">
        <v>25</v>
      </c>
      <c r="B15" s="13" t="s">
        <v>37</v>
      </c>
      <c r="C15" s="14"/>
      <c r="D15" s="10" t="s">
        <v>297</v>
      </c>
      <c r="E15" s="10" t="s">
        <v>297</v>
      </c>
      <c r="F15" s="10"/>
      <c r="G15" s="16" t="s">
        <v>255</v>
      </c>
      <c r="H15" s="29">
        <v>2.25</v>
      </c>
      <c r="I15" s="7"/>
      <c r="J15" s="7"/>
      <c r="K15" s="7">
        <v>7.78</v>
      </c>
      <c r="L15" s="7">
        <f>0.8+0.7</f>
        <v>1.5</v>
      </c>
      <c r="M15" s="9"/>
      <c r="N15" s="24">
        <f t="shared" si="5"/>
        <v>2.25</v>
      </c>
      <c r="O15" s="24">
        <f t="shared" si="6"/>
        <v>6.28</v>
      </c>
      <c r="P15" s="24" t="str">
        <f t="shared" si="2"/>
        <v/>
      </c>
      <c r="Q15" s="24"/>
      <c r="R15" s="27"/>
      <c r="S15" s="6"/>
    </row>
    <row r="16" spans="1:19" x14ac:dyDescent="0.25">
      <c r="A16" s="12" t="s">
        <v>25</v>
      </c>
      <c r="B16" s="13" t="s">
        <v>38</v>
      </c>
      <c r="C16" s="14"/>
      <c r="D16" s="10" t="s">
        <v>297</v>
      </c>
      <c r="E16" s="10" t="s">
        <v>297</v>
      </c>
      <c r="F16" s="10"/>
      <c r="G16" s="16" t="s">
        <v>255</v>
      </c>
      <c r="H16" s="29">
        <v>2.99</v>
      </c>
      <c r="I16" s="7"/>
      <c r="J16" s="7"/>
      <c r="K16" s="7">
        <v>5.0999999999999996</v>
      </c>
      <c r="L16" s="7">
        <v>0.7</v>
      </c>
      <c r="M16" s="9"/>
      <c r="N16" s="24">
        <f t="shared" si="5"/>
        <v>2.99</v>
      </c>
      <c r="O16" s="24">
        <f t="shared" si="6"/>
        <v>4.3999999999999995</v>
      </c>
      <c r="P16" s="24" t="str">
        <f t="shared" si="2"/>
        <v/>
      </c>
      <c r="Q16" s="24"/>
      <c r="R16" s="27"/>
      <c r="S16" s="6"/>
    </row>
    <row r="17" spans="1:19" x14ac:dyDescent="0.25">
      <c r="A17" s="12" t="s">
        <v>25</v>
      </c>
      <c r="B17" s="13" t="s">
        <v>39</v>
      </c>
      <c r="C17" s="14"/>
      <c r="D17" s="10" t="s">
        <v>330</v>
      </c>
      <c r="E17" s="10"/>
      <c r="F17" s="10" t="s">
        <v>275</v>
      </c>
      <c r="G17" s="16"/>
      <c r="H17" s="29">
        <v>6.12</v>
      </c>
      <c r="I17" s="7"/>
      <c r="J17" s="7"/>
      <c r="K17" s="7">
        <v>10.3</v>
      </c>
      <c r="L17" s="7">
        <v>0.9</v>
      </c>
      <c r="M17" s="9"/>
      <c r="N17" s="24">
        <f t="shared" si="5"/>
        <v>6.12</v>
      </c>
      <c r="O17" s="24" t="str">
        <f t="shared" si="6"/>
        <v/>
      </c>
      <c r="P17" s="24">
        <f t="shared" si="2"/>
        <v>9.4</v>
      </c>
      <c r="Q17" s="24"/>
      <c r="R17" s="27"/>
      <c r="S17" s="6"/>
    </row>
    <row r="18" spans="1:19" x14ac:dyDescent="0.25">
      <c r="A18" s="12" t="s">
        <v>25</v>
      </c>
      <c r="B18" s="13" t="s">
        <v>40</v>
      </c>
      <c r="C18" s="14"/>
      <c r="D18" s="10" t="s">
        <v>330</v>
      </c>
      <c r="E18" s="10"/>
      <c r="F18" s="10" t="s">
        <v>275</v>
      </c>
      <c r="G18" s="16"/>
      <c r="H18" s="29">
        <v>3.91</v>
      </c>
      <c r="I18" s="7"/>
      <c r="J18" s="7"/>
      <c r="K18" s="7">
        <f>5.92+5.22</f>
        <v>11.14</v>
      </c>
      <c r="L18" s="7">
        <f>0.7*3</f>
        <v>2.0999999999999996</v>
      </c>
      <c r="M18" s="9"/>
      <c r="N18" s="24">
        <f t="shared" si="5"/>
        <v>3.91</v>
      </c>
      <c r="O18" s="24" t="str">
        <f t="shared" si="6"/>
        <v/>
      </c>
      <c r="P18" s="24">
        <f t="shared" si="2"/>
        <v>9.0400000000000009</v>
      </c>
      <c r="Q18" s="24"/>
      <c r="R18" s="27"/>
      <c r="S18" s="6"/>
    </row>
    <row r="19" spans="1:19" x14ac:dyDescent="0.25">
      <c r="A19" s="12" t="s">
        <v>25</v>
      </c>
      <c r="B19" s="34" t="s">
        <v>41</v>
      </c>
      <c r="C19" s="14"/>
      <c r="D19" s="10"/>
      <c r="E19" s="10"/>
      <c r="F19" s="10"/>
      <c r="G19" s="16"/>
      <c r="H19" s="29"/>
      <c r="I19" s="7"/>
      <c r="J19" s="7"/>
      <c r="K19" s="7"/>
      <c r="L19" s="7"/>
      <c r="M19" s="9"/>
      <c r="N19" s="24" t="str">
        <f t="shared" si="5"/>
        <v/>
      </c>
      <c r="O19" s="24" t="str">
        <f t="shared" si="6"/>
        <v/>
      </c>
      <c r="P19" s="24" t="str">
        <f t="shared" si="2"/>
        <v/>
      </c>
      <c r="Q19" s="24"/>
      <c r="R19" s="27"/>
      <c r="S19" s="6"/>
    </row>
    <row r="20" spans="1:19" x14ac:dyDescent="0.25">
      <c r="A20" s="12" t="s">
        <v>25</v>
      </c>
      <c r="B20" s="13" t="s">
        <v>42</v>
      </c>
      <c r="C20" s="14" t="s">
        <v>43</v>
      </c>
      <c r="D20" s="10" t="s">
        <v>330</v>
      </c>
      <c r="E20" s="10"/>
      <c r="F20" s="10" t="s">
        <v>275</v>
      </c>
      <c r="G20" s="16"/>
      <c r="H20" s="29">
        <v>3.71</v>
      </c>
      <c r="I20" s="7"/>
      <c r="J20" s="7"/>
      <c r="K20" s="7">
        <v>7.8</v>
      </c>
      <c r="L20" s="7">
        <f>0.8+0.7</f>
        <v>1.5</v>
      </c>
      <c r="M20" s="9"/>
      <c r="N20" s="24">
        <f t="shared" si="5"/>
        <v>3.71</v>
      </c>
      <c r="O20" s="24" t="str">
        <f t="shared" si="6"/>
        <v/>
      </c>
      <c r="P20" s="24">
        <f t="shared" si="2"/>
        <v>6.3</v>
      </c>
      <c r="Q20" s="24"/>
      <c r="R20" s="27"/>
      <c r="S20" s="6"/>
    </row>
    <row r="21" spans="1:19" x14ac:dyDescent="0.25">
      <c r="A21" s="12" t="s">
        <v>25</v>
      </c>
      <c r="B21" s="13" t="s">
        <v>42</v>
      </c>
      <c r="C21" s="14" t="s">
        <v>44</v>
      </c>
      <c r="D21" s="10" t="s">
        <v>330</v>
      </c>
      <c r="E21" s="10"/>
      <c r="F21" s="10" t="s">
        <v>275</v>
      </c>
      <c r="G21" s="16"/>
      <c r="H21" s="29">
        <v>2.77</v>
      </c>
      <c r="I21" s="7"/>
      <c r="J21" s="7"/>
      <c r="K21" s="7">
        <v>6.6</v>
      </c>
      <c r="L21" s="7">
        <v>0.7</v>
      </c>
      <c r="M21" s="9"/>
      <c r="N21" s="24">
        <f t="shared" si="5"/>
        <v>2.77</v>
      </c>
      <c r="O21" s="24" t="str">
        <f t="shared" si="6"/>
        <v/>
      </c>
      <c r="P21" s="24">
        <f t="shared" si="2"/>
        <v>5.8999999999999995</v>
      </c>
      <c r="Q21" s="24"/>
      <c r="R21" s="27"/>
      <c r="S21" s="6"/>
    </row>
    <row r="22" spans="1:19" x14ac:dyDescent="0.25">
      <c r="A22" s="12" t="s">
        <v>25</v>
      </c>
      <c r="B22" s="13" t="s">
        <v>45</v>
      </c>
      <c r="C22" s="14" t="s">
        <v>43</v>
      </c>
      <c r="D22" s="10" t="s">
        <v>330</v>
      </c>
      <c r="E22" s="10"/>
      <c r="F22" s="10" t="s">
        <v>275</v>
      </c>
      <c r="G22" s="16"/>
      <c r="H22" s="29">
        <v>4.93</v>
      </c>
      <c r="I22" s="7"/>
      <c r="J22" s="7"/>
      <c r="K22" s="7">
        <v>9.6999999999999993</v>
      </c>
      <c r="L22" s="7">
        <f>0.7*3</f>
        <v>2.0999999999999996</v>
      </c>
      <c r="M22" s="9"/>
      <c r="N22" s="24">
        <f t="shared" si="5"/>
        <v>4.93</v>
      </c>
      <c r="O22" s="24" t="str">
        <f t="shared" si="6"/>
        <v/>
      </c>
      <c r="P22" s="24">
        <f t="shared" si="2"/>
        <v>7.6</v>
      </c>
      <c r="Q22" s="24"/>
      <c r="R22" s="27"/>
      <c r="S22" s="6"/>
    </row>
    <row r="23" spans="1:19" x14ac:dyDescent="0.25">
      <c r="A23" s="12" t="s">
        <v>25</v>
      </c>
      <c r="B23" s="13" t="s">
        <v>45</v>
      </c>
      <c r="C23" s="14" t="s">
        <v>44</v>
      </c>
      <c r="D23" s="10" t="s">
        <v>330</v>
      </c>
      <c r="E23" s="10"/>
      <c r="F23" s="10" t="s">
        <v>275</v>
      </c>
      <c r="G23" s="16"/>
      <c r="H23" s="29">
        <v>2.77</v>
      </c>
      <c r="I23" s="7"/>
      <c r="J23" s="7"/>
      <c r="K23" s="7">
        <v>6.6</v>
      </c>
      <c r="L23" s="7">
        <v>0.7</v>
      </c>
      <c r="M23" s="9"/>
      <c r="N23" s="24">
        <f t="shared" si="5"/>
        <v>2.77</v>
      </c>
      <c r="O23" s="24" t="str">
        <f t="shared" si="6"/>
        <v/>
      </c>
      <c r="P23" s="24">
        <f t="shared" si="2"/>
        <v>5.8999999999999995</v>
      </c>
      <c r="Q23" s="24"/>
      <c r="R23" s="27"/>
      <c r="S23" s="6"/>
    </row>
    <row r="24" spans="1:19" x14ac:dyDescent="0.25">
      <c r="A24" s="12" t="s">
        <v>25</v>
      </c>
      <c r="B24" s="13" t="s">
        <v>45</v>
      </c>
      <c r="C24" s="14" t="s">
        <v>46</v>
      </c>
      <c r="D24" s="10" t="s">
        <v>330</v>
      </c>
      <c r="E24" s="10"/>
      <c r="F24" s="10" t="s">
        <v>275</v>
      </c>
      <c r="G24" s="16"/>
      <c r="H24" s="29">
        <v>2.77</v>
      </c>
      <c r="I24" s="7"/>
      <c r="J24" s="7"/>
      <c r="K24" s="7">
        <v>6.58</v>
      </c>
      <c r="L24" s="7">
        <v>0.7</v>
      </c>
      <c r="M24" s="9"/>
      <c r="N24" s="24">
        <f t="shared" si="5"/>
        <v>2.77</v>
      </c>
      <c r="O24" s="24" t="str">
        <f t="shared" si="6"/>
        <v/>
      </c>
      <c r="P24" s="24">
        <f t="shared" si="2"/>
        <v>5.88</v>
      </c>
      <c r="Q24" s="24"/>
      <c r="R24" s="27"/>
      <c r="S24" s="6"/>
    </row>
    <row r="25" spans="1:19" x14ac:dyDescent="0.25">
      <c r="A25" s="12" t="s">
        <v>25</v>
      </c>
      <c r="B25" s="13" t="s">
        <v>47</v>
      </c>
      <c r="C25" s="14"/>
      <c r="D25" s="10" t="s">
        <v>330</v>
      </c>
      <c r="E25" s="10"/>
      <c r="F25" s="10" t="s">
        <v>275</v>
      </c>
      <c r="G25" s="16"/>
      <c r="H25" s="29">
        <v>25.02</v>
      </c>
      <c r="I25" s="7"/>
      <c r="J25" s="7"/>
      <c r="K25" s="7">
        <f>20.4+1.2*2</f>
        <v>22.799999999999997</v>
      </c>
      <c r="L25" s="7">
        <f>0.8+0.7</f>
        <v>1.5</v>
      </c>
      <c r="M25" s="9"/>
      <c r="N25" s="24">
        <f t="shared" si="5"/>
        <v>25.02</v>
      </c>
      <c r="O25" s="24" t="str">
        <f t="shared" si="6"/>
        <v/>
      </c>
      <c r="P25" s="24">
        <f t="shared" si="2"/>
        <v>21.299999999999997</v>
      </c>
      <c r="Q25" s="24"/>
      <c r="R25" s="27"/>
      <c r="S25" s="6"/>
    </row>
    <row r="26" spans="1:19" x14ac:dyDescent="0.25">
      <c r="A26" s="12" t="s">
        <v>25</v>
      </c>
      <c r="B26" s="13" t="s">
        <v>48</v>
      </c>
      <c r="C26" s="14"/>
      <c r="D26" s="10" t="s">
        <v>147</v>
      </c>
      <c r="E26" s="10" t="s">
        <v>147</v>
      </c>
      <c r="F26" s="10"/>
      <c r="G26" s="16"/>
      <c r="H26" s="29">
        <v>10.48</v>
      </c>
      <c r="I26" s="7"/>
      <c r="J26" s="7"/>
      <c r="K26" s="7">
        <v>13.3</v>
      </c>
      <c r="L26" s="7">
        <v>1</v>
      </c>
      <c r="M26" s="9"/>
      <c r="N26" s="24">
        <f t="shared" si="5"/>
        <v>10.48</v>
      </c>
      <c r="O26" s="24">
        <f t="shared" si="6"/>
        <v>12.3</v>
      </c>
      <c r="P26" s="24" t="str">
        <f t="shared" si="2"/>
        <v/>
      </c>
      <c r="Q26" s="24"/>
      <c r="R26" s="27"/>
      <c r="S26" s="6"/>
    </row>
    <row r="27" spans="1:19" x14ac:dyDescent="0.25">
      <c r="A27" s="12" t="s">
        <v>25</v>
      </c>
      <c r="B27" s="13" t="s">
        <v>49</v>
      </c>
      <c r="C27" s="14"/>
      <c r="D27" s="10" t="s">
        <v>330</v>
      </c>
      <c r="E27" s="10"/>
      <c r="F27" s="10" t="s">
        <v>275</v>
      </c>
      <c r="G27" s="16"/>
      <c r="H27" s="29">
        <v>5</v>
      </c>
      <c r="I27" s="7"/>
      <c r="J27" s="7"/>
      <c r="K27" s="7">
        <v>10.3</v>
      </c>
      <c r="L27" s="7">
        <v>0.8</v>
      </c>
      <c r="M27" s="9"/>
      <c r="N27" s="24">
        <f t="shared" si="5"/>
        <v>5</v>
      </c>
      <c r="O27" s="24" t="str">
        <f t="shared" si="6"/>
        <v/>
      </c>
      <c r="P27" s="24">
        <f t="shared" si="2"/>
        <v>9.5</v>
      </c>
      <c r="Q27" s="24"/>
      <c r="R27" s="27"/>
      <c r="S27" s="6"/>
    </row>
    <row r="28" spans="1:19" x14ac:dyDescent="0.25">
      <c r="A28" s="12" t="s">
        <v>25</v>
      </c>
      <c r="B28" s="13" t="s">
        <v>50</v>
      </c>
      <c r="C28" s="14"/>
      <c r="D28" s="10" t="s">
        <v>330</v>
      </c>
      <c r="E28" s="10"/>
      <c r="F28" s="10" t="s">
        <v>275</v>
      </c>
      <c r="G28" s="16"/>
      <c r="H28" s="29">
        <v>7.84</v>
      </c>
      <c r="I28" s="7"/>
      <c r="J28" s="7"/>
      <c r="K28" s="7">
        <v>11.6</v>
      </c>
      <c r="L28" s="7">
        <v>1.4</v>
      </c>
      <c r="M28" s="9"/>
      <c r="N28" s="24">
        <f t="shared" si="5"/>
        <v>7.84</v>
      </c>
      <c r="O28" s="24" t="str">
        <f t="shared" si="6"/>
        <v/>
      </c>
      <c r="P28" s="24">
        <f t="shared" si="2"/>
        <v>10.199999999999999</v>
      </c>
      <c r="Q28" s="24"/>
      <c r="R28" s="27"/>
      <c r="S28" s="6"/>
    </row>
    <row r="29" spans="1:19" x14ac:dyDescent="0.25">
      <c r="A29" s="12" t="s">
        <v>25</v>
      </c>
      <c r="B29" s="13" t="s">
        <v>51</v>
      </c>
      <c r="C29" s="14"/>
      <c r="D29" s="10" t="s">
        <v>146</v>
      </c>
      <c r="E29" s="10" t="s">
        <v>146</v>
      </c>
      <c r="F29" s="10"/>
      <c r="G29" s="16"/>
      <c r="H29" s="29">
        <v>41.07</v>
      </c>
      <c r="I29" s="7"/>
      <c r="J29" s="7"/>
      <c r="K29" s="7">
        <v>29</v>
      </c>
      <c r="L29" s="7">
        <f>0.8*2+0.7+0.8</f>
        <v>3.0999999999999996</v>
      </c>
      <c r="M29" s="9"/>
      <c r="N29" s="24">
        <f t="shared" si="5"/>
        <v>41.07</v>
      </c>
      <c r="O29" s="24">
        <f t="shared" si="6"/>
        <v>25.9</v>
      </c>
      <c r="P29" s="24" t="str">
        <f t="shared" si="2"/>
        <v/>
      </c>
      <c r="Q29" s="24"/>
      <c r="R29" s="27"/>
      <c r="S29" s="6"/>
    </row>
    <row r="30" spans="1:19" x14ac:dyDescent="0.25">
      <c r="A30" s="12" t="s">
        <v>25</v>
      </c>
      <c r="B30" s="13" t="s">
        <v>52</v>
      </c>
      <c r="C30" s="14"/>
      <c r="D30" s="10" t="s">
        <v>146</v>
      </c>
      <c r="E30" s="10" t="s">
        <v>146</v>
      </c>
      <c r="F30" s="10"/>
      <c r="G30" s="16"/>
      <c r="H30" s="29">
        <v>6.04</v>
      </c>
      <c r="I30" s="7"/>
      <c r="J30" s="7"/>
      <c r="K30" s="7">
        <v>11.9</v>
      </c>
      <c r="L30" s="7">
        <v>0.8</v>
      </c>
      <c r="M30" s="9"/>
      <c r="N30" s="24">
        <f t="shared" ref="N30:N108" si="7">IF(AND(D30&lt;&gt;"",H30&lt;&gt;0),H30-I30+J30,"")</f>
        <v>6.04</v>
      </c>
      <c r="O30" s="24">
        <f t="shared" ref="O30:O108" si="8">IF(AND(E30&lt;&gt;"",K30&lt;&gt;0),K30-L30+M30,"")</f>
        <v>11.1</v>
      </c>
      <c r="P30" s="24" t="str">
        <f t="shared" si="2"/>
        <v/>
      </c>
      <c r="Q30" s="24"/>
      <c r="R30" s="27"/>
      <c r="S30" s="6"/>
    </row>
    <row r="31" spans="1:19" x14ac:dyDescent="0.25">
      <c r="A31" s="12" t="s">
        <v>25</v>
      </c>
      <c r="B31" s="13" t="s">
        <v>53</v>
      </c>
      <c r="C31" s="14"/>
      <c r="D31" s="10" t="s">
        <v>147</v>
      </c>
      <c r="E31" s="10" t="s">
        <v>147</v>
      </c>
      <c r="F31" s="10"/>
      <c r="G31" s="16"/>
      <c r="H31" s="29">
        <v>5.26</v>
      </c>
      <c r="I31" s="7"/>
      <c r="J31" s="7"/>
      <c r="K31" s="7">
        <v>12.2</v>
      </c>
      <c r="L31" s="7">
        <v>0.7</v>
      </c>
      <c r="M31" s="9"/>
      <c r="N31" s="24">
        <f t="shared" si="7"/>
        <v>5.26</v>
      </c>
      <c r="O31" s="24">
        <f t="shared" si="8"/>
        <v>11.5</v>
      </c>
      <c r="P31" s="24" t="str">
        <f t="shared" si="2"/>
        <v/>
      </c>
      <c r="Q31" s="24"/>
      <c r="R31" s="27"/>
      <c r="S31" s="6"/>
    </row>
    <row r="32" spans="1:19" x14ac:dyDescent="0.25">
      <c r="A32" s="12" t="s">
        <v>25</v>
      </c>
      <c r="B32" s="13" t="s">
        <v>54</v>
      </c>
      <c r="C32" s="14"/>
      <c r="D32" s="10" t="s">
        <v>146</v>
      </c>
      <c r="E32" s="10" t="s">
        <v>146</v>
      </c>
      <c r="F32" s="10"/>
      <c r="G32" s="16"/>
      <c r="H32" s="29">
        <v>17.3</v>
      </c>
      <c r="I32" s="7"/>
      <c r="J32" s="7"/>
      <c r="K32" s="7">
        <v>18.100000000000001</v>
      </c>
      <c r="L32" s="7">
        <v>0.8</v>
      </c>
      <c r="M32" s="9"/>
      <c r="N32" s="24">
        <f t="shared" si="7"/>
        <v>17.3</v>
      </c>
      <c r="O32" s="24">
        <f t="shared" si="8"/>
        <v>17.3</v>
      </c>
      <c r="P32" s="24" t="str">
        <f t="shared" si="2"/>
        <v/>
      </c>
      <c r="Q32" s="24"/>
      <c r="R32" s="27"/>
      <c r="S32" s="6"/>
    </row>
    <row r="33" spans="1:19" x14ac:dyDescent="0.25">
      <c r="A33" s="12" t="s">
        <v>25</v>
      </c>
      <c r="B33" s="13" t="s">
        <v>55</v>
      </c>
      <c r="C33" s="14"/>
      <c r="D33" s="10" t="s">
        <v>146</v>
      </c>
      <c r="E33" s="10" t="s">
        <v>146</v>
      </c>
      <c r="F33" s="10"/>
      <c r="G33" s="16"/>
      <c r="H33" s="29">
        <v>21.11</v>
      </c>
      <c r="I33" s="7"/>
      <c r="J33" s="7"/>
      <c r="K33" s="7">
        <v>19</v>
      </c>
      <c r="L33" s="7">
        <v>0.8</v>
      </c>
      <c r="M33" s="9"/>
      <c r="N33" s="24">
        <f t="shared" si="7"/>
        <v>21.11</v>
      </c>
      <c r="O33" s="24">
        <f t="shared" si="8"/>
        <v>18.2</v>
      </c>
      <c r="P33" s="24" t="str">
        <f t="shared" si="2"/>
        <v/>
      </c>
      <c r="Q33" s="24"/>
      <c r="R33" s="27"/>
      <c r="S33" s="6"/>
    </row>
    <row r="34" spans="1:19" x14ac:dyDescent="0.25">
      <c r="A34" s="12" t="s">
        <v>25</v>
      </c>
      <c r="B34" s="13" t="s">
        <v>56</v>
      </c>
      <c r="C34" s="14"/>
      <c r="D34" s="10" t="s">
        <v>146</v>
      </c>
      <c r="E34" s="10" t="s">
        <v>146</v>
      </c>
      <c r="F34" s="10"/>
      <c r="G34" s="16"/>
      <c r="H34" s="29">
        <v>23.23</v>
      </c>
      <c r="I34" s="7"/>
      <c r="J34" s="7"/>
      <c r="K34" s="7">
        <v>19.78</v>
      </c>
      <c r="L34" s="7">
        <v>0.8</v>
      </c>
      <c r="M34" s="9"/>
      <c r="N34" s="24">
        <f t="shared" si="7"/>
        <v>23.23</v>
      </c>
      <c r="O34" s="24">
        <f t="shared" si="8"/>
        <v>18.98</v>
      </c>
      <c r="P34" s="24" t="str">
        <f t="shared" si="2"/>
        <v/>
      </c>
      <c r="Q34" s="24"/>
      <c r="R34" s="27"/>
      <c r="S34" s="6"/>
    </row>
    <row r="35" spans="1:19" x14ac:dyDescent="0.25">
      <c r="A35" s="12" t="s">
        <v>25</v>
      </c>
      <c r="B35" s="13" t="s">
        <v>57</v>
      </c>
      <c r="C35" s="14"/>
      <c r="D35" s="10" t="s">
        <v>146</v>
      </c>
      <c r="E35" s="10" t="s">
        <v>146</v>
      </c>
      <c r="F35" s="10"/>
      <c r="G35" s="16"/>
      <c r="H35" s="29">
        <v>14.85</v>
      </c>
      <c r="I35" s="7"/>
      <c r="J35" s="7"/>
      <c r="K35" s="7">
        <v>16.71</v>
      </c>
      <c r="L35" s="7">
        <f>0.8+0.9</f>
        <v>1.7000000000000002</v>
      </c>
      <c r="M35" s="9"/>
      <c r="N35" s="24">
        <f t="shared" si="7"/>
        <v>14.85</v>
      </c>
      <c r="O35" s="24">
        <f t="shared" si="8"/>
        <v>15.010000000000002</v>
      </c>
      <c r="P35" s="24" t="str">
        <f t="shared" si="2"/>
        <v/>
      </c>
      <c r="Q35" s="24"/>
      <c r="R35" s="27"/>
      <c r="S35" s="6"/>
    </row>
    <row r="36" spans="1:19" x14ac:dyDescent="0.25">
      <c r="A36" s="12" t="s">
        <v>25</v>
      </c>
      <c r="B36" s="13" t="s">
        <v>58</v>
      </c>
      <c r="C36" s="14"/>
      <c r="D36" s="10" t="s">
        <v>148</v>
      </c>
      <c r="E36" s="10" t="s">
        <v>148</v>
      </c>
      <c r="F36" s="10"/>
      <c r="G36" s="16"/>
      <c r="H36" s="29">
        <v>39.520000000000003</v>
      </c>
      <c r="I36" s="7"/>
      <c r="J36" s="7"/>
      <c r="K36" s="7">
        <v>25.32</v>
      </c>
      <c r="L36" s="7">
        <f>0.985+0.9*2</f>
        <v>2.7850000000000001</v>
      </c>
      <c r="M36" s="9"/>
      <c r="N36" s="24">
        <f t="shared" si="7"/>
        <v>39.520000000000003</v>
      </c>
      <c r="O36" s="24">
        <f t="shared" si="8"/>
        <v>22.535</v>
      </c>
      <c r="P36" s="24" t="str">
        <f t="shared" si="2"/>
        <v/>
      </c>
      <c r="Q36" s="24"/>
      <c r="R36" s="27"/>
      <c r="S36" s="6"/>
    </row>
    <row r="37" spans="1:19" x14ac:dyDescent="0.25">
      <c r="A37" s="12" t="s">
        <v>25</v>
      </c>
      <c r="B37" s="34" t="s">
        <v>59</v>
      </c>
      <c r="C37" s="14"/>
      <c r="D37" s="10"/>
      <c r="E37" s="10"/>
      <c r="F37" s="10"/>
      <c r="G37" s="16"/>
      <c r="H37" s="29"/>
      <c r="I37" s="7"/>
      <c r="J37" s="7"/>
      <c r="K37" s="7"/>
      <c r="L37" s="7"/>
      <c r="M37" s="9"/>
      <c r="N37" s="24" t="str">
        <f t="shared" si="7"/>
        <v/>
      </c>
      <c r="O37" s="24" t="str">
        <f t="shared" si="8"/>
        <v/>
      </c>
      <c r="P37" s="24" t="str">
        <f t="shared" si="2"/>
        <v/>
      </c>
      <c r="Q37" s="24"/>
      <c r="R37" s="27"/>
      <c r="S37" s="6"/>
    </row>
    <row r="38" spans="1:19" x14ac:dyDescent="0.25">
      <c r="A38" s="12" t="s">
        <v>25</v>
      </c>
      <c r="B38" s="13" t="s">
        <v>60</v>
      </c>
      <c r="C38" s="14"/>
      <c r="D38" s="10" t="s">
        <v>149</v>
      </c>
      <c r="E38" s="10" t="s">
        <v>149</v>
      </c>
      <c r="F38" s="10"/>
      <c r="G38" s="16" t="s">
        <v>221</v>
      </c>
      <c r="H38" s="29">
        <v>35</v>
      </c>
      <c r="I38" s="7"/>
      <c r="J38" s="7"/>
      <c r="K38" s="7">
        <v>24.6</v>
      </c>
      <c r="L38" s="7">
        <v>3.5</v>
      </c>
      <c r="M38" s="9"/>
      <c r="N38" s="24">
        <f t="shared" si="7"/>
        <v>35</v>
      </c>
      <c r="O38" s="24">
        <f t="shared" si="8"/>
        <v>21.1</v>
      </c>
      <c r="P38" s="24" t="str">
        <f t="shared" si="2"/>
        <v/>
      </c>
      <c r="Q38" s="24"/>
      <c r="R38" s="27"/>
      <c r="S38" s="6"/>
    </row>
    <row r="39" spans="1:19" x14ac:dyDescent="0.25">
      <c r="A39" s="12" t="s">
        <v>25</v>
      </c>
      <c r="B39" s="13" t="s">
        <v>61</v>
      </c>
      <c r="C39" s="14"/>
      <c r="D39" s="10" t="s">
        <v>147</v>
      </c>
      <c r="E39" s="10" t="s">
        <v>147</v>
      </c>
      <c r="F39" s="10"/>
      <c r="G39" s="16"/>
      <c r="H39" s="29">
        <v>17.43</v>
      </c>
      <c r="I39" s="7"/>
      <c r="J39" s="7"/>
      <c r="K39" s="7">
        <v>19.3</v>
      </c>
      <c r="L39" s="7">
        <v>0.8</v>
      </c>
      <c r="M39" s="9"/>
      <c r="N39" s="24">
        <f t="shared" si="7"/>
        <v>17.43</v>
      </c>
      <c r="O39" s="24">
        <f t="shared" si="8"/>
        <v>18.5</v>
      </c>
      <c r="P39" s="24" t="str">
        <f t="shared" si="2"/>
        <v/>
      </c>
      <c r="Q39" s="24"/>
      <c r="R39" s="27"/>
      <c r="S39" s="6"/>
    </row>
    <row r="40" spans="1:19" x14ac:dyDescent="0.25">
      <c r="A40" s="12" t="s">
        <v>25</v>
      </c>
      <c r="B40" s="13" t="s">
        <v>62</v>
      </c>
      <c r="C40" s="14"/>
      <c r="D40" s="10" t="s">
        <v>331</v>
      </c>
      <c r="E40" s="10" t="s">
        <v>331</v>
      </c>
      <c r="F40" s="10" t="s">
        <v>275</v>
      </c>
      <c r="G40" s="16"/>
      <c r="H40" s="29">
        <v>82.74</v>
      </c>
      <c r="I40" s="7"/>
      <c r="J40" s="7"/>
      <c r="K40" s="7">
        <v>88.5</v>
      </c>
      <c r="L40" s="7">
        <f>1.12+1.6+0.8+0.7+1.4*2+0.94+2.17*2+0.8+0.9+0.91+0.9+1.5+0.9*2+0.8+0.9+0.8+0.9+0.8+1+1.5</f>
        <v>25.810000000000002</v>
      </c>
      <c r="M40" s="9">
        <f>0.2*2+0.375*2+0.1*2+0.2*2+0.15*2+0.1*2*2+0.2*2</f>
        <v>2.8499999999999996</v>
      </c>
      <c r="N40" s="24">
        <f t="shared" si="7"/>
        <v>82.74</v>
      </c>
      <c r="O40" s="24">
        <f t="shared" si="8"/>
        <v>65.539999999999992</v>
      </c>
      <c r="P40" s="24">
        <f t="shared" si="2"/>
        <v>65.539999999999992</v>
      </c>
      <c r="Q40" s="24"/>
      <c r="R40" s="27"/>
      <c r="S40" s="6"/>
    </row>
    <row r="41" spans="1:19" x14ac:dyDescent="0.25">
      <c r="A41" s="12" t="s">
        <v>25</v>
      </c>
      <c r="B41" s="13" t="s">
        <v>62</v>
      </c>
      <c r="C41" s="14"/>
      <c r="D41" s="10"/>
      <c r="E41" s="10" t="s">
        <v>331</v>
      </c>
      <c r="F41" s="10" t="s">
        <v>275</v>
      </c>
      <c r="G41" s="16" t="s">
        <v>256</v>
      </c>
      <c r="H41" s="29"/>
      <c r="I41" s="7"/>
      <c r="J41" s="7"/>
      <c r="K41" s="7">
        <f>3.6+3.3</f>
        <v>6.9</v>
      </c>
      <c r="L41" s="7">
        <f>0.9*2</f>
        <v>1.8</v>
      </c>
      <c r="M41" s="9"/>
      <c r="N41" s="24" t="str">
        <f t="shared" ref="N41" si="9">IF(AND(D41&lt;&gt;"",H41&lt;&gt;0),H41-I41+J41,"")</f>
        <v/>
      </c>
      <c r="O41" s="24">
        <f t="shared" ref="O41" si="10">IF(AND(E41&lt;&gt;"",K41&lt;&gt;0),K41-L41+M41,"")</f>
        <v>5.1000000000000005</v>
      </c>
      <c r="P41" s="24">
        <f t="shared" si="2"/>
        <v>5.1000000000000005</v>
      </c>
      <c r="Q41" s="24"/>
      <c r="R41" s="27"/>
      <c r="S41" s="6"/>
    </row>
    <row r="42" spans="1:19" x14ac:dyDescent="0.25">
      <c r="A42" s="12" t="s">
        <v>25</v>
      </c>
      <c r="B42" s="13" t="s">
        <v>63</v>
      </c>
      <c r="C42" s="14"/>
      <c r="D42" s="10" t="s">
        <v>147</v>
      </c>
      <c r="E42" s="10" t="s">
        <v>147</v>
      </c>
      <c r="F42" s="10"/>
      <c r="G42" s="16"/>
      <c r="H42" s="29">
        <v>69.94</v>
      </c>
      <c r="I42" s="7">
        <f>N43</f>
        <v>5.1395999999999997</v>
      </c>
      <c r="J42" s="7"/>
      <c r="K42" s="7">
        <v>35.79</v>
      </c>
      <c r="L42" s="7">
        <v>1.4</v>
      </c>
      <c r="M42" s="9">
        <f>0.18*4*2</f>
        <v>1.44</v>
      </c>
      <c r="N42" s="24">
        <f t="shared" si="7"/>
        <v>64.800399999999996</v>
      </c>
      <c r="O42" s="24">
        <f t="shared" si="8"/>
        <v>35.83</v>
      </c>
      <c r="P42" s="24" t="str">
        <f t="shared" si="2"/>
        <v/>
      </c>
      <c r="Q42" s="24"/>
      <c r="R42" s="27"/>
      <c r="S42" s="6"/>
    </row>
    <row r="43" spans="1:19" x14ac:dyDescent="0.25">
      <c r="A43" s="12" t="s">
        <v>25</v>
      </c>
      <c r="B43" s="13" t="s">
        <v>63</v>
      </c>
      <c r="C43" s="14"/>
      <c r="D43" s="10" t="s">
        <v>309</v>
      </c>
      <c r="E43" s="10" t="s">
        <v>309</v>
      </c>
      <c r="F43" s="10"/>
      <c r="G43" s="16" t="s">
        <v>310</v>
      </c>
      <c r="H43" s="29">
        <f>2.74*1.06+2.54*0.88</f>
        <v>5.1395999999999997</v>
      </c>
      <c r="I43" s="7"/>
      <c r="J43" s="7"/>
      <c r="K43" s="29">
        <f>2.74*2+1.06*2-0.88+2.54*2</f>
        <v>11.8</v>
      </c>
      <c r="L43" s="7"/>
      <c r="M43" s="9"/>
      <c r="N43" s="24">
        <f t="shared" ref="N43" si="11">IF(AND(D43&lt;&gt;"",H43&lt;&gt;0),H43-I43+J43,"")</f>
        <v>5.1395999999999997</v>
      </c>
      <c r="O43" s="24">
        <f t="shared" ref="O43" si="12">IF(AND(E43&lt;&gt;"",K43&lt;&gt;0),K43-L43+M43,"")</f>
        <v>11.8</v>
      </c>
      <c r="P43" s="24" t="str">
        <f t="shared" si="2"/>
        <v/>
      </c>
      <c r="Q43" s="24"/>
      <c r="R43" s="27"/>
      <c r="S43" s="6"/>
    </row>
    <row r="44" spans="1:19" x14ac:dyDescent="0.25">
      <c r="A44" s="12" t="s">
        <v>25</v>
      </c>
      <c r="B44" s="13" t="s">
        <v>64</v>
      </c>
      <c r="C44" s="14"/>
      <c r="D44" s="10" t="s">
        <v>147</v>
      </c>
      <c r="E44" s="10" t="s">
        <v>147</v>
      </c>
      <c r="F44" s="10"/>
      <c r="G44" s="16"/>
      <c r="H44" s="29">
        <v>52.29</v>
      </c>
      <c r="I44" s="7"/>
      <c r="J44" s="7"/>
      <c r="K44" s="7">
        <v>29</v>
      </c>
      <c r="L44" s="7">
        <f>1.4+0.9</f>
        <v>2.2999999999999998</v>
      </c>
      <c r="M44" s="9">
        <f>0.7*2+0.25*2</f>
        <v>1.9</v>
      </c>
      <c r="N44" s="24">
        <f t="shared" si="7"/>
        <v>52.29</v>
      </c>
      <c r="O44" s="24">
        <f t="shared" si="8"/>
        <v>28.599999999999998</v>
      </c>
      <c r="P44" s="24" t="str">
        <f t="shared" si="2"/>
        <v/>
      </c>
      <c r="Q44" s="24"/>
      <c r="R44" s="27"/>
      <c r="S44" s="6"/>
    </row>
    <row r="45" spans="1:19" x14ac:dyDescent="0.25">
      <c r="A45" s="12" t="s">
        <v>25</v>
      </c>
      <c r="B45" s="13" t="s">
        <v>65</v>
      </c>
      <c r="C45" s="14"/>
      <c r="D45" s="10" t="s">
        <v>331</v>
      </c>
      <c r="E45" s="10" t="s">
        <v>331</v>
      </c>
      <c r="F45" s="10" t="s">
        <v>275</v>
      </c>
      <c r="G45" s="16"/>
      <c r="H45" s="29">
        <v>20.81</v>
      </c>
      <c r="I45" s="7"/>
      <c r="J45" s="7"/>
      <c r="K45" s="7">
        <v>19.899999999999999</v>
      </c>
      <c r="L45" s="7">
        <f>0.9+0.83+2.32</f>
        <v>4.05</v>
      </c>
      <c r="M45" s="9"/>
      <c r="N45" s="24">
        <f t="shared" si="7"/>
        <v>20.81</v>
      </c>
      <c r="O45" s="24">
        <f t="shared" si="8"/>
        <v>15.849999999999998</v>
      </c>
      <c r="P45" s="24">
        <f t="shared" si="2"/>
        <v>15.849999999999998</v>
      </c>
      <c r="Q45" s="24"/>
      <c r="R45" s="27"/>
      <c r="S45" s="6"/>
    </row>
    <row r="46" spans="1:19" x14ac:dyDescent="0.25">
      <c r="A46" s="12" t="s">
        <v>25</v>
      </c>
      <c r="B46" s="13" t="s">
        <v>66</v>
      </c>
      <c r="C46" s="14"/>
      <c r="D46" s="10" t="s">
        <v>331</v>
      </c>
      <c r="E46" s="10" t="s">
        <v>331</v>
      </c>
      <c r="F46" s="10" t="s">
        <v>275</v>
      </c>
      <c r="G46" s="16"/>
      <c r="H46" s="29">
        <v>3.3</v>
      </c>
      <c r="I46" s="7"/>
      <c r="J46" s="7"/>
      <c r="K46" s="7">
        <v>7.24</v>
      </c>
      <c r="L46" s="7">
        <f>0.83+0.6+0.9</f>
        <v>2.33</v>
      </c>
      <c r="M46" s="9">
        <f>0.2*2+0.15*2</f>
        <v>0.7</v>
      </c>
      <c r="N46" s="24">
        <f t="shared" si="7"/>
        <v>3.3</v>
      </c>
      <c r="O46" s="24">
        <f t="shared" si="8"/>
        <v>5.61</v>
      </c>
      <c r="P46" s="24">
        <f t="shared" si="2"/>
        <v>5.61</v>
      </c>
      <c r="Q46" s="24"/>
      <c r="R46" s="27"/>
      <c r="S46" s="6"/>
    </row>
    <row r="47" spans="1:19" x14ac:dyDescent="0.25">
      <c r="A47" s="12" t="s">
        <v>25</v>
      </c>
      <c r="B47" s="13" t="s">
        <v>67</v>
      </c>
      <c r="C47" s="14"/>
      <c r="D47" s="10" t="s">
        <v>331</v>
      </c>
      <c r="E47" s="10" t="s">
        <v>331</v>
      </c>
      <c r="F47" s="10" t="s">
        <v>275</v>
      </c>
      <c r="G47" s="16"/>
      <c r="H47" s="29">
        <v>54.8</v>
      </c>
      <c r="I47" s="7"/>
      <c r="J47" s="7"/>
      <c r="K47" s="7">
        <v>39.14</v>
      </c>
      <c r="L47" s="7">
        <f>2.32+0.9+0.6+0.9</f>
        <v>4.72</v>
      </c>
      <c r="M47" s="9">
        <f>0.2*2</f>
        <v>0.4</v>
      </c>
      <c r="N47" s="24">
        <f t="shared" si="7"/>
        <v>54.8</v>
      </c>
      <c r="O47" s="24">
        <f t="shared" si="8"/>
        <v>34.82</v>
      </c>
      <c r="P47" s="24">
        <f t="shared" si="2"/>
        <v>34.82</v>
      </c>
      <c r="Q47" s="24"/>
      <c r="R47" s="27"/>
      <c r="S47" s="6"/>
    </row>
    <row r="48" spans="1:19" x14ac:dyDescent="0.25">
      <c r="A48" s="12" t="s">
        <v>25</v>
      </c>
      <c r="B48" s="13" t="s">
        <v>68</v>
      </c>
      <c r="C48" s="14"/>
      <c r="D48" s="10" t="s">
        <v>147</v>
      </c>
      <c r="E48" s="10" t="s">
        <v>147</v>
      </c>
      <c r="F48" s="10"/>
      <c r="G48" s="16"/>
      <c r="H48" s="29">
        <v>13.04</v>
      </c>
      <c r="I48" s="7"/>
      <c r="J48" s="7"/>
      <c r="K48" s="7">
        <v>14.72</v>
      </c>
      <c r="L48" s="7">
        <v>0.9</v>
      </c>
      <c r="M48" s="9"/>
      <c r="N48" s="24">
        <f t="shared" si="7"/>
        <v>13.04</v>
      </c>
      <c r="O48" s="24">
        <f t="shared" si="8"/>
        <v>13.82</v>
      </c>
      <c r="P48" s="24" t="str">
        <f t="shared" si="2"/>
        <v/>
      </c>
      <c r="Q48" s="24"/>
      <c r="R48" s="27"/>
      <c r="S48" s="6"/>
    </row>
    <row r="49" spans="1:19" x14ac:dyDescent="0.25">
      <c r="A49" s="12" t="s">
        <v>25</v>
      </c>
      <c r="B49" s="13" t="s">
        <v>69</v>
      </c>
      <c r="C49" s="14"/>
      <c r="D49" s="10" t="s">
        <v>331</v>
      </c>
      <c r="E49" s="10"/>
      <c r="F49" s="10" t="s">
        <v>275</v>
      </c>
      <c r="G49" s="16"/>
      <c r="H49" s="29">
        <v>5.18</v>
      </c>
      <c r="I49" s="7"/>
      <c r="J49" s="7"/>
      <c r="K49" s="7">
        <v>9.06</v>
      </c>
      <c r="L49" s="7">
        <v>0.8</v>
      </c>
      <c r="M49" s="9"/>
      <c r="N49" s="24">
        <f t="shared" si="7"/>
        <v>5.18</v>
      </c>
      <c r="O49" s="24" t="str">
        <f t="shared" si="8"/>
        <v/>
      </c>
      <c r="P49" s="24">
        <f t="shared" si="2"/>
        <v>8.26</v>
      </c>
      <c r="Q49" s="24"/>
      <c r="R49" s="27"/>
      <c r="S49" s="6"/>
    </row>
    <row r="50" spans="1:19" x14ac:dyDescent="0.25">
      <c r="A50" s="12" t="s">
        <v>25</v>
      </c>
      <c r="B50" s="13" t="s">
        <v>70</v>
      </c>
      <c r="C50" s="14"/>
      <c r="D50" s="10" t="s">
        <v>331</v>
      </c>
      <c r="E50" s="10"/>
      <c r="F50" s="10" t="s">
        <v>275</v>
      </c>
      <c r="G50" s="16"/>
      <c r="H50" s="29">
        <v>3.49</v>
      </c>
      <c r="I50" s="7"/>
      <c r="J50" s="7"/>
      <c r="K50" s="7">
        <v>7.66</v>
      </c>
      <c r="L50" s="7">
        <v>0.9</v>
      </c>
      <c r="M50" s="9"/>
      <c r="N50" s="24">
        <f t="shared" si="7"/>
        <v>3.49</v>
      </c>
      <c r="O50" s="24" t="str">
        <f t="shared" si="8"/>
        <v/>
      </c>
      <c r="P50" s="24">
        <f t="shared" si="2"/>
        <v>6.76</v>
      </c>
      <c r="Q50" s="24"/>
      <c r="R50" s="27"/>
      <c r="S50" s="6"/>
    </row>
    <row r="51" spans="1:19" x14ac:dyDescent="0.25">
      <c r="A51" s="12" t="s">
        <v>25</v>
      </c>
      <c r="B51" s="34" t="s">
        <v>71</v>
      </c>
      <c r="C51" s="14"/>
      <c r="D51" s="10"/>
      <c r="E51" s="10"/>
      <c r="F51" s="10"/>
      <c r="G51" s="16"/>
      <c r="H51" s="29"/>
      <c r="I51" s="7"/>
      <c r="J51" s="7"/>
      <c r="K51" s="7"/>
      <c r="L51" s="7"/>
      <c r="M51" s="9"/>
      <c r="N51" s="24" t="str">
        <f t="shared" si="7"/>
        <v/>
      </c>
      <c r="O51" s="24" t="str">
        <f t="shared" si="8"/>
        <v/>
      </c>
      <c r="P51" s="24" t="str">
        <f t="shared" si="2"/>
        <v/>
      </c>
      <c r="Q51" s="24"/>
      <c r="R51" s="27"/>
      <c r="S51" s="6"/>
    </row>
    <row r="52" spans="1:19" x14ac:dyDescent="0.25">
      <c r="A52" s="12" t="s">
        <v>25</v>
      </c>
      <c r="B52" s="13" t="s">
        <v>72</v>
      </c>
      <c r="C52" s="14"/>
      <c r="D52" s="10" t="s">
        <v>331</v>
      </c>
      <c r="E52" s="10"/>
      <c r="F52" s="10" t="s">
        <v>275</v>
      </c>
      <c r="G52" s="16"/>
      <c r="H52" s="29">
        <v>2.4900000000000002</v>
      </c>
      <c r="I52" s="7"/>
      <c r="J52" s="7"/>
      <c r="K52" s="7">
        <v>6.24</v>
      </c>
      <c r="L52" s="7">
        <v>0.8</v>
      </c>
      <c r="M52" s="9"/>
      <c r="N52" s="24">
        <f t="shared" si="7"/>
        <v>2.4900000000000002</v>
      </c>
      <c r="O52" s="24" t="str">
        <f t="shared" si="8"/>
        <v/>
      </c>
      <c r="P52" s="24">
        <f t="shared" si="2"/>
        <v>5.44</v>
      </c>
      <c r="Q52" s="24"/>
      <c r="R52" s="27"/>
      <c r="S52" s="6"/>
    </row>
    <row r="53" spans="1:19" x14ac:dyDescent="0.25">
      <c r="A53" s="12" t="s">
        <v>25</v>
      </c>
      <c r="B53" s="13" t="s">
        <v>73</v>
      </c>
      <c r="C53" s="14"/>
      <c r="D53" s="10" t="s">
        <v>331</v>
      </c>
      <c r="E53" s="10" t="s">
        <v>331</v>
      </c>
      <c r="F53" s="10" t="s">
        <v>275</v>
      </c>
      <c r="G53" s="16"/>
      <c r="H53" s="29">
        <v>3.7</v>
      </c>
      <c r="I53" s="7"/>
      <c r="J53" s="7"/>
      <c r="K53" s="7">
        <v>7.64</v>
      </c>
      <c r="L53" s="7">
        <v>0.9</v>
      </c>
      <c r="M53" s="9"/>
      <c r="N53" s="24">
        <f t="shared" si="7"/>
        <v>3.7</v>
      </c>
      <c r="O53" s="24">
        <f t="shared" si="8"/>
        <v>6.7399999999999993</v>
      </c>
      <c r="P53" s="24">
        <f t="shared" si="2"/>
        <v>6.7399999999999993</v>
      </c>
      <c r="Q53" s="24"/>
      <c r="R53" s="27"/>
      <c r="S53" s="6"/>
    </row>
    <row r="54" spans="1:19" x14ac:dyDescent="0.25">
      <c r="A54" s="12" t="s">
        <v>25</v>
      </c>
      <c r="B54" s="13" t="s">
        <v>74</v>
      </c>
      <c r="C54" s="14"/>
      <c r="D54" s="10" t="s">
        <v>331</v>
      </c>
      <c r="E54" s="10" t="s">
        <v>331</v>
      </c>
      <c r="F54" s="10" t="s">
        <v>275</v>
      </c>
      <c r="G54" s="16"/>
      <c r="H54" s="29">
        <v>8</v>
      </c>
      <c r="I54" s="7"/>
      <c r="J54" s="7"/>
      <c r="K54" s="7">
        <v>11.6</v>
      </c>
      <c r="L54" s="7">
        <v>0.9</v>
      </c>
      <c r="M54" s="9"/>
      <c r="N54" s="24">
        <f t="shared" si="7"/>
        <v>8</v>
      </c>
      <c r="O54" s="24">
        <f t="shared" si="8"/>
        <v>10.7</v>
      </c>
      <c r="P54" s="24">
        <f t="shared" si="2"/>
        <v>10.7</v>
      </c>
      <c r="Q54" s="24"/>
      <c r="R54" s="27"/>
      <c r="S54" s="6"/>
    </row>
    <row r="55" spans="1:19" x14ac:dyDescent="0.25">
      <c r="A55" s="12" t="s">
        <v>25</v>
      </c>
      <c r="B55" s="13" t="s">
        <v>75</v>
      </c>
      <c r="C55" s="14"/>
      <c r="D55" s="10" t="s">
        <v>146</v>
      </c>
      <c r="E55" s="10" t="s">
        <v>146</v>
      </c>
      <c r="F55" s="10"/>
      <c r="G55" s="16"/>
      <c r="H55" s="29">
        <v>9.11</v>
      </c>
      <c r="I55" s="7"/>
      <c r="J55" s="7"/>
      <c r="K55" s="7">
        <v>12.2</v>
      </c>
      <c r="L55" s="7">
        <v>0.8</v>
      </c>
      <c r="M55" s="9"/>
      <c r="N55" s="24">
        <f t="shared" si="7"/>
        <v>9.11</v>
      </c>
      <c r="O55" s="24">
        <f t="shared" si="8"/>
        <v>11.399999999999999</v>
      </c>
      <c r="P55" s="24" t="str">
        <f t="shared" si="2"/>
        <v/>
      </c>
      <c r="Q55" s="24"/>
      <c r="R55" s="27"/>
      <c r="S55" s="6"/>
    </row>
    <row r="56" spans="1:19" x14ac:dyDescent="0.25">
      <c r="A56" s="12" t="s">
        <v>25</v>
      </c>
      <c r="B56" s="13" t="s">
        <v>76</v>
      </c>
      <c r="C56" s="14"/>
      <c r="D56" s="10" t="s">
        <v>331</v>
      </c>
      <c r="E56" s="10"/>
      <c r="F56" s="10" t="s">
        <v>275</v>
      </c>
      <c r="G56" s="16"/>
      <c r="H56" s="29">
        <v>7.68</v>
      </c>
      <c r="I56" s="7"/>
      <c r="J56" s="7"/>
      <c r="K56" s="7">
        <v>11.3</v>
      </c>
      <c r="L56" s="7">
        <v>0.9</v>
      </c>
      <c r="M56" s="9"/>
      <c r="N56" s="24">
        <f t="shared" si="7"/>
        <v>7.68</v>
      </c>
      <c r="O56" s="24" t="str">
        <f t="shared" si="8"/>
        <v/>
      </c>
      <c r="P56" s="24">
        <f t="shared" si="2"/>
        <v>10.4</v>
      </c>
      <c r="Q56" s="24"/>
      <c r="R56" s="27"/>
      <c r="S56" s="6"/>
    </row>
    <row r="57" spans="1:19" x14ac:dyDescent="0.25">
      <c r="A57" s="12" t="s">
        <v>25</v>
      </c>
      <c r="B57" s="13" t="s">
        <v>77</v>
      </c>
      <c r="C57" s="14"/>
      <c r="D57" s="10" t="s">
        <v>331</v>
      </c>
      <c r="E57" s="10"/>
      <c r="F57" s="10" t="s">
        <v>275</v>
      </c>
      <c r="G57" s="16"/>
      <c r="H57" s="29">
        <v>5.29</v>
      </c>
      <c r="I57" s="7"/>
      <c r="J57" s="7"/>
      <c r="K57" s="7">
        <v>9.6999999999999993</v>
      </c>
      <c r="L57" s="7">
        <v>0.9</v>
      </c>
      <c r="M57" s="9"/>
      <c r="N57" s="24">
        <f t="shared" si="7"/>
        <v>5.29</v>
      </c>
      <c r="O57" s="24" t="str">
        <f t="shared" si="8"/>
        <v/>
      </c>
      <c r="P57" s="24">
        <f t="shared" si="2"/>
        <v>8.7999999999999989</v>
      </c>
      <c r="Q57" s="24"/>
      <c r="R57" s="27"/>
      <c r="S57" s="6"/>
    </row>
    <row r="58" spans="1:19" x14ac:dyDescent="0.25">
      <c r="A58" s="12" t="s">
        <v>25</v>
      </c>
      <c r="B58" s="13" t="s">
        <v>78</v>
      </c>
      <c r="C58" s="14"/>
      <c r="D58" s="10" t="s">
        <v>331</v>
      </c>
      <c r="E58" s="10"/>
      <c r="F58" s="10" t="s">
        <v>275</v>
      </c>
      <c r="G58" s="16"/>
      <c r="H58" s="29">
        <v>9.83</v>
      </c>
      <c r="I58" s="7"/>
      <c r="J58" s="7"/>
      <c r="K58" s="7">
        <v>12.5</v>
      </c>
      <c r="L58" s="7">
        <v>0.9</v>
      </c>
      <c r="M58" s="9"/>
      <c r="N58" s="24">
        <f t="shared" si="7"/>
        <v>9.83</v>
      </c>
      <c r="O58" s="24" t="str">
        <f t="shared" si="8"/>
        <v/>
      </c>
      <c r="P58" s="24">
        <f t="shared" si="2"/>
        <v>11.6</v>
      </c>
      <c r="Q58" s="24"/>
      <c r="R58" s="27"/>
      <c r="S58" s="6"/>
    </row>
    <row r="59" spans="1:19" x14ac:dyDescent="0.25">
      <c r="A59" s="12" t="s">
        <v>25</v>
      </c>
      <c r="B59" s="13" t="s">
        <v>79</v>
      </c>
      <c r="C59" s="14"/>
      <c r="D59" s="10" t="s">
        <v>331</v>
      </c>
      <c r="E59" s="10"/>
      <c r="F59" s="10" t="s">
        <v>275</v>
      </c>
      <c r="G59" s="16"/>
      <c r="H59" s="29">
        <v>70.87</v>
      </c>
      <c r="I59" s="7"/>
      <c r="J59" s="7"/>
      <c r="K59" s="7">
        <f>48.54+3.32</f>
        <v>51.86</v>
      </c>
      <c r="L59" s="7">
        <f>1.4*2+1+0.8</f>
        <v>4.5999999999999996</v>
      </c>
      <c r="M59" s="9"/>
      <c r="N59" s="24">
        <f t="shared" si="7"/>
        <v>70.87</v>
      </c>
      <c r="O59" s="24" t="str">
        <f t="shared" si="8"/>
        <v/>
      </c>
      <c r="P59" s="24">
        <f t="shared" si="2"/>
        <v>47.26</v>
      </c>
      <c r="Q59" s="24"/>
      <c r="R59" s="27"/>
      <c r="S59" s="6"/>
    </row>
    <row r="60" spans="1:19" x14ac:dyDescent="0.25">
      <c r="A60" s="12" t="s">
        <v>25</v>
      </c>
      <c r="B60" s="13" t="s">
        <v>80</v>
      </c>
      <c r="C60" s="14"/>
      <c r="D60" s="10" t="s">
        <v>150</v>
      </c>
      <c r="E60" s="10"/>
      <c r="F60" s="10" t="s">
        <v>275</v>
      </c>
      <c r="G60" s="16"/>
      <c r="H60" s="29">
        <v>4.12</v>
      </c>
      <c r="I60" s="7"/>
      <c r="J60" s="7"/>
      <c r="K60" s="7">
        <f>6+5.8</f>
        <v>11.8</v>
      </c>
      <c r="L60" s="7">
        <f>0.7*3</f>
        <v>2.0999999999999996</v>
      </c>
      <c r="M60" s="9"/>
      <c r="N60" s="24">
        <f t="shared" si="7"/>
        <v>4.12</v>
      </c>
      <c r="O60" s="24" t="str">
        <f t="shared" si="8"/>
        <v/>
      </c>
      <c r="P60" s="24">
        <f t="shared" si="2"/>
        <v>9.7000000000000011</v>
      </c>
      <c r="Q60" s="24"/>
      <c r="R60" s="27"/>
      <c r="S60" s="6"/>
    </row>
    <row r="61" spans="1:19" x14ac:dyDescent="0.25">
      <c r="A61" s="12" t="s">
        <v>25</v>
      </c>
      <c r="B61" s="13" t="s">
        <v>81</v>
      </c>
      <c r="C61" s="14"/>
      <c r="D61" s="10" t="s">
        <v>150</v>
      </c>
      <c r="E61" s="10" t="s">
        <v>150</v>
      </c>
      <c r="F61" s="10" t="s">
        <v>275</v>
      </c>
      <c r="G61" s="16"/>
      <c r="H61" s="29">
        <v>7.32</v>
      </c>
      <c r="I61" s="7"/>
      <c r="J61" s="7"/>
      <c r="K61" s="7">
        <v>11.08</v>
      </c>
      <c r="L61" s="7">
        <v>0.8</v>
      </c>
      <c r="M61" s="9"/>
      <c r="N61" s="24">
        <f t="shared" si="7"/>
        <v>7.32</v>
      </c>
      <c r="O61" s="24">
        <f t="shared" si="8"/>
        <v>10.28</v>
      </c>
      <c r="P61" s="24">
        <f t="shared" si="2"/>
        <v>10.28</v>
      </c>
      <c r="Q61" s="24"/>
      <c r="R61" s="27"/>
      <c r="S61" s="6"/>
    </row>
    <row r="62" spans="1:19" x14ac:dyDescent="0.25">
      <c r="A62" s="12" t="s">
        <v>25</v>
      </c>
      <c r="B62" s="13" t="s">
        <v>82</v>
      </c>
      <c r="C62" s="14"/>
      <c r="D62" s="10" t="s">
        <v>150</v>
      </c>
      <c r="E62" s="10"/>
      <c r="F62" s="10" t="s">
        <v>275</v>
      </c>
      <c r="G62" s="16"/>
      <c r="H62" s="29">
        <v>4.8</v>
      </c>
      <c r="I62" s="7"/>
      <c r="J62" s="7"/>
      <c r="K62" s="7">
        <v>8.8000000000000007</v>
      </c>
      <c r="L62" s="7">
        <v>0.7</v>
      </c>
      <c r="M62" s="9"/>
      <c r="N62" s="24">
        <f t="shared" si="7"/>
        <v>4.8</v>
      </c>
      <c r="O62" s="24" t="str">
        <f t="shared" si="8"/>
        <v/>
      </c>
      <c r="P62" s="24">
        <f t="shared" si="2"/>
        <v>8.1000000000000014</v>
      </c>
      <c r="Q62" s="24"/>
      <c r="R62" s="27"/>
      <c r="S62" s="6"/>
    </row>
    <row r="63" spans="1:19" x14ac:dyDescent="0.25">
      <c r="A63" s="12" t="s">
        <v>25</v>
      </c>
      <c r="B63" s="13" t="s">
        <v>83</v>
      </c>
      <c r="C63" s="14"/>
      <c r="D63" s="10" t="s">
        <v>151</v>
      </c>
      <c r="E63" s="10" t="s">
        <v>151</v>
      </c>
      <c r="F63" s="10"/>
      <c r="G63" s="16"/>
      <c r="H63" s="29">
        <v>36.15</v>
      </c>
      <c r="I63" s="7"/>
      <c r="J63" s="7"/>
      <c r="K63" s="7">
        <v>24.12</v>
      </c>
      <c r="L63" s="7">
        <f>0.9*2+0.8</f>
        <v>2.6</v>
      </c>
      <c r="M63" s="9"/>
      <c r="N63" s="24">
        <f t="shared" si="7"/>
        <v>36.15</v>
      </c>
      <c r="O63" s="24">
        <f t="shared" si="8"/>
        <v>21.52</v>
      </c>
      <c r="P63" s="24" t="str">
        <f t="shared" si="2"/>
        <v/>
      </c>
      <c r="Q63" s="24"/>
      <c r="R63" s="27"/>
      <c r="S63" s="6"/>
    </row>
    <row r="64" spans="1:19" x14ac:dyDescent="0.25">
      <c r="A64" s="12" t="s">
        <v>25</v>
      </c>
      <c r="B64" s="34" t="s">
        <v>84</v>
      </c>
      <c r="C64" s="14"/>
      <c r="D64" s="10"/>
      <c r="E64" s="10"/>
      <c r="F64" s="10"/>
      <c r="G64" s="16"/>
      <c r="H64" s="29"/>
      <c r="I64" s="7"/>
      <c r="J64" s="7"/>
      <c r="K64" s="7"/>
      <c r="L64" s="7"/>
      <c r="M64" s="9"/>
      <c r="N64" s="24" t="str">
        <f t="shared" si="7"/>
        <v/>
      </c>
      <c r="O64" s="24" t="str">
        <f t="shared" si="8"/>
        <v/>
      </c>
      <c r="P64" s="24" t="str">
        <f t="shared" si="2"/>
        <v/>
      </c>
      <c r="Q64" s="24"/>
      <c r="R64" s="27"/>
      <c r="S64" s="6"/>
    </row>
    <row r="65" spans="1:19" x14ac:dyDescent="0.25">
      <c r="A65" s="12" t="s">
        <v>25</v>
      </c>
      <c r="B65" s="13" t="s">
        <v>85</v>
      </c>
      <c r="C65" s="14"/>
      <c r="D65" s="10" t="s">
        <v>146</v>
      </c>
      <c r="E65" s="10" t="s">
        <v>146</v>
      </c>
      <c r="F65" s="10"/>
      <c r="G65" s="16"/>
      <c r="H65" s="29">
        <f>7.83-H66</f>
        <v>4.63</v>
      </c>
      <c r="I65" s="7"/>
      <c r="J65" s="7"/>
      <c r="K65" s="7">
        <f>1.77*2+2.54</f>
        <v>6.08</v>
      </c>
      <c r="L65" s="7">
        <f>0.9*3</f>
        <v>2.7</v>
      </c>
      <c r="M65" s="9"/>
      <c r="N65" s="24">
        <f t="shared" si="7"/>
        <v>4.63</v>
      </c>
      <c r="O65" s="24">
        <f t="shared" si="8"/>
        <v>3.38</v>
      </c>
      <c r="P65" s="24" t="str">
        <f t="shared" si="2"/>
        <v/>
      </c>
      <c r="Q65" s="24"/>
      <c r="R65" s="27"/>
      <c r="S65" s="6"/>
    </row>
    <row r="66" spans="1:19" x14ac:dyDescent="0.25">
      <c r="A66" s="12" t="s">
        <v>25</v>
      </c>
      <c r="B66" s="13" t="s">
        <v>85</v>
      </c>
      <c r="C66" s="14"/>
      <c r="D66" s="10" t="s">
        <v>144</v>
      </c>
      <c r="E66" s="10" t="s">
        <v>144</v>
      </c>
      <c r="F66" s="10" t="s">
        <v>275</v>
      </c>
      <c r="G66" s="16"/>
      <c r="H66" s="29">
        <v>3.2</v>
      </c>
      <c r="I66" s="7"/>
      <c r="J66" s="7"/>
      <c r="K66" s="7">
        <f>1.255*2+2.54*2</f>
        <v>7.59</v>
      </c>
      <c r="L66" s="7"/>
      <c r="M66" s="9"/>
      <c r="N66" s="24">
        <f t="shared" ref="N66" si="13">IF(AND(D66&lt;&gt;"",H66&lt;&gt;0),H66-I66+J66,"")</f>
        <v>3.2</v>
      </c>
      <c r="O66" s="24">
        <f t="shared" ref="O66" si="14">IF(AND(E66&lt;&gt;"",K66&lt;&gt;0),K66-L66+M66,"")</f>
        <v>7.59</v>
      </c>
      <c r="P66" s="24">
        <f t="shared" si="2"/>
        <v>7.59</v>
      </c>
      <c r="Q66" s="24"/>
      <c r="R66" s="27" t="s">
        <v>254</v>
      </c>
      <c r="S66" s="6"/>
    </row>
    <row r="67" spans="1:19" x14ac:dyDescent="0.25">
      <c r="A67" s="12" t="s">
        <v>25</v>
      </c>
      <c r="B67" s="13" t="s">
        <v>86</v>
      </c>
      <c r="C67" s="14"/>
      <c r="D67" s="10" t="s">
        <v>330</v>
      </c>
      <c r="E67" s="10"/>
      <c r="F67" s="10" t="s">
        <v>275</v>
      </c>
      <c r="G67" s="16"/>
      <c r="H67" s="29">
        <v>4.6399999999999997</v>
      </c>
      <c r="I67" s="7"/>
      <c r="J67" s="7"/>
      <c r="K67" s="7">
        <v>8.68</v>
      </c>
      <c r="L67" s="7">
        <v>0.9</v>
      </c>
      <c r="M67" s="9"/>
      <c r="N67" s="24">
        <f t="shared" si="7"/>
        <v>4.6399999999999997</v>
      </c>
      <c r="O67" s="24" t="str">
        <f t="shared" si="8"/>
        <v/>
      </c>
      <c r="P67" s="24">
        <f t="shared" si="2"/>
        <v>7.7799999999999994</v>
      </c>
      <c r="Q67" s="24"/>
      <c r="R67" s="27"/>
      <c r="S67" s="6"/>
    </row>
    <row r="68" spans="1:19" x14ac:dyDescent="0.25">
      <c r="A68" s="12" t="s">
        <v>25</v>
      </c>
      <c r="B68" s="13" t="s">
        <v>87</v>
      </c>
      <c r="C68" s="14"/>
      <c r="D68" s="10" t="s">
        <v>146</v>
      </c>
      <c r="E68" s="10" t="s">
        <v>146</v>
      </c>
      <c r="F68" s="10"/>
      <c r="G68" s="16"/>
      <c r="H68" s="29">
        <v>18.87</v>
      </c>
      <c r="I68" s="7"/>
      <c r="J68" s="7"/>
      <c r="K68" s="7">
        <v>17.350000000000001</v>
      </c>
      <c r="L68" s="7">
        <f>0.9*2</f>
        <v>1.8</v>
      </c>
      <c r="M68" s="9"/>
      <c r="N68" s="24">
        <f t="shared" si="7"/>
        <v>18.87</v>
      </c>
      <c r="O68" s="24">
        <f t="shared" si="8"/>
        <v>15.55</v>
      </c>
      <c r="P68" s="24" t="str">
        <f t="shared" si="2"/>
        <v/>
      </c>
      <c r="Q68" s="24"/>
      <c r="R68" s="27"/>
      <c r="S68" s="6"/>
    </row>
    <row r="69" spans="1:19" x14ac:dyDescent="0.25">
      <c r="A69" s="12" t="s">
        <v>25</v>
      </c>
      <c r="B69" s="13" t="s">
        <v>88</v>
      </c>
      <c r="C69" s="14"/>
      <c r="D69" s="10" t="s">
        <v>146</v>
      </c>
      <c r="E69" s="10" t="s">
        <v>146</v>
      </c>
      <c r="F69" s="10"/>
      <c r="G69" s="16"/>
      <c r="H69" s="29">
        <v>31.56</v>
      </c>
      <c r="I69" s="7"/>
      <c r="J69" s="7"/>
      <c r="K69" s="7">
        <v>22.6</v>
      </c>
      <c r="L69" s="7">
        <f>0.9+0.8</f>
        <v>1.7000000000000002</v>
      </c>
      <c r="M69" s="9"/>
      <c r="N69" s="24">
        <f t="shared" si="7"/>
        <v>31.56</v>
      </c>
      <c r="O69" s="24">
        <f t="shared" si="8"/>
        <v>20.900000000000002</v>
      </c>
      <c r="P69" s="24" t="str">
        <f t="shared" si="2"/>
        <v/>
      </c>
      <c r="Q69" s="24"/>
      <c r="R69" s="27"/>
      <c r="S69" s="6"/>
    </row>
    <row r="70" spans="1:19" x14ac:dyDescent="0.25">
      <c r="A70" s="12" t="s">
        <v>25</v>
      </c>
      <c r="B70" s="13" t="s">
        <v>89</v>
      </c>
      <c r="C70" s="14"/>
      <c r="D70" s="10" t="s">
        <v>146</v>
      </c>
      <c r="E70" s="10" t="s">
        <v>146</v>
      </c>
      <c r="F70" s="10"/>
      <c r="G70" s="16"/>
      <c r="H70" s="29">
        <v>5.52</v>
      </c>
      <c r="I70" s="7"/>
      <c r="J70" s="7"/>
      <c r="K70" s="7">
        <v>9.3000000000000007</v>
      </c>
      <c r="L70" s="7">
        <f>0.8*2</f>
        <v>1.6</v>
      </c>
      <c r="M70" s="9"/>
      <c r="N70" s="24">
        <f t="shared" si="7"/>
        <v>5.52</v>
      </c>
      <c r="O70" s="24">
        <f t="shared" si="8"/>
        <v>7.7000000000000011</v>
      </c>
      <c r="P70" s="24" t="str">
        <f t="shared" si="2"/>
        <v/>
      </c>
      <c r="Q70" s="24"/>
      <c r="R70" s="27"/>
      <c r="S70" s="6"/>
    </row>
    <row r="71" spans="1:19" x14ac:dyDescent="0.25">
      <c r="A71" s="12" t="s">
        <v>25</v>
      </c>
      <c r="B71" s="13" t="s">
        <v>90</v>
      </c>
      <c r="C71" s="14"/>
      <c r="D71" s="10" t="s">
        <v>146</v>
      </c>
      <c r="E71" s="10" t="s">
        <v>146</v>
      </c>
      <c r="F71" s="10"/>
      <c r="G71" s="16"/>
      <c r="H71" s="29">
        <v>4.57</v>
      </c>
      <c r="I71" s="7"/>
      <c r="J71" s="7"/>
      <c r="K71" s="7">
        <v>8.6</v>
      </c>
      <c r="L71" s="7">
        <f>0.8+0.7</f>
        <v>1.5</v>
      </c>
      <c r="M71" s="9"/>
      <c r="N71" s="24">
        <f t="shared" si="7"/>
        <v>4.57</v>
      </c>
      <c r="O71" s="24">
        <f t="shared" si="8"/>
        <v>7.1</v>
      </c>
      <c r="P71" s="24" t="str">
        <f t="shared" si="2"/>
        <v/>
      </c>
      <c r="Q71" s="24"/>
      <c r="R71" s="27"/>
      <c r="S71" s="6"/>
    </row>
    <row r="72" spans="1:19" x14ac:dyDescent="0.25">
      <c r="A72" s="12" t="s">
        <v>25</v>
      </c>
      <c r="B72" s="13" t="s">
        <v>91</v>
      </c>
      <c r="C72" s="14"/>
      <c r="D72" s="10" t="s">
        <v>330</v>
      </c>
      <c r="E72" s="10"/>
      <c r="F72" s="10" t="s">
        <v>275</v>
      </c>
      <c r="G72" s="16"/>
      <c r="H72" s="29">
        <v>3.65</v>
      </c>
      <c r="I72" s="7"/>
      <c r="J72" s="7"/>
      <c r="K72" s="7">
        <v>7.98</v>
      </c>
      <c r="L72" s="7">
        <v>0.7</v>
      </c>
      <c r="M72" s="9"/>
      <c r="N72" s="24">
        <f t="shared" si="7"/>
        <v>3.65</v>
      </c>
      <c r="O72" s="24" t="str">
        <f t="shared" si="8"/>
        <v/>
      </c>
      <c r="P72" s="24">
        <f t="shared" si="2"/>
        <v>7.28</v>
      </c>
      <c r="Q72" s="24"/>
      <c r="R72" s="27"/>
      <c r="S72" s="6"/>
    </row>
    <row r="73" spans="1:19" x14ac:dyDescent="0.25">
      <c r="A73" s="12" t="s">
        <v>25</v>
      </c>
      <c r="B73" s="13" t="s">
        <v>92</v>
      </c>
      <c r="C73" s="14"/>
      <c r="D73" s="10" t="s">
        <v>273</v>
      </c>
      <c r="E73" s="10" t="s">
        <v>273</v>
      </c>
      <c r="F73" s="10"/>
      <c r="G73" s="16" t="s">
        <v>222</v>
      </c>
      <c r="H73" s="29">
        <v>3.83</v>
      </c>
      <c r="I73" s="7"/>
      <c r="J73" s="7"/>
      <c r="K73" s="7">
        <f>2.2*2</f>
        <v>4.4000000000000004</v>
      </c>
      <c r="L73" s="7">
        <v>0.8</v>
      </c>
      <c r="M73" s="9"/>
      <c r="N73" s="24">
        <f t="shared" si="7"/>
        <v>3.83</v>
      </c>
      <c r="O73" s="24">
        <f t="shared" si="8"/>
        <v>3.6000000000000005</v>
      </c>
      <c r="P73" s="24" t="str">
        <f t="shared" si="2"/>
        <v/>
      </c>
      <c r="Q73" s="24"/>
      <c r="R73" s="27"/>
      <c r="S73" s="6"/>
    </row>
    <row r="74" spans="1:19" x14ac:dyDescent="0.25">
      <c r="A74" s="12" t="s">
        <v>25</v>
      </c>
      <c r="B74" s="13" t="s">
        <v>92</v>
      </c>
      <c r="C74" s="14"/>
      <c r="D74" s="10" t="s">
        <v>227</v>
      </c>
      <c r="E74" s="10" t="s">
        <v>227</v>
      </c>
      <c r="F74" s="10"/>
      <c r="G74" s="16" t="s">
        <v>224</v>
      </c>
      <c r="H74" s="29">
        <f>1.71*(0.3+0.155)*11</f>
        <v>8.5585499999999985</v>
      </c>
      <c r="I74" s="7"/>
      <c r="J74" s="7"/>
      <c r="K74" s="7">
        <f>3.3*2+1.7*2</f>
        <v>10</v>
      </c>
      <c r="L74" s="7"/>
      <c r="M74" s="9"/>
      <c r="N74" s="24">
        <f t="shared" ref="N74:N76" si="15">IF(AND(D74&lt;&gt;"",H74&lt;&gt;0),H74-I74+J74,"")</f>
        <v>8.5585499999999985</v>
      </c>
      <c r="O74" s="24">
        <f t="shared" ref="O74:O76" si="16">IF(AND(E74&lt;&gt;"",K74&lt;&gt;0),K74-L74+M74,"")</f>
        <v>10</v>
      </c>
      <c r="P74" s="24" t="str">
        <f t="shared" ref="P74:P137" si="17">IF(AND(F74&lt;&gt;"",K74&lt;&gt;0),K74-L74+M74,"")</f>
        <v/>
      </c>
      <c r="Q74" s="24"/>
      <c r="R74" s="27" t="s">
        <v>257</v>
      </c>
      <c r="S74" s="6"/>
    </row>
    <row r="75" spans="1:19" x14ac:dyDescent="0.25">
      <c r="A75" s="12" t="s">
        <v>25</v>
      </c>
      <c r="B75" s="13" t="s">
        <v>92</v>
      </c>
      <c r="C75" s="14"/>
      <c r="D75" s="10" t="s">
        <v>226</v>
      </c>
      <c r="E75" s="10" t="s">
        <v>226</v>
      </c>
      <c r="F75" s="10"/>
      <c r="G75" s="16" t="s">
        <v>28</v>
      </c>
      <c r="H75" s="29">
        <f>3.3*1.5</f>
        <v>4.9499999999999993</v>
      </c>
      <c r="I75" s="7"/>
      <c r="J75" s="7"/>
      <c r="K75" s="7">
        <f>3.3+1.5*2+0.3</f>
        <v>6.6</v>
      </c>
      <c r="L75" s="7"/>
      <c r="M75" s="9"/>
      <c r="N75" s="24">
        <f t="shared" si="15"/>
        <v>4.9499999999999993</v>
      </c>
      <c r="O75" s="24">
        <f t="shared" si="16"/>
        <v>6.6</v>
      </c>
      <c r="P75" s="24" t="str">
        <f t="shared" si="17"/>
        <v/>
      </c>
      <c r="Q75" s="24"/>
      <c r="R75" s="27"/>
      <c r="S75" s="6"/>
    </row>
    <row r="76" spans="1:19" x14ac:dyDescent="0.25">
      <c r="A76" s="12" t="s">
        <v>25</v>
      </c>
      <c r="B76" s="13" t="s">
        <v>92</v>
      </c>
      <c r="C76" s="14"/>
      <c r="D76" s="10" t="s">
        <v>227</v>
      </c>
      <c r="E76" s="10" t="s">
        <v>227</v>
      </c>
      <c r="F76" s="10"/>
      <c r="G76" s="16" t="s">
        <v>225</v>
      </c>
      <c r="H76" s="29">
        <f>1.55*(0.3+0.155)*13</f>
        <v>9.1682499999999987</v>
      </c>
      <c r="I76" s="7"/>
      <c r="J76" s="7"/>
      <c r="K76" s="7">
        <f>0.3*12+(3.7-1.7)</f>
        <v>5.6</v>
      </c>
      <c r="L76" s="7"/>
      <c r="M76" s="9"/>
      <c r="N76" s="24">
        <f t="shared" si="15"/>
        <v>9.1682499999999987</v>
      </c>
      <c r="O76" s="24">
        <f t="shared" si="16"/>
        <v>5.6</v>
      </c>
      <c r="P76" s="24" t="str">
        <f t="shared" si="17"/>
        <v/>
      </c>
      <c r="Q76" s="24"/>
      <c r="R76" s="27"/>
      <c r="S76" s="6"/>
    </row>
    <row r="77" spans="1:19" x14ac:dyDescent="0.25">
      <c r="A77" s="12" t="s">
        <v>25</v>
      </c>
      <c r="B77" s="13" t="s">
        <v>93</v>
      </c>
      <c r="C77" s="14"/>
      <c r="D77" s="10" t="s">
        <v>144</v>
      </c>
      <c r="E77" s="10" t="s">
        <v>144</v>
      </c>
      <c r="F77" s="10" t="s">
        <v>275</v>
      </c>
      <c r="G77" s="16" t="s">
        <v>230</v>
      </c>
      <c r="H77" s="29">
        <f>1.35*1.475</f>
        <v>1.9912500000000002</v>
      </c>
      <c r="I77" s="7"/>
      <c r="J77" s="7"/>
      <c r="K77" s="7">
        <f>1.475*2+1.35*2</f>
        <v>5.65</v>
      </c>
      <c r="L77" s="7"/>
      <c r="M77" s="9"/>
      <c r="N77" s="24">
        <f t="shared" si="7"/>
        <v>1.9912500000000002</v>
      </c>
      <c r="O77" s="24">
        <f t="shared" si="8"/>
        <v>5.65</v>
      </c>
      <c r="P77" s="24">
        <f t="shared" si="17"/>
        <v>5.65</v>
      </c>
      <c r="Q77" s="24"/>
      <c r="R77" s="27" t="s">
        <v>254</v>
      </c>
      <c r="S77" s="6"/>
    </row>
    <row r="78" spans="1:19" x14ac:dyDescent="0.25">
      <c r="A78" s="12" t="s">
        <v>25</v>
      </c>
      <c r="B78" s="13" t="s">
        <v>93</v>
      </c>
      <c r="C78" s="14"/>
      <c r="D78" s="10" t="s">
        <v>228</v>
      </c>
      <c r="E78" s="10" t="s">
        <v>228</v>
      </c>
      <c r="F78" s="10"/>
      <c r="G78" s="16" t="s">
        <v>231</v>
      </c>
      <c r="H78" s="29">
        <v>8.1199999999999992</v>
      </c>
      <c r="I78" s="7"/>
      <c r="J78" s="7"/>
      <c r="K78" s="7">
        <v>14.4</v>
      </c>
      <c r="L78" s="7">
        <f>0.9+1.35+1.3</f>
        <v>3.55</v>
      </c>
      <c r="M78" s="9"/>
      <c r="N78" s="24">
        <f t="shared" ref="N78" si="18">IF(AND(D78&lt;&gt;"",H78&lt;&gt;0),H78-I78+J78,"")</f>
        <v>8.1199999999999992</v>
      </c>
      <c r="O78" s="24">
        <f t="shared" ref="O78" si="19">IF(AND(E78&lt;&gt;"",K78&lt;&gt;0),K78-L78+M78,"")</f>
        <v>10.850000000000001</v>
      </c>
      <c r="P78" s="24" t="str">
        <f t="shared" si="17"/>
        <v/>
      </c>
      <c r="Q78" s="24"/>
      <c r="R78" s="27"/>
      <c r="S78" s="6"/>
    </row>
    <row r="79" spans="1:19" x14ac:dyDescent="0.25">
      <c r="A79" s="12" t="s">
        <v>25</v>
      </c>
      <c r="B79" s="13" t="s">
        <v>93</v>
      </c>
      <c r="C79" s="14"/>
      <c r="D79" s="10" t="s">
        <v>227</v>
      </c>
      <c r="E79" s="10" t="s">
        <v>227</v>
      </c>
      <c r="F79" s="10"/>
      <c r="G79" s="16" t="s">
        <v>232</v>
      </c>
      <c r="H79" s="29">
        <f>1.3*(0.3+0.155)*5</f>
        <v>2.9574999999999996</v>
      </c>
      <c r="I79" s="7"/>
      <c r="J79" s="7"/>
      <c r="K79" s="7">
        <f>0.3*4*2+0.155*5*2</f>
        <v>3.95</v>
      </c>
      <c r="L79" s="7"/>
      <c r="M79" s="9"/>
      <c r="N79" s="24">
        <f t="shared" ref="N79:N87" si="20">IF(AND(D79&lt;&gt;"",H79&lt;&gt;0),H79-I79+J79,"")</f>
        <v>2.9574999999999996</v>
      </c>
      <c r="O79" s="24">
        <f t="shared" ref="O79:O87" si="21">IF(AND(E79&lt;&gt;"",K79&lt;&gt;0),K79-L79+M79,"")</f>
        <v>3.95</v>
      </c>
      <c r="P79" s="24" t="str">
        <f t="shared" si="17"/>
        <v/>
      </c>
      <c r="Q79" s="24"/>
      <c r="R79" s="27"/>
      <c r="S79" s="6"/>
    </row>
    <row r="80" spans="1:19" x14ac:dyDescent="0.25">
      <c r="A80" s="12" t="s">
        <v>25</v>
      </c>
      <c r="B80" s="13" t="s">
        <v>93</v>
      </c>
      <c r="C80" s="14"/>
      <c r="D80" s="10" t="s">
        <v>235</v>
      </c>
      <c r="E80" s="10" t="s">
        <v>235</v>
      </c>
      <c r="F80" s="10"/>
      <c r="G80" s="16" t="s">
        <v>28</v>
      </c>
      <c r="H80" s="29">
        <f>1.1*2.4</f>
        <v>2.64</v>
      </c>
      <c r="I80" s="7"/>
      <c r="J80" s="7"/>
      <c r="K80" s="7">
        <f>2.4+1.1*2</f>
        <v>4.5999999999999996</v>
      </c>
      <c r="L80" s="7"/>
      <c r="M80" s="9"/>
      <c r="N80" s="24">
        <f t="shared" si="20"/>
        <v>2.64</v>
      </c>
      <c r="O80" s="24">
        <f t="shared" si="21"/>
        <v>4.5999999999999996</v>
      </c>
      <c r="P80" s="24" t="str">
        <f t="shared" si="17"/>
        <v/>
      </c>
      <c r="Q80" s="24"/>
      <c r="R80" s="27"/>
      <c r="S80" s="6"/>
    </row>
    <row r="81" spans="1:19" x14ac:dyDescent="0.25">
      <c r="A81" s="12" t="s">
        <v>25</v>
      </c>
      <c r="B81" s="13" t="s">
        <v>93</v>
      </c>
      <c r="C81" s="14"/>
      <c r="D81" s="10" t="s">
        <v>227</v>
      </c>
      <c r="E81" s="10" t="s">
        <v>227</v>
      </c>
      <c r="F81" s="10"/>
      <c r="G81" s="16" t="s">
        <v>233</v>
      </c>
      <c r="H81" s="29">
        <f>1.11*(0.3+0.155)*10</f>
        <v>5.0504999999999995</v>
      </c>
      <c r="I81" s="7"/>
      <c r="J81" s="7"/>
      <c r="K81" s="7">
        <f>0.3*9+0.155*10</f>
        <v>4.25</v>
      </c>
      <c r="L81" s="7"/>
      <c r="M81" s="9"/>
      <c r="N81" s="24">
        <f t="shared" si="20"/>
        <v>5.0504999999999995</v>
      </c>
      <c r="O81" s="24">
        <f t="shared" si="21"/>
        <v>4.25</v>
      </c>
      <c r="P81" s="24" t="str">
        <f t="shared" si="17"/>
        <v/>
      </c>
      <c r="Q81" s="24"/>
      <c r="R81" s="27"/>
      <c r="S81" s="6"/>
    </row>
    <row r="82" spans="1:19" x14ac:dyDescent="0.25">
      <c r="A82" s="12" t="s">
        <v>25</v>
      </c>
      <c r="B82" s="13" t="s">
        <v>93</v>
      </c>
      <c r="C82" s="14"/>
      <c r="D82" s="10" t="s">
        <v>235</v>
      </c>
      <c r="E82" s="10" t="s">
        <v>235</v>
      </c>
      <c r="F82" s="10"/>
      <c r="G82" s="16" t="s">
        <v>28</v>
      </c>
      <c r="H82" s="29">
        <f>2.4*(1.11-0.3)</f>
        <v>1.944</v>
      </c>
      <c r="I82" s="7"/>
      <c r="J82" s="7"/>
      <c r="K82" s="7">
        <f>2.4*1.11*2</f>
        <v>5.3280000000000003</v>
      </c>
      <c r="L82" s="7"/>
      <c r="M82" s="9"/>
      <c r="N82" s="24">
        <f t="shared" si="20"/>
        <v>1.944</v>
      </c>
      <c r="O82" s="24">
        <f t="shared" si="21"/>
        <v>5.3280000000000003</v>
      </c>
      <c r="P82" s="24" t="str">
        <f t="shared" si="17"/>
        <v/>
      </c>
      <c r="Q82" s="24"/>
      <c r="R82" s="27"/>
      <c r="S82" s="6"/>
    </row>
    <row r="83" spans="1:19" x14ac:dyDescent="0.25">
      <c r="A83" s="12" t="s">
        <v>25</v>
      </c>
      <c r="B83" s="13" t="s">
        <v>93</v>
      </c>
      <c r="C83" s="14"/>
      <c r="D83" s="10" t="s">
        <v>227</v>
      </c>
      <c r="E83" s="10" t="s">
        <v>227</v>
      </c>
      <c r="F83" s="10"/>
      <c r="G83" s="16" t="s">
        <v>234</v>
      </c>
      <c r="H83" s="29">
        <f>1.11*(0.3+0.155)*9</f>
        <v>4.5454499999999998</v>
      </c>
      <c r="I83" s="7"/>
      <c r="J83" s="7"/>
      <c r="K83" s="7">
        <f>0.3*9+0.155*9</f>
        <v>4.0949999999999998</v>
      </c>
      <c r="L83" s="7"/>
      <c r="M83" s="9"/>
      <c r="N83" s="24">
        <f t="shared" si="20"/>
        <v>4.5454499999999998</v>
      </c>
      <c r="O83" s="24">
        <f t="shared" si="21"/>
        <v>4.0949999999999998</v>
      </c>
      <c r="P83" s="24" t="str">
        <f t="shared" si="17"/>
        <v/>
      </c>
      <c r="Q83" s="24"/>
      <c r="R83" s="27"/>
      <c r="S83" s="6"/>
    </row>
    <row r="84" spans="1:19" x14ac:dyDescent="0.25">
      <c r="A84" s="12" t="s">
        <v>25</v>
      </c>
      <c r="B84" s="13" t="s">
        <v>94</v>
      </c>
      <c r="C84" s="14"/>
      <c r="D84" s="10" t="s">
        <v>236</v>
      </c>
      <c r="E84" s="10" t="s">
        <v>236</v>
      </c>
      <c r="F84" s="10"/>
      <c r="G84" s="16" t="s">
        <v>152</v>
      </c>
      <c r="H84" s="29">
        <f>1.79*1.8</f>
        <v>3.222</v>
      </c>
      <c r="I84" s="7"/>
      <c r="J84" s="7"/>
      <c r="K84" s="7">
        <f>1.79*2+1.8*2</f>
        <v>7.18</v>
      </c>
      <c r="L84" s="7"/>
      <c r="M84" s="9"/>
      <c r="N84" s="24">
        <f t="shared" si="20"/>
        <v>3.222</v>
      </c>
      <c r="O84" s="24">
        <f t="shared" si="21"/>
        <v>7.18</v>
      </c>
      <c r="P84" s="24" t="str">
        <f t="shared" si="17"/>
        <v/>
      </c>
      <c r="Q84" s="24"/>
      <c r="R84" s="27" t="s">
        <v>237</v>
      </c>
      <c r="S84" s="6"/>
    </row>
    <row r="85" spans="1:19" x14ac:dyDescent="0.25">
      <c r="A85" s="12" t="s">
        <v>25</v>
      </c>
      <c r="B85" s="13" t="s">
        <v>94</v>
      </c>
      <c r="C85" s="14"/>
      <c r="D85" s="10" t="s">
        <v>236</v>
      </c>
      <c r="E85" s="10" t="s">
        <v>236</v>
      </c>
      <c r="F85" s="10"/>
      <c r="G85" s="16" t="s">
        <v>152</v>
      </c>
      <c r="H85" s="29">
        <f>2.4*3.05</f>
        <v>7.3199999999999994</v>
      </c>
      <c r="I85" s="7"/>
      <c r="J85" s="7"/>
      <c r="K85" s="7">
        <f>2.4*2+3.05*2</f>
        <v>10.899999999999999</v>
      </c>
      <c r="L85" s="7"/>
      <c r="M85" s="9"/>
      <c r="N85" s="24">
        <f t="shared" ref="N85" si="22">IF(AND(D85&lt;&gt;"",H85&lt;&gt;0),H85-I85+J85,"")</f>
        <v>7.3199999999999994</v>
      </c>
      <c r="O85" s="24">
        <f t="shared" ref="O85" si="23">IF(AND(E85&lt;&gt;"",K85&lt;&gt;0),K85-L85+M85,"")</f>
        <v>10.899999999999999</v>
      </c>
      <c r="P85" s="24" t="str">
        <f t="shared" si="17"/>
        <v/>
      </c>
      <c r="Q85" s="24"/>
      <c r="R85" s="27" t="s">
        <v>237</v>
      </c>
      <c r="S85" s="6"/>
    </row>
    <row r="86" spans="1:19" x14ac:dyDescent="0.25">
      <c r="A86" s="12" t="s">
        <v>25</v>
      </c>
      <c r="B86" s="13" t="s">
        <v>95</v>
      </c>
      <c r="C86" s="14"/>
      <c r="D86" s="10"/>
      <c r="E86" s="10"/>
      <c r="F86" s="10"/>
      <c r="G86" s="16" t="s">
        <v>152</v>
      </c>
      <c r="H86" s="29"/>
      <c r="I86" s="7"/>
      <c r="J86" s="7"/>
      <c r="K86" s="7"/>
      <c r="L86" s="7"/>
      <c r="M86" s="9"/>
      <c r="N86" s="24" t="str">
        <f t="shared" si="20"/>
        <v/>
      </c>
      <c r="O86" s="24" t="str">
        <f t="shared" si="21"/>
        <v/>
      </c>
      <c r="P86" s="24" t="str">
        <f t="shared" si="17"/>
        <v/>
      </c>
      <c r="Q86" s="24"/>
      <c r="R86" s="27"/>
      <c r="S86" s="6"/>
    </row>
    <row r="87" spans="1:19" x14ac:dyDescent="0.25">
      <c r="A87" s="12" t="s">
        <v>25</v>
      </c>
      <c r="B87" s="13" t="s">
        <v>96</v>
      </c>
      <c r="C87" s="14"/>
      <c r="D87" s="10"/>
      <c r="E87" s="10"/>
      <c r="F87" s="10"/>
      <c r="G87" s="16" t="s">
        <v>152</v>
      </c>
      <c r="H87" s="29"/>
      <c r="I87" s="7"/>
      <c r="J87" s="7"/>
      <c r="K87" s="7"/>
      <c r="L87" s="7"/>
      <c r="M87" s="9"/>
      <c r="N87" s="24" t="str">
        <f t="shared" si="20"/>
        <v/>
      </c>
      <c r="O87" s="24" t="str">
        <f t="shared" si="21"/>
        <v/>
      </c>
      <c r="P87" s="24" t="str">
        <f t="shared" si="17"/>
        <v/>
      </c>
      <c r="Q87" s="24"/>
      <c r="R87" s="27"/>
      <c r="S87" s="6"/>
    </row>
    <row r="88" spans="1:19" x14ac:dyDescent="0.25">
      <c r="A88" s="12" t="s">
        <v>25</v>
      </c>
      <c r="B88" s="13" t="s">
        <v>97</v>
      </c>
      <c r="C88" s="14"/>
      <c r="D88" s="10"/>
      <c r="E88" s="10"/>
      <c r="F88" s="10"/>
      <c r="G88" s="16" t="s">
        <v>152</v>
      </c>
      <c r="H88" s="29"/>
      <c r="I88" s="7"/>
      <c r="J88" s="7"/>
      <c r="K88" s="7"/>
      <c r="L88" s="7"/>
      <c r="M88" s="9"/>
      <c r="N88" s="24" t="str">
        <f t="shared" si="7"/>
        <v/>
      </c>
      <c r="O88" s="24" t="str">
        <f t="shared" si="8"/>
        <v/>
      </c>
      <c r="P88" s="24" t="str">
        <f t="shared" si="17"/>
        <v/>
      </c>
      <c r="Q88" s="24"/>
      <c r="R88" s="27"/>
      <c r="S88" s="6"/>
    </row>
    <row r="89" spans="1:19" x14ac:dyDescent="0.25">
      <c r="A89" s="12" t="s">
        <v>25</v>
      </c>
      <c r="B89" s="13" t="s">
        <v>98</v>
      </c>
      <c r="C89" s="14"/>
      <c r="D89" s="10"/>
      <c r="E89" s="10"/>
      <c r="F89" s="10"/>
      <c r="G89" s="16" t="s">
        <v>152</v>
      </c>
      <c r="H89" s="29"/>
      <c r="I89" s="7"/>
      <c r="J89" s="7"/>
      <c r="K89" s="7"/>
      <c r="L89" s="7"/>
      <c r="M89" s="9"/>
      <c r="N89" s="24" t="str">
        <f t="shared" si="7"/>
        <v/>
      </c>
      <c r="O89" s="24" t="str">
        <f t="shared" si="8"/>
        <v/>
      </c>
      <c r="P89" s="24" t="str">
        <f t="shared" si="17"/>
        <v/>
      </c>
      <c r="Q89" s="24"/>
      <c r="R89" s="27"/>
      <c r="S89" s="6"/>
    </row>
    <row r="90" spans="1:19" x14ac:dyDescent="0.25">
      <c r="A90" s="12" t="s">
        <v>25</v>
      </c>
      <c r="B90" s="13" t="s">
        <v>99</v>
      </c>
      <c r="C90" s="14"/>
      <c r="D90" s="10"/>
      <c r="E90" s="10"/>
      <c r="F90" s="10"/>
      <c r="G90" s="16" t="s">
        <v>152</v>
      </c>
      <c r="H90" s="29"/>
      <c r="I90" s="7"/>
      <c r="J90" s="7"/>
      <c r="K90" s="7"/>
      <c r="L90" s="7"/>
      <c r="M90" s="9"/>
      <c r="N90" s="24" t="str">
        <f t="shared" si="7"/>
        <v/>
      </c>
      <c r="O90" s="24" t="str">
        <f t="shared" si="8"/>
        <v/>
      </c>
      <c r="P90" s="24" t="str">
        <f t="shared" si="17"/>
        <v/>
      </c>
      <c r="Q90" s="24"/>
      <c r="R90" s="27"/>
      <c r="S90" s="6"/>
    </row>
    <row r="91" spans="1:19" x14ac:dyDescent="0.25">
      <c r="A91" s="12" t="s">
        <v>25</v>
      </c>
      <c r="B91" s="13" t="s">
        <v>100</v>
      </c>
      <c r="C91" s="14"/>
      <c r="D91" s="10"/>
      <c r="E91" s="10"/>
      <c r="F91" s="10"/>
      <c r="G91" s="16" t="s">
        <v>152</v>
      </c>
      <c r="H91" s="29"/>
      <c r="I91" s="7"/>
      <c r="J91" s="7"/>
      <c r="K91" s="7"/>
      <c r="L91" s="7"/>
      <c r="M91" s="9"/>
      <c r="N91" s="24" t="str">
        <f t="shared" si="7"/>
        <v/>
      </c>
      <c r="O91" s="24" t="str">
        <f t="shared" si="8"/>
        <v/>
      </c>
      <c r="P91" s="24" t="str">
        <f t="shared" si="17"/>
        <v/>
      </c>
      <c r="Q91" s="24"/>
      <c r="R91" s="27"/>
      <c r="S91" s="6"/>
    </row>
    <row r="92" spans="1:19" x14ac:dyDescent="0.25">
      <c r="A92" s="12" t="s">
        <v>25</v>
      </c>
      <c r="B92" s="13" t="s">
        <v>101</v>
      </c>
      <c r="C92" s="14"/>
      <c r="D92" s="10"/>
      <c r="E92" s="10"/>
      <c r="F92" s="10"/>
      <c r="G92" s="16" t="s">
        <v>152</v>
      </c>
      <c r="H92" s="29"/>
      <c r="I92" s="7"/>
      <c r="J92" s="7"/>
      <c r="K92" s="7"/>
      <c r="L92" s="7"/>
      <c r="M92" s="9"/>
      <c r="N92" s="24" t="str">
        <f t="shared" si="7"/>
        <v/>
      </c>
      <c r="O92" s="24" t="str">
        <f t="shared" si="8"/>
        <v/>
      </c>
      <c r="P92" s="24" t="str">
        <f t="shared" si="17"/>
        <v/>
      </c>
      <c r="Q92" s="24"/>
      <c r="R92" s="27"/>
      <c r="S92" s="6"/>
    </row>
    <row r="93" spans="1:19" x14ac:dyDescent="0.25">
      <c r="A93" s="12" t="s">
        <v>25</v>
      </c>
      <c r="B93" s="13" t="s">
        <v>102</v>
      </c>
      <c r="C93" s="14"/>
      <c r="D93" s="10"/>
      <c r="E93" s="10"/>
      <c r="F93" s="10"/>
      <c r="G93" s="16" t="s">
        <v>152</v>
      </c>
      <c r="H93" s="29"/>
      <c r="I93" s="7"/>
      <c r="J93" s="7"/>
      <c r="K93" s="7"/>
      <c r="L93" s="7"/>
      <c r="M93" s="9"/>
      <c r="N93" s="24" t="str">
        <f t="shared" si="7"/>
        <v/>
      </c>
      <c r="O93" s="24" t="str">
        <f t="shared" si="8"/>
        <v/>
      </c>
      <c r="P93" s="24" t="str">
        <f t="shared" si="17"/>
        <v/>
      </c>
      <c r="Q93" s="24"/>
      <c r="R93" s="27"/>
      <c r="S93" s="6"/>
    </row>
    <row r="94" spans="1:19" x14ac:dyDescent="0.25">
      <c r="A94" s="12" t="s">
        <v>25</v>
      </c>
      <c r="B94" s="13" t="s">
        <v>103</v>
      </c>
      <c r="C94" s="14"/>
      <c r="D94" s="10"/>
      <c r="E94" s="10"/>
      <c r="F94" s="10"/>
      <c r="G94" s="16" t="s">
        <v>152</v>
      </c>
      <c r="H94" s="29"/>
      <c r="I94" s="7"/>
      <c r="J94" s="7"/>
      <c r="K94" s="7"/>
      <c r="L94" s="7"/>
      <c r="M94" s="9"/>
      <c r="N94" s="24" t="str">
        <f t="shared" si="7"/>
        <v/>
      </c>
      <c r="O94" s="24" t="str">
        <f t="shared" si="8"/>
        <v/>
      </c>
      <c r="P94" s="24" t="str">
        <f t="shared" si="17"/>
        <v/>
      </c>
      <c r="Q94" s="24"/>
      <c r="R94" s="27"/>
      <c r="S94" s="6"/>
    </row>
    <row r="95" spans="1:19" x14ac:dyDescent="0.25">
      <c r="A95" s="12" t="s">
        <v>25</v>
      </c>
      <c r="B95" s="13" t="s">
        <v>104</v>
      </c>
      <c r="C95" s="14"/>
      <c r="D95" s="10"/>
      <c r="E95" s="10"/>
      <c r="F95" s="10"/>
      <c r="G95" s="16" t="s">
        <v>152</v>
      </c>
      <c r="H95" s="29"/>
      <c r="I95" s="7"/>
      <c r="J95" s="7"/>
      <c r="K95" s="7"/>
      <c r="L95" s="7"/>
      <c r="M95" s="9"/>
      <c r="N95" s="24" t="str">
        <f t="shared" si="7"/>
        <v/>
      </c>
      <c r="O95" s="24" t="str">
        <f t="shared" si="8"/>
        <v/>
      </c>
      <c r="P95" s="24" t="str">
        <f t="shared" si="17"/>
        <v/>
      </c>
      <c r="Q95" s="24"/>
      <c r="R95" s="27"/>
      <c r="S95" s="6"/>
    </row>
    <row r="96" spans="1:19" x14ac:dyDescent="0.25">
      <c r="A96" s="12" t="s">
        <v>25</v>
      </c>
      <c r="B96" s="13" t="s">
        <v>105</v>
      </c>
      <c r="C96" s="14"/>
      <c r="D96" s="10"/>
      <c r="E96" s="10"/>
      <c r="F96" s="10"/>
      <c r="G96" s="16" t="s">
        <v>152</v>
      </c>
      <c r="H96" s="29"/>
      <c r="I96" s="7"/>
      <c r="J96" s="7"/>
      <c r="K96" s="7"/>
      <c r="L96" s="7"/>
      <c r="M96" s="9"/>
      <c r="N96" s="24" t="str">
        <f t="shared" si="7"/>
        <v/>
      </c>
      <c r="O96" s="24" t="str">
        <f t="shared" si="8"/>
        <v/>
      </c>
      <c r="P96" s="24" t="str">
        <f t="shared" si="17"/>
        <v/>
      </c>
      <c r="Q96" s="24"/>
      <c r="R96" s="27"/>
      <c r="S96" s="6"/>
    </row>
    <row r="97" spans="1:19" x14ac:dyDescent="0.25">
      <c r="A97" s="12"/>
      <c r="B97" s="13"/>
      <c r="C97" s="14"/>
      <c r="D97" s="10"/>
      <c r="E97" s="10"/>
      <c r="F97" s="10"/>
      <c r="G97" s="16"/>
      <c r="H97" s="29"/>
      <c r="I97" s="7"/>
      <c r="J97" s="7"/>
      <c r="K97" s="7"/>
      <c r="L97" s="7"/>
      <c r="M97" s="9"/>
      <c r="N97" s="24" t="str">
        <f t="shared" si="7"/>
        <v/>
      </c>
      <c r="O97" s="24" t="str">
        <f t="shared" si="8"/>
        <v/>
      </c>
      <c r="P97" s="24" t="str">
        <f t="shared" si="17"/>
        <v/>
      </c>
      <c r="Q97" s="24"/>
      <c r="R97" s="27"/>
      <c r="S97" s="6"/>
    </row>
    <row r="98" spans="1:19" x14ac:dyDescent="0.25">
      <c r="A98" s="31" t="s">
        <v>26</v>
      </c>
      <c r="B98" s="13"/>
      <c r="C98" s="14"/>
      <c r="D98" s="10"/>
      <c r="E98" s="10"/>
      <c r="F98" s="10"/>
      <c r="G98" s="16"/>
      <c r="H98" s="29"/>
      <c r="I98" s="7"/>
      <c r="J98" s="7"/>
      <c r="K98" s="7"/>
      <c r="L98" s="7"/>
      <c r="M98" s="9"/>
      <c r="N98" s="24" t="str">
        <f t="shared" si="7"/>
        <v/>
      </c>
      <c r="O98" s="24" t="str">
        <f t="shared" si="8"/>
        <v/>
      </c>
      <c r="P98" s="24" t="str">
        <f t="shared" si="17"/>
        <v/>
      </c>
      <c r="Q98" s="24"/>
      <c r="R98" s="27"/>
      <c r="S98" s="6"/>
    </row>
    <row r="99" spans="1:19" x14ac:dyDescent="0.25">
      <c r="A99" s="12" t="s">
        <v>27</v>
      </c>
      <c r="B99" s="13" t="s">
        <v>32</v>
      </c>
      <c r="C99" s="14"/>
      <c r="D99" s="10" t="s">
        <v>154</v>
      </c>
      <c r="E99" s="10" t="s">
        <v>154</v>
      </c>
      <c r="F99" s="10"/>
      <c r="G99" s="16"/>
      <c r="H99" s="29">
        <f>275.82-H100-H101</f>
        <v>204.24</v>
      </c>
      <c r="I99" s="7"/>
      <c r="J99" s="7"/>
      <c r="K99" s="7">
        <f>120.51+51.62-O100-O101</f>
        <v>144.32</v>
      </c>
      <c r="L99" s="7">
        <f>(1.1+1.6+0.9*2+1.1*7)+(0.8*2+3.05+2+1.1+0.8*2)</f>
        <v>21.55</v>
      </c>
      <c r="M99" s="9"/>
      <c r="N99" s="24">
        <f t="shared" si="7"/>
        <v>204.24</v>
      </c>
      <c r="O99" s="24">
        <f t="shared" si="8"/>
        <v>122.77</v>
      </c>
      <c r="P99" s="24" t="str">
        <f t="shared" si="17"/>
        <v/>
      </c>
      <c r="Q99" s="24"/>
      <c r="R99" s="27"/>
      <c r="S99" s="6"/>
    </row>
    <row r="100" spans="1:19" x14ac:dyDescent="0.25">
      <c r="A100" s="12" t="s">
        <v>27</v>
      </c>
      <c r="B100" s="13" t="s">
        <v>32</v>
      </c>
      <c r="C100" s="14"/>
      <c r="D100" s="10" t="s">
        <v>238</v>
      </c>
      <c r="E100" s="10" t="s">
        <v>238</v>
      </c>
      <c r="F100" s="10"/>
      <c r="G100" s="16"/>
      <c r="H100" s="29">
        <f>23.27+2.07+22.8</f>
        <v>48.14</v>
      </c>
      <c r="I100" s="7"/>
      <c r="J100" s="7"/>
      <c r="K100" s="7">
        <f>(5.23+0.38+0.52)+(21-3-2.8)+(20.25-1.8*2-3.2)</f>
        <v>34.78</v>
      </c>
      <c r="L100" s="7">
        <f>1.1*5+1.55+1.3</f>
        <v>8.35</v>
      </c>
      <c r="M100" s="9"/>
      <c r="N100" s="24">
        <f t="shared" ref="N100" si="24">IF(AND(D100&lt;&gt;"",H100&lt;&gt;0),H100-I100+J100,"")</f>
        <v>48.14</v>
      </c>
      <c r="O100" s="24">
        <f t="shared" ref="O100" si="25">IF(AND(E100&lt;&gt;"",K100&lt;&gt;0),K100-L100+M100,"")</f>
        <v>26.43</v>
      </c>
      <c r="P100" s="24" t="str">
        <f t="shared" si="17"/>
        <v/>
      </c>
      <c r="Q100" s="24"/>
      <c r="R100" s="27" t="s">
        <v>240</v>
      </c>
      <c r="S100" s="6"/>
    </row>
    <row r="101" spans="1:19" x14ac:dyDescent="0.25">
      <c r="A101" s="12" t="s">
        <v>27</v>
      </c>
      <c r="B101" s="13" t="s">
        <v>32</v>
      </c>
      <c r="C101" s="14"/>
      <c r="D101" s="10" t="s">
        <v>145</v>
      </c>
      <c r="E101" s="10" t="s">
        <v>145</v>
      </c>
      <c r="F101" s="10"/>
      <c r="G101" s="16"/>
      <c r="H101" s="29">
        <v>23.44</v>
      </c>
      <c r="I101" s="7"/>
      <c r="J101" s="7"/>
      <c r="K101" s="7">
        <f>0.74*2+1</f>
        <v>2.48</v>
      </c>
      <c r="L101" s="7">
        <v>1.1000000000000001</v>
      </c>
      <c r="M101" s="9"/>
      <c r="N101" s="24">
        <f t="shared" ref="N101" si="26">IF(AND(D101&lt;&gt;"",H101&lt;&gt;0),H101-I101+J101,"")</f>
        <v>23.44</v>
      </c>
      <c r="O101" s="24">
        <f t="shared" ref="O101" si="27">IF(AND(E101&lt;&gt;"",K101&lt;&gt;0),K101-L101+M101,"")</f>
        <v>1.38</v>
      </c>
      <c r="P101" s="24" t="str">
        <f t="shared" si="17"/>
        <v/>
      </c>
      <c r="Q101" s="24"/>
      <c r="R101" s="27" t="s">
        <v>239</v>
      </c>
      <c r="S101" s="6"/>
    </row>
    <row r="102" spans="1:19" x14ac:dyDescent="0.25">
      <c r="A102" s="12" t="s">
        <v>27</v>
      </c>
      <c r="B102" s="13" t="s">
        <v>33</v>
      </c>
      <c r="C102" s="14"/>
      <c r="D102" s="10" t="s">
        <v>153</v>
      </c>
      <c r="E102" s="10"/>
      <c r="F102" s="10" t="s">
        <v>275</v>
      </c>
      <c r="G102" s="16"/>
      <c r="H102" s="29">
        <v>10</v>
      </c>
      <c r="I102" s="7"/>
      <c r="J102" s="7"/>
      <c r="K102" s="7">
        <v>13.48</v>
      </c>
      <c r="L102" s="7">
        <f>0.9*2</f>
        <v>1.8</v>
      </c>
      <c r="M102" s="9"/>
      <c r="N102" s="24">
        <f t="shared" si="7"/>
        <v>10</v>
      </c>
      <c r="O102" s="24" t="str">
        <f t="shared" si="8"/>
        <v/>
      </c>
      <c r="P102" s="24">
        <f t="shared" si="17"/>
        <v>11.68</v>
      </c>
      <c r="Q102" s="24"/>
      <c r="R102" s="27"/>
      <c r="S102" s="6"/>
    </row>
    <row r="103" spans="1:19" x14ac:dyDescent="0.25">
      <c r="A103" s="12" t="s">
        <v>27</v>
      </c>
      <c r="B103" s="13" t="s">
        <v>34</v>
      </c>
      <c r="C103" s="14"/>
      <c r="D103" s="10" t="s">
        <v>154</v>
      </c>
      <c r="E103" s="10" t="s">
        <v>154</v>
      </c>
      <c r="F103" s="10"/>
      <c r="G103" s="16"/>
      <c r="H103" s="29">
        <v>19.77</v>
      </c>
      <c r="I103" s="7"/>
      <c r="J103" s="7"/>
      <c r="K103" s="7">
        <v>19.27</v>
      </c>
      <c r="L103" s="7">
        <f>0.8*2</f>
        <v>1.6</v>
      </c>
      <c r="M103" s="9"/>
      <c r="N103" s="24">
        <f t="shared" si="7"/>
        <v>19.77</v>
      </c>
      <c r="O103" s="24">
        <f t="shared" si="8"/>
        <v>17.669999999999998</v>
      </c>
      <c r="P103" s="24" t="str">
        <f t="shared" si="17"/>
        <v/>
      </c>
      <c r="Q103" s="24"/>
      <c r="R103" s="27"/>
      <c r="S103" s="6"/>
    </row>
    <row r="104" spans="1:19" x14ac:dyDescent="0.25">
      <c r="A104" s="12" t="s">
        <v>27</v>
      </c>
      <c r="B104" s="13" t="s">
        <v>35</v>
      </c>
      <c r="C104" s="14"/>
      <c r="D104" s="10" t="s">
        <v>155</v>
      </c>
      <c r="E104" s="10" t="s">
        <v>155</v>
      </c>
      <c r="F104" s="10"/>
      <c r="G104" s="16"/>
      <c r="H104" s="29">
        <v>4.3</v>
      </c>
      <c r="I104" s="7"/>
      <c r="J104" s="7"/>
      <c r="K104" s="7">
        <v>9.1</v>
      </c>
      <c r="L104" s="7">
        <v>0.8</v>
      </c>
      <c r="M104" s="9"/>
      <c r="N104" s="24">
        <f t="shared" si="7"/>
        <v>4.3</v>
      </c>
      <c r="O104" s="24">
        <f t="shared" si="8"/>
        <v>8.2999999999999989</v>
      </c>
      <c r="P104" s="24" t="str">
        <f t="shared" si="17"/>
        <v/>
      </c>
      <c r="Q104" s="24"/>
      <c r="R104" s="27"/>
      <c r="S104" s="6"/>
    </row>
    <row r="105" spans="1:19" x14ac:dyDescent="0.25">
      <c r="A105" s="12" t="s">
        <v>27</v>
      </c>
      <c r="B105" s="13" t="s">
        <v>36</v>
      </c>
      <c r="C105" s="14"/>
      <c r="D105" s="10" t="s">
        <v>155</v>
      </c>
      <c r="E105" s="10"/>
      <c r="F105" s="10"/>
      <c r="G105" s="16"/>
      <c r="H105" s="29">
        <v>1.53</v>
      </c>
      <c r="I105" s="7"/>
      <c r="J105" s="7"/>
      <c r="K105" s="7"/>
      <c r="L105" s="7"/>
      <c r="M105" s="9"/>
      <c r="N105" s="24">
        <f t="shared" si="7"/>
        <v>1.53</v>
      </c>
      <c r="O105" s="24" t="str">
        <f t="shared" si="8"/>
        <v/>
      </c>
      <c r="P105" s="24" t="str">
        <f t="shared" si="17"/>
        <v/>
      </c>
      <c r="Q105" s="24"/>
      <c r="R105" s="27"/>
      <c r="S105" s="6"/>
    </row>
    <row r="106" spans="1:19" x14ac:dyDescent="0.25">
      <c r="A106" s="12" t="s">
        <v>27</v>
      </c>
      <c r="B106" s="13" t="s">
        <v>37</v>
      </c>
      <c r="C106" s="14"/>
      <c r="D106" s="10" t="s">
        <v>155</v>
      </c>
      <c r="E106" s="10"/>
      <c r="F106" s="10"/>
      <c r="G106" s="16"/>
      <c r="H106" s="29">
        <v>4.3</v>
      </c>
      <c r="I106" s="7"/>
      <c r="J106" s="7"/>
      <c r="K106" s="7"/>
      <c r="L106" s="7"/>
      <c r="M106" s="9"/>
      <c r="N106" s="24">
        <f t="shared" si="7"/>
        <v>4.3</v>
      </c>
      <c r="O106" s="24" t="str">
        <f t="shared" si="8"/>
        <v/>
      </c>
      <c r="P106" s="24" t="str">
        <f t="shared" si="17"/>
        <v/>
      </c>
      <c r="Q106" s="24"/>
      <c r="R106" s="27"/>
      <c r="S106" s="6"/>
    </row>
    <row r="107" spans="1:19" x14ac:dyDescent="0.25">
      <c r="A107" s="12" t="s">
        <v>27</v>
      </c>
      <c r="B107" s="13" t="s">
        <v>38</v>
      </c>
      <c r="C107" s="14"/>
      <c r="D107" s="10" t="s">
        <v>153</v>
      </c>
      <c r="E107" s="10"/>
      <c r="F107" s="10" t="s">
        <v>275</v>
      </c>
      <c r="G107" s="16"/>
      <c r="H107" s="29">
        <v>15.19</v>
      </c>
      <c r="I107" s="7"/>
      <c r="J107" s="7"/>
      <c r="K107" s="7">
        <v>15.34</v>
      </c>
      <c r="L107" s="7">
        <v>1.1000000000000001</v>
      </c>
      <c r="M107" s="9"/>
      <c r="N107" s="24">
        <f t="shared" si="7"/>
        <v>15.19</v>
      </c>
      <c r="O107" s="24" t="str">
        <f t="shared" si="8"/>
        <v/>
      </c>
      <c r="P107" s="24">
        <f t="shared" si="17"/>
        <v>14.24</v>
      </c>
      <c r="Q107" s="24"/>
      <c r="R107" s="27"/>
      <c r="S107" s="6"/>
    </row>
    <row r="108" spans="1:19" x14ac:dyDescent="0.25">
      <c r="A108" s="12" t="s">
        <v>27</v>
      </c>
      <c r="B108" s="13" t="s">
        <v>39</v>
      </c>
      <c r="C108" s="14"/>
      <c r="D108" s="10" t="s">
        <v>156</v>
      </c>
      <c r="E108" s="10" t="s">
        <v>156</v>
      </c>
      <c r="F108" s="10"/>
      <c r="G108" s="16"/>
      <c r="H108" s="29">
        <v>24</v>
      </c>
      <c r="I108" s="7"/>
      <c r="J108" s="7"/>
      <c r="K108" s="7">
        <v>21.64</v>
      </c>
      <c r="L108" s="7">
        <f>1.1+1</f>
        <v>2.1</v>
      </c>
      <c r="M108" s="9"/>
      <c r="N108" s="24">
        <f t="shared" si="7"/>
        <v>24</v>
      </c>
      <c r="O108" s="24">
        <f t="shared" si="8"/>
        <v>19.54</v>
      </c>
      <c r="P108" s="24" t="str">
        <f t="shared" si="17"/>
        <v/>
      </c>
      <c r="Q108" s="24"/>
      <c r="R108" s="27"/>
      <c r="S108" s="6"/>
    </row>
    <row r="109" spans="1:19" x14ac:dyDescent="0.25">
      <c r="A109" s="12" t="s">
        <v>27</v>
      </c>
      <c r="B109" s="13" t="s">
        <v>40</v>
      </c>
      <c r="C109" s="14"/>
      <c r="D109" s="10" t="s">
        <v>157</v>
      </c>
      <c r="E109" s="10"/>
      <c r="F109" s="10" t="s">
        <v>275</v>
      </c>
      <c r="G109" s="16"/>
      <c r="H109" s="29">
        <v>4.8499999999999996</v>
      </c>
      <c r="I109" s="7"/>
      <c r="J109" s="7"/>
      <c r="K109" s="7">
        <v>8.8000000000000007</v>
      </c>
      <c r="L109" s="7">
        <v>1</v>
      </c>
      <c r="M109" s="9"/>
      <c r="N109" s="24">
        <f t="shared" ref="N109:N165" si="28">IF(AND(D109&lt;&gt;"",H109&lt;&gt;0),H109-I109+J109,"")</f>
        <v>4.8499999999999996</v>
      </c>
      <c r="O109" s="24" t="str">
        <f t="shared" ref="O109:O165" si="29">IF(AND(E109&lt;&gt;"",K109&lt;&gt;0),K109-L109+M109,"")</f>
        <v/>
      </c>
      <c r="P109" s="24">
        <f t="shared" si="17"/>
        <v>7.8000000000000007</v>
      </c>
      <c r="Q109" s="24"/>
      <c r="R109" s="27"/>
      <c r="S109" s="6"/>
    </row>
    <row r="110" spans="1:19" x14ac:dyDescent="0.25">
      <c r="A110" s="12" t="s">
        <v>27</v>
      </c>
      <c r="B110" s="13" t="s">
        <v>42</v>
      </c>
      <c r="C110" s="14"/>
      <c r="D110" s="10" t="s">
        <v>156</v>
      </c>
      <c r="E110" s="10" t="s">
        <v>156</v>
      </c>
      <c r="F110" s="10"/>
      <c r="G110" s="16"/>
      <c r="H110" s="29">
        <v>24</v>
      </c>
      <c r="I110" s="7"/>
      <c r="J110" s="7"/>
      <c r="K110" s="7">
        <v>21.68</v>
      </c>
      <c r="L110" s="7">
        <f>1.1+1</f>
        <v>2.1</v>
      </c>
      <c r="M110" s="9"/>
      <c r="N110" s="24">
        <f t="shared" si="28"/>
        <v>24</v>
      </c>
      <c r="O110" s="24">
        <f t="shared" si="29"/>
        <v>19.579999999999998</v>
      </c>
      <c r="P110" s="24" t="str">
        <f t="shared" si="17"/>
        <v/>
      </c>
      <c r="Q110" s="24"/>
      <c r="R110" s="27"/>
      <c r="S110" s="6"/>
    </row>
    <row r="111" spans="1:19" x14ac:dyDescent="0.25">
      <c r="A111" s="12" t="s">
        <v>27</v>
      </c>
      <c r="B111" s="13" t="s">
        <v>45</v>
      </c>
      <c r="C111" s="14"/>
      <c r="D111" s="10" t="s">
        <v>157</v>
      </c>
      <c r="E111" s="10"/>
      <c r="F111" s="10" t="s">
        <v>275</v>
      </c>
      <c r="G111" s="16"/>
      <c r="H111" s="29">
        <v>4.8499999999999996</v>
      </c>
      <c r="I111" s="7"/>
      <c r="J111" s="7"/>
      <c r="K111" s="7">
        <v>8.8000000000000007</v>
      </c>
      <c r="L111" s="7">
        <v>1</v>
      </c>
      <c r="M111" s="9"/>
      <c r="N111" s="24">
        <f t="shared" si="28"/>
        <v>4.8499999999999996</v>
      </c>
      <c r="O111" s="24" t="str">
        <f t="shared" si="29"/>
        <v/>
      </c>
      <c r="P111" s="24">
        <f t="shared" si="17"/>
        <v>7.8000000000000007</v>
      </c>
      <c r="Q111" s="24"/>
      <c r="R111" s="27"/>
      <c r="S111" s="6"/>
    </row>
    <row r="112" spans="1:19" x14ac:dyDescent="0.25">
      <c r="A112" s="12" t="s">
        <v>27</v>
      </c>
      <c r="B112" s="13" t="s">
        <v>47</v>
      </c>
      <c r="C112" s="14"/>
      <c r="D112" s="10" t="s">
        <v>156</v>
      </c>
      <c r="E112" s="10" t="s">
        <v>156</v>
      </c>
      <c r="F112" s="10"/>
      <c r="G112" s="16"/>
      <c r="H112" s="29">
        <v>23.98</v>
      </c>
      <c r="I112" s="7"/>
      <c r="J112" s="7"/>
      <c r="K112" s="7">
        <v>21.67</v>
      </c>
      <c r="L112" s="7">
        <f>1.1+1</f>
        <v>2.1</v>
      </c>
      <c r="M112" s="9"/>
      <c r="N112" s="24">
        <f t="shared" si="28"/>
        <v>23.98</v>
      </c>
      <c r="O112" s="24">
        <f t="shared" si="29"/>
        <v>19.57</v>
      </c>
      <c r="P112" s="24" t="str">
        <f t="shared" si="17"/>
        <v/>
      </c>
      <c r="Q112" s="24"/>
      <c r="R112" s="27"/>
      <c r="S112" s="6"/>
    </row>
    <row r="113" spans="1:19" x14ac:dyDescent="0.25">
      <c r="A113" s="12" t="s">
        <v>27</v>
      </c>
      <c r="B113" s="13" t="s">
        <v>48</v>
      </c>
      <c r="C113" s="14"/>
      <c r="D113" s="10" t="s">
        <v>157</v>
      </c>
      <c r="E113" s="10"/>
      <c r="F113" s="10" t="s">
        <v>275</v>
      </c>
      <c r="G113" s="16"/>
      <c r="H113" s="29">
        <v>4.8499999999999996</v>
      </c>
      <c r="I113" s="7"/>
      <c r="J113" s="7"/>
      <c r="K113" s="7">
        <v>8.8000000000000007</v>
      </c>
      <c r="L113" s="7">
        <v>1</v>
      </c>
      <c r="M113" s="9"/>
      <c r="N113" s="24">
        <f t="shared" si="28"/>
        <v>4.8499999999999996</v>
      </c>
      <c r="O113" s="24" t="str">
        <f t="shared" si="29"/>
        <v/>
      </c>
      <c r="P113" s="24">
        <f t="shared" si="17"/>
        <v>7.8000000000000007</v>
      </c>
      <c r="Q113" s="24"/>
      <c r="R113" s="27"/>
      <c r="S113" s="6"/>
    </row>
    <row r="114" spans="1:19" x14ac:dyDescent="0.25">
      <c r="A114" s="12" t="s">
        <v>27</v>
      </c>
      <c r="B114" s="13" t="s">
        <v>49</v>
      </c>
      <c r="C114" s="14"/>
      <c r="D114" s="10" t="s">
        <v>156</v>
      </c>
      <c r="E114" s="10" t="s">
        <v>156</v>
      </c>
      <c r="F114" s="10"/>
      <c r="G114" s="16"/>
      <c r="H114" s="29">
        <v>24</v>
      </c>
      <c r="I114" s="7"/>
      <c r="J114" s="7"/>
      <c r="K114" s="7">
        <v>21.68</v>
      </c>
      <c r="L114" s="7">
        <f>1.1+1</f>
        <v>2.1</v>
      </c>
      <c r="M114" s="9"/>
      <c r="N114" s="24">
        <f t="shared" si="28"/>
        <v>24</v>
      </c>
      <c r="O114" s="24">
        <f t="shared" si="29"/>
        <v>19.579999999999998</v>
      </c>
      <c r="P114" s="24" t="str">
        <f t="shared" si="17"/>
        <v/>
      </c>
      <c r="Q114" s="24"/>
      <c r="R114" s="27"/>
      <c r="S114" s="6"/>
    </row>
    <row r="115" spans="1:19" x14ac:dyDescent="0.25">
      <c r="A115" s="12" t="s">
        <v>27</v>
      </c>
      <c r="B115" s="13" t="s">
        <v>50</v>
      </c>
      <c r="C115" s="14"/>
      <c r="D115" s="10" t="s">
        <v>157</v>
      </c>
      <c r="E115" s="10"/>
      <c r="F115" s="10" t="s">
        <v>275</v>
      </c>
      <c r="G115" s="16"/>
      <c r="H115" s="29">
        <v>4.8499999999999996</v>
      </c>
      <c r="I115" s="7"/>
      <c r="J115" s="7"/>
      <c r="K115" s="7">
        <v>8.8000000000000007</v>
      </c>
      <c r="L115" s="7">
        <v>1</v>
      </c>
      <c r="M115" s="9"/>
      <c r="N115" s="24">
        <f t="shared" si="28"/>
        <v>4.8499999999999996</v>
      </c>
      <c r="O115" s="24" t="str">
        <f t="shared" si="29"/>
        <v/>
      </c>
      <c r="P115" s="24">
        <f t="shared" si="17"/>
        <v>7.8000000000000007</v>
      </c>
      <c r="Q115" s="24"/>
      <c r="R115" s="27"/>
      <c r="S115" s="6"/>
    </row>
    <row r="116" spans="1:19" x14ac:dyDescent="0.25">
      <c r="A116" s="12" t="s">
        <v>27</v>
      </c>
      <c r="B116" s="13" t="s">
        <v>51</v>
      </c>
      <c r="C116" s="14"/>
      <c r="D116" s="10" t="s">
        <v>156</v>
      </c>
      <c r="E116" s="10" t="s">
        <v>156</v>
      </c>
      <c r="F116" s="10"/>
      <c r="G116" s="16"/>
      <c r="H116" s="29">
        <v>25.31</v>
      </c>
      <c r="I116" s="7"/>
      <c r="J116" s="7"/>
      <c r="K116" s="7">
        <v>22.78</v>
      </c>
      <c r="L116" s="7">
        <f>1.1+1</f>
        <v>2.1</v>
      </c>
      <c r="M116" s="9"/>
      <c r="N116" s="24">
        <f t="shared" si="28"/>
        <v>25.31</v>
      </c>
      <c r="O116" s="24">
        <f t="shared" si="29"/>
        <v>20.68</v>
      </c>
      <c r="P116" s="24" t="str">
        <f t="shared" si="17"/>
        <v/>
      </c>
      <c r="Q116" s="24"/>
      <c r="R116" s="27"/>
      <c r="S116" s="6"/>
    </row>
    <row r="117" spans="1:19" x14ac:dyDescent="0.25">
      <c r="A117" s="12" t="s">
        <v>27</v>
      </c>
      <c r="B117" s="13" t="s">
        <v>52</v>
      </c>
      <c r="C117" s="14"/>
      <c r="D117" s="10" t="s">
        <v>157</v>
      </c>
      <c r="E117" s="10"/>
      <c r="F117" s="10" t="s">
        <v>275</v>
      </c>
      <c r="G117" s="16"/>
      <c r="H117" s="29">
        <v>4.8899999999999997</v>
      </c>
      <c r="I117" s="7"/>
      <c r="J117" s="7"/>
      <c r="K117" s="7">
        <v>8.8000000000000007</v>
      </c>
      <c r="L117" s="7">
        <v>1</v>
      </c>
      <c r="M117" s="9"/>
      <c r="N117" s="24">
        <f t="shared" si="28"/>
        <v>4.8899999999999997</v>
      </c>
      <c r="O117" s="24" t="str">
        <f t="shared" si="29"/>
        <v/>
      </c>
      <c r="P117" s="24">
        <f t="shared" si="17"/>
        <v>7.8000000000000007</v>
      </c>
      <c r="Q117" s="24"/>
      <c r="R117" s="27"/>
      <c r="S117" s="6"/>
    </row>
    <row r="118" spans="1:19" x14ac:dyDescent="0.25">
      <c r="A118" s="12" t="s">
        <v>27</v>
      </c>
      <c r="B118" s="13" t="s">
        <v>53</v>
      </c>
      <c r="C118" s="14"/>
      <c r="D118" s="10" t="s">
        <v>158</v>
      </c>
      <c r="E118" s="10" t="s">
        <v>158</v>
      </c>
      <c r="F118" s="10"/>
      <c r="G118" s="16"/>
      <c r="H118" s="29">
        <v>13.1</v>
      </c>
      <c r="I118" s="7"/>
      <c r="J118" s="7"/>
      <c r="K118" s="7">
        <v>18.89</v>
      </c>
      <c r="L118" s="7">
        <f>1.7+1.3+1.1+2.5</f>
        <v>6.6</v>
      </c>
      <c r="M118" s="9"/>
      <c r="N118" s="24">
        <f t="shared" si="28"/>
        <v>13.1</v>
      </c>
      <c r="O118" s="24">
        <f t="shared" si="29"/>
        <v>12.290000000000001</v>
      </c>
      <c r="P118" s="24" t="str">
        <f t="shared" si="17"/>
        <v/>
      </c>
      <c r="Q118" s="24"/>
      <c r="R118" s="27"/>
      <c r="S118" s="6"/>
    </row>
    <row r="119" spans="1:19" x14ac:dyDescent="0.25">
      <c r="A119" s="12" t="s">
        <v>27</v>
      </c>
      <c r="B119" s="13" t="s">
        <v>54</v>
      </c>
      <c r="C119" s="14"/>
      <c r="D119" s="10" t="s">
        <v>156</v>
      </c>
      <c r="E119" s="10" t="s">
        <v>156</v>
      </c>
      <c r="F119" s="10"/>
      <c r="G119" s="16"/>
      <c r="H119" s="29">
        <v>26.18</v>
      </c>
      <c r="I119" s="7"/>
      <c r="J119" s="7"/>
      <c r="K119" s="7">
        <v>25.33</v>
      </c>
      <c r="L119" s="7">
        <f>1.1+1</f>
        <v>2.1</v>
      </c>
      <c r="M119" s="9"/>
      <c r="N119" s="24">
        <f t="shared" si="28"/>
        <v>26.18</v>
      </c>
      <c r="O119" s="24">
        <f t="shared" si="29"/>
        <v>23.229999999999997</v>
      </c>
      <c r="P119" s="24" t="str">
        <f t="shared" si="17"/>
        <v/>
      </c>
      <c r="Q119" s="24"/>
      <c r="R119" s="27"/>
      <c r="S119" s="6"/>
    </row>
    <row r="120" spans="1:19" x14ac:dyDescent="0.25">
      <c r="A120" s="12" t="s">
        <v>27</v>
      </c>
      <c r="B120" s="13" t="s">
        <v>55</v>
      </c>
      <c r="C120" s="14"/>
      <c r="D120" s="10" t="s">
        <v>157</v>
      </c>
      <c r="E120" s="10"/>
      <c r="F120" s="10" t="s">
        <v>275</v>
      </c>
      <c r="G120" s="16"/>
      <c r="H120" s="29">
        <v>4.9000000000000004</v>
      </c>
      <c r="I120" s="7"/>
      <c r="J120" s="7"/>
      <c r="K120" s="7">
        <v>8.8000000000000007</v>
      </c>
      <c r="L120" s="7">
        <v>1</v>
      </c>
      <c r="M120" s="9"/>
      <c r="N120" s="24">
        <f t="shared" si="28"/>
        <v>4.9000000000000004</v>
      </c>
      <c r="O120" s="24" t="str">
        <f t="shared" si="29"/>
        <v/>
      </c>
      <c r="P120" s="24">
        <f t="shared" si="17"/>
        <v>7.8000000000000007</v>
      </c>
      <c r="Q120" s="24"/>
      <c r="R120" s="27"/>
      <c r="S120" s="6"/>
    </row>
    <row r="121" spans="1:19" x14ac:dyDescent="0.25">
      <c r="A121" s="12" t="s">
        <v>27</v>
      </c>
      <c r="B121" s="13" t="s">
        <v>56</v>
      </c>
      <c r="C121" s="14"/>
      <c r="D121" s="10" t="s">
        <v>160</v>
      </c>
      <c r="E121" s="10" t="s">
        <v>160</v>
      </c>
      <c r="F121" s="10"/>
      <c r="G121" s="16"/>
      <c r="H121" s="29">
        <f>24-H122</f>
        <v>21.06</v>
      </c>
      <c r="I121" s="7"/>
      <c r="J121" s="7"/>
      <c r="K121" s="7">
        <f>21.68-O122</f>
        <v>13.879999999999999</v>
      </c>
      <c r="L121" s="7">
        <f>1.1+1</f>
        <v>2.1</v>
      </c>
      <c r="M121" s="9"/>
      <c r="N121" s="24">
        <f t="shared" si="28"/>
        <v>21.06</v>
      </c>
      <c r="O121" s="24">
        <f t="shared" si="29"/>
        <v>11.78</v>
      </c>
      <c r="P121" s="24" t="str">
        <f t="shared" si="17"/>
        <v/>
      </c>
      <c r="Q121" s="24"/>
      <c r="R121" s="27"/>
      <c r="S121" s="6"/>
    </row>
    <row r="122" spans="1:19" x14ac:dyDescent="0.25">
      <c r="A122" s="12" t="s">
        <v>27</v>
      </c>
      <c r="B122" s="13" t="s">
        <v>56</v>
      </c>
      <c r="C122" s="14"/>
      <c r="D122" s="10" t="s">
        <v>156</v>
      </c>
      <c r="E122" s="10" t="s">
        <v>156</v>
      </c>
      <c r="F122" s="10"/>
      <c r="G122" s="16"/>
      <c r="H122" s="29">
        <v>2.94</v>
      </c>
      <c r="I122" s="7"/>
      <c r="J122" s="7"/>
      <c r="K122" s="7">
        <f>1.15+6.65</f>
        <v>7.8000000000000007</v>
      </c>
      <c r="L122" s="7"/>
      <c r="M122" s="9"/>
      <c r="N122" s="24">
        <f t="shared" ref="N122" si="30">IF(AND(D122&lt;&gt;"",H122&lt;&gt;0),H122-I122+J122,"")</f>
        <v>2.94</v>
      </c>
      <c r="O122" s="24">
        <f t="shared" ref="O122" si="31">IF(AND(E122&lt;&gt;"",K122&lt;&gt;0),K122-L122+M122,"")</f>
        <v>7.8000000000000007</v>
      </c>
      <c r="P122" s="24" t="str">
        <f t="shared" si="17"/>
        <v/>
      </c>
      <c r="Q122" s="24"/>
      <c r="R122" s="27" t="s">
        <v>239</v>
      </c>
      <c r="S122" s="6"/>
    </row>
    <row r="123" spans="1:19" x14ac:dyDescent="0.25">
      <c r="A123" s="12" t="s">
        <v>27</v>
      </c>
      <c r="B123" s="13" t="s">
        <v>57</v>
      </c>
      <c r="C123" s="14"/>
      <c r="D123" s="10" t="s">
        <v>159</v>
      </c>
      <c r="E123" s="10"/>
      <c r="F123" s="10" t="s">
        <v>275</v>
      </c>
      <c r="G123" s="16"/>
      <c r="H123" s="29">
        <v>4.8499999999999996</v>
      </c>
      <c r="I123" s="7"/>
      <c r="J123" s="7"/>
      <c r="K123" s="7">
        <v>8.8000000000000007</v>
      </c>
      <c r="L123" s="7">
        <v>1</v>
      </c>
      <c r="M123" s="9"/>
      <c r="N123" s="24">
        <f t="shared" si="28"/>
        <v>4.8499999999999996</v>
      </c>
      <c r="O123" s="24" t="str">
        <f t="shared" si="29"/>
        <v/>
      </c>
      <c r="P123" s="24">
        <f t="shared" si="17"/>
        <v>7.8000000000000007</v>
      </c>
      <c r="Q123" s="24"/>
      <c r="R123" s="27"/>
      <c r="S123" s="6"/>
    </row>
    <row r="124" spans="1:19" x14ac:dyDescent="0.25">
      <c r="A124" s="12" t="s">
        <v>27</v>
      </c>
      <c r="B124" s="13" t="s">
        <v>58</v>
      </c>
      <c r="C124" s="14"/>
      <c r="D124" s="10" t="s">
        <v>160</v>
      </c>
      <c r="E124" s="10" t="s">
        <v>160</v>
      </c>
      <c r="F124" s="10"/>
      <c r="G124" s="16"/>
      <c r="H124" s="29">
        <v>23.89</v>
      </c>
      <c r="I124" s="7"/>
      <c r="J124" s="7"/>
      <c r="K124" s="7">
        <v>21.68</v>
      </c>
      <c r="L124" s="7">
        <f>1.1+1</f>
        <v>2.1</v>
      </c>
      <c r="M124" s="9"/>
      <c r="N124" s="24">
        <f t="shared" si="28"/>
        <v>23.89</v>
      </c>
      <c r="O124" s="24">
        <f t="shared" si="29"/>
        <v>19.579999999999998</v>
      </c>
      <c r="P124" s="24" t="str">
        <f t="shared" si="17"/>
        <v/>
      </c>
      <c r="Q124" s="24"/>
      <c r="R124" s="27"/>
      <c r="S124" s="6"/>
    </row>
    <row r="125" spans="1:19" x14ac:dyDescent="0.25">
      <c r="A125" s="12" t="s">
        <v>27</v>
      </c>
      <c r="B125" s="13" t="s">
        <v>60</v>
      </c>
      <c r="C125" s="14"/>
      <c r="D125" s="10" t="s">
        <v>159</v>
      </c>
      <c r="E125" s="10"/>
      <c r="F125" s="10" t="s">
        <v>275</v>
      </c>
      <c r="G125" s="16"/>
      <c r="H125" s="29">
        <v>4.8499999999999996</v>
      </c>
      <c r="I125" s="7"/>
      <c r="J125" s="7"/>
      <c r="K125" s="7">
        <v>8.8000000000000007</v>
      </c>
      <c r="L125" s="7">
        <v>1</v>
      </c>
      <c r="M125" s="9"/>
      <c r="N125" s="24">
        <f t="shared" si="28"/>
        <v>4.8499999999999996</v>
      </c>
      <c r="O125" s="24" t="str">
        <f t="shared" si="29"/>
        <v/>
      </c>
      <c r="P125" s="24">
        <f t="shared" si="17"/>
        <v>7.8000000000000007</v>
      </c>
      <c r="Q125" s="24"/>
      <c r="R125" s="27"/>
      <c r="S125" s="6"/>
    </row>
    <row r="126" spans="1:19" x14ac:dyDescent="0.25">
      <c r="A126" s="12" t="s">
        <v>27</v>
      </c>
      <c r="B126" s="13" t="s">
        <v>61</v>
      </c>
      <c r="C126" s="14"/>
      <c r="D126" s="10" t="s">
        <v>160</v>
      </c>
      <c r="E126" s="10" t="s">
        <v>160</v>
      </c>
      <c r="F126" s="10"/>
      <c r="G126" s="16"/>
      <c r="H126" s="29">
        <v>23.95</v>
      </c>
      <c r="I126" s="7"/>
      <c r="J126" s="7"/>
      <c r="K126" s="7">
        <v>21.68</v>
      </c>
      <c r="L126" s="7">
        <f>1.1+1</f>
        <v>2.1</v>
      </c>
      <c r="M126" s="9"/>
      <c r="N126" s="24">
        <f t="shared" si="28"/>
        <v>23.95</v>
      </c>
      <c r="O126" s="24">
        <f t="shared" si="29"/>
        <v>19.579999999999998</v>
      </c>
      <c r="P126" s="24" t="str">
        <f t="shared" si="17"/>
        <v/>
      </c>
      <c r="Q126" s="24"/>
      <c r="R126" s="27"/>
      <c r="S126" s="6"/>
    </row>
    <row r="127" spans="1:19" x14ac:dyDescent="0.25">
      <c r="A127" s="12" t="s">
        <v>27</v>
      </c>
      <c r="B127" s="13" t="s">
        <v>62</v>
      </c>
      <c r="C127" s="14"/>
      <c r="D127" s="10" t="s">
        <v>159</v>
      </c>
      <c r="E127" s="10"/>
      <c r="F127" s="10" t="s">
        <v>275</v>
      </c>
      <c r="G127" s="16"/>
      <c r="H127" s="29">
        <v>4.8499999999999996</v>
      </c>
      <c r="I127" s="7"/>
      <c r="J127" s="7"/>
      <c r="K127" s="7">
        <v>8.8000000000000007</v>
      </c>
      <c r="L127" s="7">
        <v>1</v>
      </c>
      <c r="M127" s="9"/>
      <c r="N127" s="24">
        <f t="shared" si="28"/>
        <v>4.8499999999999996</v>
      </c>
      <c r="O127" s="24" t="str">
        <f t="shared" si="29"/>
        <v/>
      </c>
      <c r="P127" s="24">
        <f t="shared" si="17"/>
        <v>7.8000000000000007</v>
      </c>
      <c r="Q127" s="24"/>
      <c r="R127" s="27"/>
      <c r="S127" s="6"/>
    </row>
    <row r="128" spans="1:19" x14ac:dyDescent="0.25">
      <c r="A128" s="12" t="s">
        <v>27</v>
      </c>
      <c r="B128" s="13" t="s">
        <v>63</v>
      </c>
      <c r="C128" s="14"/>
      <c r="D128" s="10" t="s">
        <v>160</v>
      </c>
      <c r="E128" s="10" t="s">
        <v>160</v>
      </c>
      <c r="F128" s="10"/>
      <c r="G128" s="16"/>
      <c r="H128" s="29">
        <v>23.94</v>
      </c>
      <c r="I128" s="7"/>
      <c r="J128" s="7"/>
      <c r="K128" s="7">
        <v>21.68</v>
      </c>
      <c r="L128" s="7">
        <f>1.1+1</f>
        <v>2.1</v>
      </c>
      <c r="M128" s="9"/>
      <c r="N128" s="24">
        <f t="shared" si="28"/>
        <v>23.94</v>
      </c>
      <c r="O128" s="24">
        <f t="shared" si="29"/>
        <v>19.579999999999998</v>
      </c>
      <c r="P128" s="24" t="str">
        <f t="shared" si="17"/>
        <v/>
      </c>
      <c r="Q128" s="24"/>
      <c r="R128" s="27"/>
      <c r="S128" s="6"/>
    </row>
    <row r="129" spans="1:19" x14ac:dyDescent="0.25">
      <c r="A129" s="12" t="s">
        <v>27</v>
      </c>
      <c r="B129" s="13" t="s">
        <v>64</v>
      </c>
      <c r="C129" s="14"/>
      <c r="D129" s="10" t="s">
        <v>159</v>
      </c>
      <c r="E129" s="10"/>
      <c r="F129" s="10" t="s">
        <v>275</v>
      </c>
      <c r="G129" s="16"/>
      <c r="H129" s="29">
        <v>4.8499999999999996</v>
      </c>
      <c r="I129" s="7"/>
      <c r="J129" s="7"/>
      <c r="K129" s="7">
        <v>8.8000000000000007</v>
      </c>
      <c r="L129" s="7">
        <v>1</v>
      </c>
      <c r="M129" s="9"/>
      <c r="N129" s="24">
        <f t="shared" si="28"/>
        <v>4.8499999999999996</v>
      </c>
      <c r="O129" s="24" t="str">
        <f t="shared" si="29"/>
        <v/>
      </c>
      <c r="P129" s="24">
        <f t="shared" si="17"/>
        <v>7.8000000000000007</v>
      </c>
      <c r="Q129" s="24"/>
      <c r="R129" s="27"/>
      <c r="S129" s="6"/>
    </row>
    <row r="130" spans="1:19" x14ac:dyDescent="0.25">
      <c r="A130" s="12" t="s">
        <v>27</v>
      </c>
      <c r="B130" s="13" t="s">
        <v>65</v>
      </c>
      <c r="C130" s="14"/>
      <c r="D130" s="10" t="s">
        <v>160</v>
      </c>
      <c r="E130" s="10" t="s">
        <v>160</v>
      </c>
      <c r="F130" s="10"/>
      <c r="G130" s="16"/>
      <c r="H130" s="29">
        <v>24.02</v>
      </c>
      <c r="I130" s="7"/>
      <c r="J130" s="7"/>
      <c r="K130" s="7">
        <v>21.68</v>
      </c>
      <c r="L130" s="7">
        <f>1.1+1</f>
        <v>2.1</v>
      </c>
      <c r="M130" s="9"/>
      <c r="N130" s="24">
        <f t="shared" si="28"/>
        <v>24.02</v>
      </c>
      <c r="O130" s="24">
        <f t="shared" si="29"/>
        <v>19.579999999999998</v>
      </c>
      <c r="P130" s="24" t="str">
        <f t="shared" si="17"/>
        <v/>
      </c>
      <c r="Q130" s="24"/>
      <c r="R130" s="27"/>
      <c r="S130" s="6"/>
    </row>
    <row r="131" spans="1:19" x14ac:dyDescent="0.25">
      <c r="A131" s="12" t="s">
        <v>27</v>
      </c>
      <c r="B131" s="13" t="s">
        <v>66</v>
      </c>
      <c r="C131" s="14"/>
      <c r="D131" s="10" t="s">
        <v>159</v>
      </c>
      <c r="E131" s="10"/>
      <c r="F131" s="10" t="s">
        <v>275</v>
      </c>
      <c r="G131" s="16"/>
      <c r="H131" s="29">
        <v>4.8499999999999996</v>
      </c>
      <c r="I131" s="7"/>
      <c r="J131" s="7"/>
      <c r="K131" s="7">
        <v>8.8000000000000007</v>
      </c>
      <c r="L131" s="7">
        <v>1</v>
      </c>
      <c r="M131" s="9"/>
      <c r="N131" s="24">
        <f t="shared" si="28"/>
        <v>4.8499999999999996</v>
      </c>
      <c r="O131" s="24" t="str">
        <f t="shared" si="29"/>
        <v/>
      </c>
      <c r="P131" s="24">
        <f t="shared" si="17"/>
        <v>7.8000000000000007</v>
      </c>
      <c r="Q131" s="24"/>
      <c r="R131" s="27"/>
      <c r="S131" s="6"/>
    </row>
    <row r="132" spans="1:19" x14ac:dyDescent="0.25">
      <c r="A132" s="12" t="s">
        <v>27</v>
      </c>
      <c r="B132" s="13" t="s">
        <v>67</v>
      </c>
      <c r="C132" s="14"/>
      <c r="D132" s="10" t="s">
        <v>160</v>
      </c>
      <c r="E132" s="10" t="s">
        <v>160</v>
      </c>
      <c r="F132" s="10"/>
      <c r="G132" s="16"/>
      <c r="H132" s="29">
        <v>24</v>
      </c>
      <c r="I132" s="7"/>
      <c r="J132" s="7"/>
      <c r="K132" s="7">
        <v>21.68</v>
      </c>
      <c r="L132" s="7">
        <f>1.1+1</f>
        <v>2.1</v>
      </c>
      <c r="M132" s="9"/>
      <c r="N132" s="24">
        <f t="shared" si="28"/>
        <v>24</v>
      </c>
      <c r="O132" s="24">
        <f t="shared" si="29"/>
        <v>19.579999999999998</v>
      </c>
      <c r="P132" s="24" t="str">
        <f t="shared" si="17"/>
        <v/>
      </c>
      <c r="Q132" s="24"/>
      <c r="R132" s="27"/>
      <c r="S132" s="6"/>
    </row>
    <row r="133" spans="1:19" x14ac:dyDescent="0.25">
      <c r="A133" s="12" t="s">
        <v>27</v>
      </c>
      <c r="B133" s="13" t="s">
        <v>68</v>
      </c>
      <c r="C133" s="14"/>
      <c r="D133" s="10" t="s">
        <v>159</v>
      </c>
      <c r="E133" s="10"/>
      <c r="F133" s="10" t="s">
        <v>275</v>
      </c>
      <c r="G133" s="16"/>
      <c r="H133" s="29">
        <v>4.83</v>
      </c>
      <c r="I133" s="7"/>
      <c r="J133" s="7"/>
      <c r="K133" s="7">
        <v>8.8000000000000007</v>
      </c>
      <c r="L133" s="7">
        <v>1</v>
      </c>
      <c r="M133" s="9"/>
      <c r="N133" s="24">
        <f t="shared" si="28"/>
        <v>4.83</v>
      </c>
      <c r="O133" s="24" t="str">
        <f t="shared" si="29"/>
        <v/>
      </c>
      <c r="P133" s="24">
        <f t="shared" si="17"/>
        <v>7.8000000000000007</v>
      </c>
      <c r="Q133" s="24"/>
      <c r="R133" s="27"/>
      <c r="S133" s="6"/>
    </row>
    <row r="134" spans="1:19" x14ac:dyDescent="0.25">
      <c r="A134" s="12" t="s">
        <v>27</v>
      </c>
      <c r="B134" s="13" t="s">
        <v>69</v>
      </c>
      <c r="C134" s="14"/>
      <c r="D134" s="10" t="s">
        <v>160</v>
      </c>
      <c r="E134" s="10" t="s">
        <v>160</v>
      </c>
      <c r="F134" s="10"/>
      <c r="G134" s="16"/>
      <c r="H134" s="29">
        <v>24</v>
      </c>
      <c r="I134" s="7"/>
      <c r="J134" s="7"/>
      <c r="K134" s="7">
        <v>21.68</v>
      </c>
      <c r="L134" s="7">
        <f>1.1+1</f>
        <v>2.1</v>
      </c>
      <c r="M134" s="9"/>
      <c r="N134" s="24">
        <f t="shared" si="28"/>
        <v>24</v>
      </c>
      <c r="O134" s="24">
        <f t="shared" si="29"/>
        <v>19.579999999999998</v>
      </c>
      <c r="P134" s="24" t="str">
        <f t="shared" si="17"/>
        <v/>
      </c>
      <c r="Q134" s="24"/>
      <c r="R134" s="27"/>
      <c r="S134" s="6"/>
    </row>
    <row r="135" spans="1:19" x14ac:dyDescent="0.25">
      <c r="A135" s="12" t="s">
        <v>27</v>
      </c>
      <c r="B135" s="13" t="s">
        <v>70</v>
      </c>
      <c r="C135" s="14"/>
      <c r="D135" s="10" t="s">
        <v>159</v>
      </c>
      <c r="E135" s="10"/>
      <c r="F135" s="10" t="s">
        <v>275</v>
      </c>
      <c r="G135" s="16"/>
      <c r="H135" s="29">
        <v>4.8499999999999996</v>
      </c>
      <c r="I135" s="7"/>
      <c r="J135" s="7"/>
      <c r="K135" s="7">
        <v>8.8000000000000007</v>
      </c>
      <c r="L135" s="7">
        <v>1</v>
      </c>
      <c r="M135" s="9"/>
      <c r="N135" s="24">
        <f t="shared" si="28"/>
        <v>4.8499999999999996</v>
      </c>
      <c r="O135" s="24" t="str">
        <f t="shared" si="29"/>
        <v/>
      </c>
      <c r="P135" s="24">
        <f t="shared" si="17"/>
        <v>7.8000000000000007</v>
      </c>
      <c r="Q135" s="24"/>
      <c r="R135" s="27"/>
      <c r="S135" s="6"/>
    </row>
    <row r="136" spans="1:19" x14ac:dyDescent="0.25">
      <c r="A136" s="12" t="s">
        <v>27</v>
      </c>
      <c r="B136" s="13" t="s">
        <v>72</v>
      </c>
      <c r="C136" s="14"/>
      <c r="D136" s="10" t="s">
        <v>160</v>
      </c>
      <c r="E136" s="10" t="s">
        <v>160</v>
      </c>
      <c r="F136" s="10"/>
      <c r="G136" s="16"/>
      <c r="H136" s="29">
        <v>22</v>
      </c>
      <c r="I136" s="7"/>
      <c r="J136" s="7"/>
      <c r="K136" s="7">
        <v>20.260000000000002</v>
      </c>
      <c r="L136" s="7">
        <f>1.1+1</f>
        <v>2.1</v>
      </c>
      <c r="M136" s="9"/>
      <c r="N136" s="24">
        <f t="shared" si="28"/>
        <v>22</v>
      </c>
      <c r="O136" s="24">
        <f t="shared" si="29"/>
        <v>18.16</v>
      </c>
      <c r="P136" s="24" t="str">
        <f t="shared" si="17"/>
        <v/>
      </c>
      <c r="Q136" s="24"/>
      <c r="R136" s="27"/>
      <c r="S136" s="6"/>
    </row>
    <row r="137" spans="1:19" x14ac:dyDescent="0.25">
      <c r="A137" s="12" t="s">
        <v>27</v>
      </c>
      <c r="B137" s="13" t="s">
        <v>73</v>
      </c>
      <c r="C137" s="14"/>
      <c r="D137" s="10" t="s">
        <v>159</v>
      </c>
      <c r="E137" s="10"/>
      <c r="F137" s="10" t="s">
        <v>275</v>
      </c>
      <c r="G137" s="16"/>
      <c r="H137" s="29">
        <v>5.49</v>
      </c>
      <c r="I137" s="7"/>
      <c r="J137" s="7"/>
      <c r="K137" s="7">
        <v>9.1999999999999993</v>
      </c>
      <c r="L137" s="7">
        <v>1</v>
      </c>
      <c r="M137" s="9"/>
      <c r="N137" s="24">
        <f t="shared" si="28"/>
        <v>5.49</v>
      </c>
      <c r="O137" s="24" t="str">
        <f t="shared" si="29"/>
        <v/>
      </c>
      <c r="P137" s="24">
        <f t="shared" si="17"/>
        <v>8.1999999999999993</v>
      </c>
      <c r="Q137" s="24"/>
      <c r="R137" s="27"/>
      <c r="S137" s="6"/>
    </row>
    <row r="138" spans="1:19" x14ac:dyDescent="0.25">
      <c r="A138" s="12" t="s">
        <v>27</v>
      </c>
      <c r="B138" s="13" t="s">
        <v>74</v>
      </c>
      <c r="C138" s="14"/>
      <c r="D138" s="10" t="s">
        <v>160</v>
      </c>
      <c r="E138" s="10" t="s">
        <v>160</v>
      </c>
      <c r="F138" s="10"/>
      <c r="G138" s="16"/>
      <c r="H138" s="29">
        <v>21.95</v>
      </c>
      <c r="I138" s="7"/>
      <c r="J138" s="7"/>
      <c r="K138" s="7">
        <v>21.49</v>
      </c>
      <c r="L138" s="7">
        <f>1.1+1</f>
        <v>2.1</v>
      </c>
      <c r="M138" s="9"/>
      <c r="N138" s="24">
        <f t="shared" si="28"/>
        <v>21.95</v>
      </c>
      <c r="O138" s="24">
        <f t="shared" si="29"/>
        <v>19.389999999999997</v>
      </c>
      <c r="P138" s="24" t="str">
        <f t="shared" ref="P138:P201" si="32">IF(AND(F138&lt;&gt;"",K138&lt;&gt;0),K138-L138+M138,"")</f>
        <v/>
      </c>
      <c r="Q138" s="24"/>
      <c r="R138" s="27"/>
      <c r="S138" s="6"/>
    </row>
    <row r="139" spans="1:19" x14ac:dyDescent="0.25">
      <c r="A139" s="12" t="s">
        <v>27</v>
      </c>
      <c r="B139" s="13" t="s">
        <v>75</v>
      </c>
      <c r="C139" s="14"/>
      <c r="D139" s="10" t="s">
        <v>159</v>
      </c>
      <c r="E139" s="10"/>
      <c r="F139" s="10" t="s">
        <v>275</v>
      </c>
      <c r="G139" s="16"/>
      <c r="H139" s="29">
        <v>5.52</v>
      </c>
      <c r="I139" s="7"/>
      <c r="J139" s="7"/>
      <c r="K139" s="7">
        <v>9.1999999999999993</v>
      </c>
      <c r="L139" s="7">
        <v>1</v>
      </c>
      <c r="M139" s="9"/>
      <c r="N139" s="24">
        <f t="shared" si="28"/>
        <v>5.52</v>
      </c>
      <c r="O139" s="24" t="str">
        <f t="shared" si="29"/>
        <v/>
      </c>
      <c r="P139" s="24">
        <f t="shared" si="32"/>
        <v>8.1999999999999993</v>
      </c>
      <c r="Q139" s="24"/>
      <c r="R139" s="27"/>
      <c r="S139" s="6"/>
    </row>
    <row r="140" spans="1:19" x14ac:dyDescent="0.25">
      <c r="A140" s="12" t="s">
        <v>27</v>
      </c>
      <c r="B140" s="13" t="s">
        <v>76</v>
      </c>
      <c r="C140" s="14"/>
      <c r="D140" s="10" t="s">
        <v>155</v>
      </c>
      <c r="E140" s="10"/>
      <c r="F140" s="10"/>
      <c r="G140" s="16"/>
      <c r="H140" s="29">
        <v>6.67</v>
      </c>
      <c r="I140" s="7"/>
      <c r="J140" s="7"/>
      <c r="K140" s="7"/>
      <c r="L140" s="7"/>
      <c r="M140" s="9"/>
      <c r="N140" s="24">
        <f t="shared" si="28"/>
        <v>6.67</v>
      </c>
      <c r="O140" s="24" t="str">
        <f t="shared" si="29"/>
        <v/>
      </c>
      <c r="P140" s="24" t="str">
        <f t="shared" si="32"/>
        <v/>
      </c>
      <c r="Q140" s="24"/>
      <c r="R140" s="27"/>
      <c r="S140" s="6"/>
    </row>
    <row r="141" spans="1:19" x14ac:dyDescent="0.25">
      <c r="A141" s="12" t="s">
        <v>27</v>
      </c>
      <c r="B141" s="13" t="s">
        <v>77</v>
      </c>
      <c r="C141" s="14"/>
      <c r="D141" s="10" t="s">
        <v>155</v>
      </c>
      <c r="E141" s="10"/>
      <c r="F141" s="10"/>
      <c r="G141" s="16"/>
      <c r="H141" s="29">
        <v>2.52</v>
      </c>
      <c r="I141" s="7"/>
      <c r="J141" s="7"/>
      <c r="K141" s="7"/>
      <c r="L141" s="7"/>
      <c r="M141" s="9"/>
      <c r="N141" s="24">
        <f t="shared" si="28"/>
        <v>2.52</v>
      </c>
      <c r="O141" s="24" t="str">
        <f t="shared" si="29"/>
        <v/>
      </c>
      <c r="P141" s="24" t="str">
        <f t="shared" si="32"/>
        <v/>
      </c>
      <c r="Q141" s="24"/>
      <c r="R141" s="27"/>
      <c r="S141" s="6"/>
    </row>
    <row r="142" spans="1:19" x14ac:dyDescent="0.25">
      <c r="A142" s="12" t="s">
        <v>27</v>
      </c>
      <c r="B142" s="13" t="s">
        <v>78</v>
      </c>
      <c r="C142" s="14"/>
      <c r="D142" s="10" t="s">
        <v>155</v>
      </c>
      <c r="E142" s="10"/>
      <c r="F142" s="10"/>
      <c r="G142" s="16"/>
      <c r="H142" s="29">
        <v>1.99</v>
      </c>
      <c r="I142" s="7"/>
      <c r="J142" s="7"/>
      <c r="K142" s="7"/>
      <c r="L142" s="7"/>
      <c r="M142" s="9"/>
      <c r="N142" s="24">
        <f t="shared" si="28"/>
        <v>1.99</v>
      </c>
      <c r="O142" s="24" t="str">
        <f t="shared" si="29"/>
        <v/>
      </c>
      <c r="P142" s="24" t="str">
        <f t="shared" si="32"/>
        <v/>
      </c>
      <c r="Q142" s="24"/>
      <c r="R142" s="27"/>
      <c r="S142" s="6"/>
    </row>
    <row r="143" spans="1:19" x14ac:dyDescent="0.25">
      <c r="A143" s="12" t="s">
        <v>27</v>
      </c>
      <c r="B143" s="13" t="s">
        <v>79</v>
      </c>
      <c r="C143" s="14"/>
      <c r="D143" s="10" t="s">
        <v>155</v>
      </c>
      <c r="E143" s="10"/>
      <c r="F143" s="10"/>
      <c r="G143" s="16"/>
      <c r="H143" s="29">
        <v>2.52</v>
      </c>
      <c r="I143" s="7"/>
      <c r="J143" s="7"/>
      <c r="K143" s="7"/>
      <c r="L143" s="7"/>
      <c r="M143" s="9"/>
      <c r="N143" s="24">
        <f t="shared" si="28"/>
        <v>2.52</v>
      </c>
      <c r="O143" s="24" t="str">
        <f t="shared" si="29"/>
        <v/>
      </c>
      <c r="P143" s="24" t="str">
        <f t="shared" si="32"/>
        <v/>
      </c>
      <c r="Q143" s="24"/>
      <c r="R143" s="27"/>
      <c r="S143" s="6"/>
    </row>
    <row r="144" spans="1:19" x14ac:dyDescent="0.25">
      <c r="A144" s="12" t="s">
        <v>27</v>
      </c>
      <c r="B144" s="13" t="s">
        <v>80</v>
      </c>
      <c r="C144" s="14"/>
      <c r="D144" s="10" t="s">
        <v>155</v>
      </c>
      <c r="E144" s="10"/>
      <c r="F144" s="10"/>
      <c r="G144" s="16"/>
      <c r="H144" s="29">
        <v>1.99</v>
      </c>
      <c r="I144" s="7"/>
      <c r="J144" s="7"/>
      <c r="K144" s="7"/>
      <c r="L144" s="7"/>
      <c r="M144" s="9"/>
      <c r="N144" s="24">
        <f t="shared" si="28"/>
        <v>1.99</v>
      </c>
      <c r="O144" s="24" t="str">
        <f t="shared" si="29"/>
        <v/>
      </c>
      <c r="P144" s="24" t="str">
        <f t="shared" si="32"/>
        <v/>
      </c>
      <c r="Q144" s="24"/>
      <c r="R144" s="27"/>
      <c r="S144" s="6"/>
    </row>
    <row r="145" spans="1:19" x14ac:dyDescent="0.25">
      <c r="A145" s="12" t="s">
        <v>27</v>
      </c>
      <c r="B145" s="13" t="s">
        <v>81</v>
      </c>
      <c r="C145" s="14"/>
      <c r="D145" s="10" t="s">
        <v>154</v>
      </c>
      <c r="E145" s="10" t="s">
        <v>154</v>
      </c>
      <c r="F145" s="10"/>
      <c r="G145" s="16"/>
      <c r="H145" s="29">
        <f>283.53-H146-J146-H147-H148-H149</f>
        <v>121.88299999999995</v>
      </c>
      <c r="I145" s="7"/>
      <c r="J145" s="7"/>
      <c r="K145" s="7">
        <f>98.4+51.62+18.89*2-O148</f>
        <v>175.45000000000002</v>
      </c>
      <c r="L145" s="7">
        <f>(1.6+0.9+1.1*3+1.7+1.1+1.7*2+1.1*8+1.7*2+1.1)+(0.8*2+2+3.05+1.1+0.8+1.3+0.8)</f>
        <v>35.950000000000003</v>
      </c>
      <c r="M145" s="9"/>
      <c r="N145" s="24">
        <f t="shared" si="28"/>
        <v>121.88299999999995</v>
      </c>
      <c r="O145" s="24">
        <f t="shared" si="29"/>
        <v>139.5</v>
      </c>
      <c r="P145" s="24" t="str">
        <f t="shared" si="32"/>
        <v/>
      </c>
      <c r="Q145" s="24"/>
      <c r="R145" s="27" t="s">
        <v>240</v>
      </c>
      <c r="S145" s="6"/>
    </row>
    <row r="146" spans="1:19" x14ac:dyDescent="0.25">
      <c r="A146" s="12" t="s">
        <v>27</v>
      </c>
      <c r="B146" s="13" t="s">
        <v>81</v>
      </c>
      <c r="C146" s="14"/>
      <c r="D146" s="10" t="s">
        <v>158</v>
      </c>
      <c r="E146" s="10"/>
      <c r="F146" s="10"/>
      <c r="G146" s="16"/>
      <c r="H146" s="29">
        <f>83.3</f>
        <v>83.3</v>
      </c>
      <c r="I146" s="7"/>
      <c r="J146" s="7">
        <f>(0.95+1.45+0.95+1.25+3.05+2)*0.2+(1.25*8+1.7*2)*0.155</f>
        <v>4.0069999999999997</v>
      </c>
      <c r="K146" s="7"/>
      <c r="L146" s="7"/>
      <c r="M146" s="9"/>
      <c r="N146" s="24">
        <f t="shared" ref="N146:N149" si="33">IF(AND(D146&lt;&gt;"",H146&lt;&gt;0),H146-I146+J146,"")</f>
        <v>87.307000000000002</v>
      </c>
      <c r="O146" s="24" t="str">
        <f t="shared" ref="O146:O149" si="34">IF(AND(E146&lt;&gt;"",K146&lt;&gt;0),K146-L146+M146,"")</f>
        <v/>
      </c>
      <c r="P146" s="24" t="str">
        <f t="shared" si="32"/>
        <v/>
      </c>
      <c r="Q146" s="24"/>
      <c r="R146" s="27" t="s">
        <v>239</v>
      </c>
      <c r="S146" s="6"/>
    </row>
    <row r="147" spans="1:19" x14ac:dyDescent="0.25">
      <c r="A147" s="12" t="s">
        <v>27</v>
      </c>
      <c r="B147" s="13" t="s">
        <v>81</v>
      </c>
      <c r="C147" s="14"/>
      <c r="D147" s="10" t="s">
        <v>242</v>
      </c>
      <c r="E147" s="10"/>
      <c r="F147" s="10"/>
      <c r="G147" s="16"/>
      <c r="H147" s="29">
        <v>30</v>
      </c>
      <c r="I147" s="7"/>
      <c r="J147" s="7"/>
      <c r="K147" s="7"/>
      <c r="L147" s="7"/>
      <c r="M147" s="9"/>
      <c r="N147" s="24">
        <f t="shared" ref="N147" si="35">IF(AND(D147&lt;&gt;"",H147&lt;&gt;0),H147-I147+J147,"")</f>
        <v>30</v>
      </c>
      <c r="O147" s="24" t="str">
        <f t="shared" ref="O147" si="36">IF(AND(E147&lt;&gt;"",K147&lt;&gt;0),K147-L147+M147,"")</f>
        <v/>
      </c>
      <c r="P147" s="24" t="str">
        <f t="shared" si="32"/>
        <v/>
      </c>
      <c r="Q147" s="24"/>
      <c r="R147" s="27" t="s">
        <v>241</v>
      </c>
      <c r="S147" s="6"/>
    </row>
    <row r="148" spans="1:19" x14ac:dyDescent="0.25">
      <c r="A148" s="12" t="s">
        <v>27</v>
      </c>
      <c r="B148" s="13" t="s">
        <v>81</v>
      </c>
      <c r="C148" s="14"/>
      <c r="D148" s="10" t="s">
        <v>238</v>
      </c>
      <c r="E148" s="10" t="s">
        <v>238</v>
      </c>
      <c r="F148" s="10"/>
      <c r="G148" s="16"/>
      <c r="H148" s="29">
        <f>17.19+14.97</f>
        <v>32.160000000000004</v>
      </c>
      <c r="I148" s="7"/>
      <c r="J148" s="7"/>
      <c r="K148" s="7">
        <f>3.36+5.09+2.07+1+1.93</f>
        <v>13.45</v>
      </c>
      <c r="L148" s="7">
        <f>1.1</f>
        <v>1.1000000000000001</v>
      </c>
      <c r="M148" s="9"/>
      <c r="N148" s="24">
        <f t="shared" ref="N148" si="37">IF(AND(D148&lt;&gt;"",H148&lt;&gt;0),H148-I148+J148,"")</f>
        <v>32.160000000000004</v>
      </c>
      <c r="O148" s="24">
        <f t="shared" ref="O148" si="38">IF(AND(E148&lt;&gt;"",K148&lt;&gt;0),K148-L148+M148,"")</f>
        <v>12.35</v>
      </c>
      <c r="P148" s="24" t="str">
        <f t="shared" si="32"/>
        <v/>
      </c>
      <c r="Q148" s="24"/>
      <c r="R148" s="27" t="s">
        <v>240</v>
      </c>
      <c r="S148" s="6"/>
    </row>
    <row r="149" spans="1:19" x14ac:dyDescent="0.25">
      <c r="A149" s="12" t="s">
        <v>27</v>
      </c>
      <c r="B149" s="13" t="s">
        <v>81</v>
      </c>
      <c r="C149" s="14"/>
      <c r="D149" s="10" t="s">
        <v>145</v>
      </c>
      <c r="E149" s="10"/>
      <c r="F149" s="10"/>
      <c r="G149" s="16"/>
      <c r="H149" s="29">
        <f>12.18</f>
        <v>12.18</v>
      </c>
      <c r="I149" s="7"/>
      <c r="J149" s="7"/>
      <c r="K149" s="7"/>
      <c r="L149" s="7"/>
      <c r="M149" s="9"/>
      <c r="N149" s="24">
        <f t="shared" si="33"/>
        <v>12.18</v>
      </c>
      <c r="O149" s="24" t="str">
        <f t="shared" si="34"/>
        <v/>
      </c>
      <c r="P149" s="24" t="str">
        <f t="shared" si="32"/>
        <v/>
      </c>
      <c r="Q149" s="24"/>
      <c r="R149" s="27" t="s">
        <v>239</v>
      </c>
      <c r="S149" s="6"/>
    </row>
    <row r="150" spans="1:19" x14ac:dyDescent="0.25">
      <c r="A150" s="12" t="s">
        <v>27</v>
      </c>
      <c r="B150" s="13" t="s">
        <v>82</v>
      </c>
      <c r="C150" s="14"/>
      <c r="D150" s="10" t="s">
        <v>153</v>
      </c>
      <c r="E150" s="10"/>
      <c r="F150" s="10" t="s">
        <v>275</v>
      </c>
      <c r="G150" s="16"/>
      <c r="H150" s="29">
        <v>10.88</v>
      </c>
      <c r="I150" s="7"/>
      <c r="J150" s="7"/>
      <c r="K150" s="7">
        <v>13.57</v>
      </c>
      <c r="L150" s="7">
        <f>0.9*2</f>
        <v>1.8</v>
      </c>
      <c r="M150" s="9"/>
      <c r="N150" s="24">
        <f t="shared" si="28"/>
        <v>10.88</v>
      </c>
      <c r="O150" s="24" t="str">
        <f t="shared" si="29"/>
        <v/>
      </c>
      <c r="P150" s="24">
        <f t="shared" si="32"/>
        <v>11.77</v>
      </c>
      <c r="Q150" s="24"/>
      <c r="R150" s="27"/>
      <c r="S150" s="6"/>
    </row>
    <row r="151" spans="1:19" x14ac:dyDescent="0.25">
      <c r="A151" s="12" t="s">
        <v>27</v>
      </c>
      <c r="B151" s="13" t="s">
        <v>83</v>
      </c>
      <c r="C151" s="14"/>
      <c r="D151" s="10" t="s">
        <v>154</v>
      </c>
      <c r="E151" s="10" t="s">
        <v>154</v>
      </c>
      <c r="F151" s="10"/>
      <c r="G151" s="16"/>
      <c r="H151" s="29">
        <v>18.84</v>
      </c>
      <c r="I151" s="7"/>
      <c r="J151" s="7"/>
      <c r="K151" s="7">
        <v>19.25</v>
      </c>
      <c r="L151" s="7">
        <f>0.8*2</f>
        <v>1.6</v>
      </c>
      <c r="M151" s="9"/>
      <c r="N151" s="24">
        <f t="shared" si="28"/>
        <v>18.84</v>
      </c>
      <c r="O151" s="24">
        <f t="shared" si="29"/>
        <v>17.649999999999999</v>
      </c>
      <c r="P151" s="24" t="str">
        <f t="shared" si="32"/>
        <v/>
      </c>
      <c r="Q151" s="24"/>
      <c r="R151" s="27"/>
      <c r="S151" s="6"/>
    </row>
    <row r="152" spans="1:19" x14ac:dyDescent="0.25">
      <c r="A152" s="12" t="s">
        <v>27</v>
      </c>
      <c r="B152" s="13" t="s">
        <v>85</v>
      </c>
      <c r="C152" s="14"/>
      <c r="D152" s="10" t="s">
        <v>158</v>
      </c>
      <c r="E152" s="10" t="s">
        <v>158</v>
      </c>
      <c r="F152" s="10"/>
      <c r="G152" s="16"/>
      <c r="H152" s="29">
        <v>4.3</v>
      </c>
      <c r="I152" s="7"/>
      <c r="J152" s="7"/>
      <c r="K152" s="7">
        <v>8.74</v>
      </c>
      <c r="L152" s="7">
        <v>0.8</v>
      </c>
      <c r="M152" s="9"/>
      <c r="N152" s="24">
        <f t="shared" si="28"/>
        <v>4.3</v>
      </c>
      <c r="O152" s="24">
        <f t="shared" si="29"/>
        <v>7.94</v>
      </c>
      <c r="P152" s="24" t="str">
        <f t="shared" si="32"/>
        <v/>
      </c>
      <c r="Q152" s="24"/>
      <c r="R152" s="27"/>
      <c r="S152" s="6"/>
    </row>
    <row r="153" spans="1:19" x14ac:dyDescent="0.25">
      <c r="A153" s="12" t="s">
        <v>27</v>
      </c>
      <c r="B153" s="13" t="s">
        <v>86</v>
      </c>
      <c r="C153" s="14"/>
      <c r="D153" s="10" t="s">
        <v>158</v>
      </c>
      <c r="E153" s="10"/>
      <c r="F153" s="10"/>
      <c r="G153" s="16"/>
      <c r="H153" s="29">
        <v>1.58</v>
      </c>
      <c r="I153" s="7"/>
      <c r="J153" s="7"/>
      <c r="K153" s="7"/>
      <c r="L153" s="7"/>
      <c r="M153" s="9"/>
      <c r="N153" s="24">
        <f t="shared" si="28"/>
        <v>1.58</v>
      </c>
      <c r="O153" s="24" t="str">
        <f t="shared" si="29"/>
        <v/>
      </c>
      <c r="P153" s="24" t="str">
        <f t="shared" si="32"/>
        <v/>
      </c>
      <c r="Q153" s="24"/>
      <c r="R153" s="27"/>
      <c r="S153" s="6"/>
    </row>
    <row r="154" spans="1:19" x14ac:dyDescent="0.25">
      <c r="A154" s="12" t="s">
        <v>27</v>
      </c>
      <c r="B154" s="13" t="s">
        <v>87</v>
      </c>
      <c r="C154" s="14"/>
      <c r="D154" s="10" t="s">
        <v>158</v>
      </c>
      <c r="E154" s="10"/>
      <c r="F154" s="10"/>
      <c r="G154" s="16"/>
      <c r="H154" s="29">
        <v>4.13</v>
      </c>
      <c r="I154" s="7"/>
      <c r="J154" s="7"/>
      <c r="K154" s="7"/>
      <c r="L154" s="7"/>
      <c r="M154" s="9"/>
      <c r="N154" s="24">
        <f t="shared" si="28"/>
        <v>4.13</v>
      </c>
      <c r="O154" s="24" t="str">
        <f t="shared" si="29"/>
        <v/>
      </c>
      <c r="P154" s="24" t="str">
        <f t="shared" si="32"/>
        <v/>
      </c>
      <c r="Q154" s="24"/>
      <c r="R154" s="27"/>
      <c r="S154" s="6"/>
    </row>
    <row r="155" spans="1:19" x14ac:dyDescent="0.25">
      <c r="A155" s="12" t="s">
        <v>27</v>
      </c>
      <c r="B155" s="13" t="s">
        <v>88</v>
      </c>
      <c r="C155" s="14"/>
      <c r="D155" s="10" t="s">
        <v>161</v>
      </c>
      <c r="E155" s="10"/>
      <c r="F155" s="10" t="s">
        <v>275</v>
      </c>
      <c r="G155" s="16"/>
      <c r="H155" s="29">
        <v>14.82</v>
      </c>
      <c r="I155" s="7"/>
      <c r="J155" s="7"/>
      <c r="K155" s="7">
        <v>14.94</v>
      </c>
      <c r="L155" s="7">
        <v>1.1000000000000001</v>
      </c>
      <c r="M155" s="9"/>
      <c r="N155" s="24">
        <f t="shared" si="28"/>
        <v>14.82</v>
      </c>
      <c r="O155" s="24" t="str">
        <f t="shared" si="29"/>
        <v/>
      </c>
      <c r="P155" s="24">
        <f t="shared" si="32"/>
        <v>13.84</v>
      </c>
      <c r="Q155" s="24"/>
      <c r="R155" s="27"/>
      <c r="S155" s="6"/>
    </row>
    <row r="156" spans="1:19" x14ac:dyDescent="0.25">
      <c r="A156" s="12" t="s">
        <v>27</v>
      </c>
      <c r="B156" s="13" t="s">
        <v>89</v>
      </c>
      <c r="C156" s="14"/>
      <c r="D156" s="10" t="s">
        <v>156</v>
      </c>
      <c r="E156" s="10" t="s">
        <v>156</v>
      </c>
      <c r="F156" s="10"/>
      <c r="G156" s="16"/>
      <c r="H156" s="29">
        <v>22.31</v>
      </c>
      <c r="I156" s="7"/>
      <c r="J156" s="7"/>
      <c r="K156" s="7">
        <v>20.45</v>
      </c>
      <c r="L156" s="7">
        <f>1.1+1</f>
        <v>2.1</v>
      </c>
      <c r="M156" s="9"/>
      <c r="N156" s="24">
        <f t="shared" si="28"/>
        <v>22.31</v>
      </c>
      <c r="O156" s="24">
        <f t="shared" si="29"/>
        <v>18.349999999999998</v>
      </c>
      <c r="P156" s="24" t="str">
        <f t="shared" si="32"/>
        <v/>
      </c>
      <c r="Q156" s="24"/>
      <c r="R156" s="27"/>
      <c r="S156" s="6"/>
    </row>
    <row r="157" spans="1:19" x14ac:dyDescent="0.25">
      <c r="A157" s="12" t="s">
        <v>27</v>
      </c>
      <c r="B157" s="13" t="s">
        <v>90</v>
      </c>
      <c r="C157" s="14"/>
      <c r="D157" s="10" t="s">
        <v>157</v>
      </c>
      <c r="E157" s="10"/>
      <c r="F157" s="10" t="s">
        <v>275</v>
      </c>
      <c r="G157" s="16"/>
      <c r="H157" s="29">
        <v>5.53</v>
      </c>
      <c r="I157" s="7"/>
      <c r="J157" s="7"/>
      <c r="K157" s="7">
        <v>9.3000000000000007</v>
      </c>
      <c r="L157" s="7">
        <v>1</v>
      </c>
      <c r="M157" s="9"/>
      <c r="N157" s="24">
        <f t="shared" si="28"/>
        <v>5.53</v>
      </c>
      <c r="O157" s="24" t="str">
        <f t="shared" si="29"/>
        <v/>
      </c>
      <c r="P157" s="24">
        <f t="shared" si="32"/>
        <v>8.3000000000000007</v>
      </c>
      <c r="Q157" s="24"/>
      <c r="R157" s="27"/>
      <c r="S157" s="6"/>
    </row>
    <row r="158" spans="1:19" x14ac:dyDescent="0.25">
      <c r="A158" s="12" t="s">
        <v>27</v>
      </c>
      <c r="B158" s="13" t="s">
        <v>91</v>
      </c>
      <c r="C158" s="14"/>
      <c r="D158" s="10" t="s">
        <v>156</v>
      </c>
      <c r="E158" s="10" t="s">
        <v>156</v>
      </c>
      <c r="F158" s="10"/>
      <c r="G158" s="16"/>
      <c r="H158" s="29">
        <v>22.13</v>
      </c>
      <c r="I158" s="7"/>
      <c r="J158" s="7"/>
      <c r="K158" s="7">
        <v>20.45</v>
      </c>
      <c r="L158" s="7">
        <f>1.1+1</f>
        <v>2.1</v>
      </c>
      <c r="M158" s="9"/>
      <c r="N158" s="24">
        <f t="shared" si="28"/>
        <v>22.13</v>
      </c>
      <c r="O158" s="24">
        <f t="shared" si="29"/>
        <v>18.349999999999998</v>
      </c>
      <c r="P158" s="24" t="str">
        <f t="shared" si="32"/>
        <v/>
      </c>
      <c r="Q158" s="24"/>
      <c r="R158" s="27"/>
      <c r="S158" s="6"/>
    </row>
    <row r="159" spans="1:19" x14ac:dyDescent="0.25">
      <c r="A159" s="12" t="s">
        <v>27</v>
      </c>
      <c r="B159" s="13" t="s">
        <v>106</v>
      </c>
      <c r="C159" s="14"/>
      <c r="D159" s="10" t="s">
        <v>157</v>
      </c>
      <c r="E159" s="10"/>
      <c r="F159" s="10" t="s">
        <v>275</v>
      </c>
      <c r="G159" s="16"/>
      <c r="H159" s="29">
        <v>5.53</v>
      </c>
      <c r="I159" s="7"/>
      <c r="J159" s="7"/>
      <c r="K159" s="7">
        <v>9.3000000000000007</v>
      </c>
      <c r="L159" s="7">
        <v>1</v>
      </c>
      <c r="M159" s="9"/>
      <c r="N159" s="24">
        <f t="shared" si="28"/>
        <v>5.53</v>
      </c>
      <c r="O159" s="24" t="str">
        <f t="shared" si="29"/>
        <v/>
      </c>
      <c r="P159" s="24">
        <f t="shared" si="32"/>
        <v>8.3000000000000007</v>
      </c>
      <c r="Q159" s="24"/>
      <c r="R159" s="27"/>
      <c r="S159" s="6"/>
    </row>
    <row r="160" spans="1:19" x14ac:dyDescent="0.25">
      <c r="A160" s="12" t="s">
        <v>27</v>
      </c>
      <c r="B160" s="13" t="s">
        <v>107</v>
      </c>
      <c r="C160" s="14"/>
      <c r="D160" s="10" t="s">
        <v>156</v>
      </c>
      <c r="E160" s="10" t="s">
        <v>156</v>
      </c>
      <c r="F160" s="10"/>
      <c r="G160" s="16"/>
      <c r="H160" s="29">
        <v>24.17</v>
      </c>
      <c r="I160" s="7"/>
      <c r="J160" s="7"/>
      <c r="K160" s="7">
        <v>21.98</v>
      </c>
      <c r="L160" s="7">
        <f>1.1+1</f>
        <v>2.1</v>
      </c>
      <c r="M160" s="9"/>
      <c r="N160" s="24">
        <f t="shared" si="28"/>
        <v>24.17</v>
      </c>
      <c r="O160" s="24">
        <f t="shared" si="29"/>
        <v>19.88</v>
      </c>
      <c r="P160" s="24" t="str">
        <f t="shared" si="32"/>
        <v/>
      </c>
      <c r="Q160" s="24"/>
      <c r="R160" s="27"/>
      <c r="S160" s="6"/>
    </row>
    <row r="161" spans="1:19" x14ac:dyDescent="0.25">
      <c r="A161" s="12" t="s">
        <v>27</v>
      </c>
      <c r="B161" s="13" t="s">
        <v>108</v>
      </c>
      <c r="C161" s="14"/>
      <c r="D161" s="10" t="s">
        <v>157</v>
      </c>
      <c r="E161" s="10"/>
      <c r="F161" s="10" t="s">
        <v>275</v>
      </c>
      <c r="G161" s="16"/>
      <c r="H161" s="29">
        <v>4.8499999999999996</v>
      </c>
      <c r="I161" s="7"/>
      <c r="J161" s="7"/>
      <c r="K161" s="7">
        <v>8.8000000000000007</v>
      </c>
      <c r="L161" s="7">
        <v>1</v>
      </c>
      <c r="M161" s="9"/>
      <c r="N161" s="24">
        <f t="shared" si="28"/>
        <v>4.8499999999999996</v>
      </c>
      <c r="O161" s="24" t="str">
        <f t="shared" si="29"/>
        <v/>
      </c>
      <c r="P161" s="24">
        <f t="shared" si="32"/>
        <v>7.8000000000000007</v>
      </c>
      <c r="Q161" s="24"/>
      <c r="R161" s="27"/>
      <c r="S161" s="6"/>
    </row>
    <row r="162" spans="1:19" x14ac:dyDescent="0.25">
      <c r="A162" s="12" t="s">
        <v>27</v>
      </c>
      <c r="B162" s="13" t="s">
        <v>109</v>
      </c>
      <c r="C162" s="14"/>
      <c r="D162" s="10" t="s">
        <v>156</v>
      </c>
      <c r="E162" s="10" t="s">
        <v>156</v>
      </c>
      <c r="F162" s="10"/>
      <c r="G162" s="16"/>
      <c r="H162" s="29">
        <v>23.99</v>
      </c>
      <c r="I162" s="7"/>
      <c r="J162" s="7"/>
      <c r="K162" s="7">
        <v>21.68</v>
      </c>
      <c r="L162" s="7">
        <f>1.1+1</f>
        <v>2.1</v>
      </c>
      <c r="M162" s="9"/>
      <c r="N162" s="24">
        <f t="shared" si="28"/>
        <v>23.99</v>
      </c>
      <c r="O162" s="24">
        <f t="shared" si="29"/>
        <v>19.579999999999998</v>
      </c>
      <c r="P162" s="24" t="str">
        <f t="shared" si="32"/>
        <v/>
      </c>
      <c r="Q162" s="24"/>
      <c r="R162" s="27"/>
      <c r="S162" s="6"/>
    </row>
    <row r="163" spans="1:19" x14ac:dyDescent="0.25">
      <c r="A163" s="12" t="s">
        <v>27</v>
      </c>
      <c r="B163" s="13" t="s">
        <v>110</v>
      </c>
      <c r="C163" s="14"/>
      <c r="D163" s="10" t="s">
        <v>157</v>
      </c>
      <c r="E163" s="10"/>
      <c r="F163" s="10" t="s">
        <v>275</v>
      </c>
      <c r="G163" s="16"/>
      <c r="H163" s="29">
        <v>4.8499999999999996</v>
      </c>
      <c r="I163" s="7"/>
      <c r="J163" s="7"/>
      <c r="K163" s="7">
        <v>8.8000000000000007</v>
      </c>
      <c r="L163" s="7">
        <v>1</v>
      </c>
      <c r="M163" s="9"/>
      <c r="N163" s="24">
        <f t="shared" si="28"/>
        <v>4.8499999999999996</v>
      </c>
      <c r="O163" s="24" t="str">
        <f t="shared" si="29"/>
        <v/>
      </c>
      <c r="P163" s="24">
        <f t="shared" si="32"/>
        <v>7.8000000000000007</v>
      </c>
      <c r="Q163" s="24"/>
      <c r="R163" s="27"/>
      <c r="S163" s="6"/>
    </row>
    <row r="164" spans="1:19" x14ac:dyDescent="0.25">
      <c r="A164" s="12" t="s">
        <v>27</v>
      </c>
      <c r="B164" s="13" t="s">
        <v>111</v>
      </c>
      <c r="C164" s="14"/>
      <c r="D164" s="10" t="s">
        <v>156</v>
      </c>
      <c r="E164" s="10" t="s">
        <v>156</v>
      </c>
      <c r="F164" s="10"/>
      <c r="G164" s="16"/>
      <c r="H164" s="29">
        <v>24.01</v>
      </c>
      <c r="I164" s="7"/>
      <c r="J164" s="7"/>
      <c r="K164" s="7">
        <v>21.69</v>
      </c>
      <c r="L164" s="7">
        <f>1.1+1</f>
        <v>2.1</v>
      </c>
      <c r="M164" s="9"/>
      <c r="N164" s="24">
        <f t="shared" si="28"/>
        <v>24.01</v>
      </c>
      <c r="O164" s="24">
        <f t="shared" si="29"/>
        <v>19.59</v>
      </c>
      <c r="P164" s="24" t="str">
        <f t="shared" si="32"/>
        <v/>
      </c>
      <c r="Q164" s="24"/>
      <c r="R164" s="27"/>
      <c r="S164" s="6"/>
    </row>
    <row r="165" spans="1:19" x14ac:dyDescent="0.25">
      <c r="A165" s="12" t="s">
        <v>27</v>
      </c>
      <c r="B165" s="13" t="s">
        <v>112</v>
      </c>
      <c r="C165" s="14"/>
      <c r="D165" s="10" t="s">
        <v>157</v>
      </c>
      <c r="E165" s="10"/>
      <c r="F165" s="10" t="s">
        <v>275</v>
      </c>
      <c r="G165" s="16"/>
      <c r="H165" s="29">
        <v>4.8499999999999996</v>
      </c>
      <c r="I165" s="7"/>
      <c r="J165" s="7"/>
      <c r="K165" s="7">
        <v>8.8000000000000007</v>
      </c>
      <c r="L165" s="7">
        <v>1</v>
      </c>
      <c r="M165" s="9"/>
      <c r="N165" s="24">
        <f t="shared" si="28"/>
        <v>4.8499999999999996</v>
      </c>
      <c r="O165" s="24" t="str">
        <f t="shared" si="29"/>
        <v/>
      </c>
      <c r="P165" s="24">
        <f t="shared" si="32"/>
        <v>7.8000000000000007</v>
      </c>
      <c r="Q165" s="24"/>
      <c r="R165" s="27"/>
      <c r="S165" s="6"/>
    </row>
    <row r="166" spans="1:19" x14ac:dyDescent="0.25">
      <c r="A166" s="12" t="s">
        <v>27</v>
      </c>
      <c r="B166" s="13" t="s">
        <v>113</v>
      </c>
      <c r="C166" s="14"/>
      <c r="D166" s="10" t="s">
        <v>156</v>
      </c>
      <c r="E166" s="10" t="s">
        <v>156</v>
      </c>
      <c r="F166" s="10"/>
      <c r="G166" s="16"/>
      <c r="H166" s="29">
        <v>24</v>
      </c>
      <c r="I166" s="7"/>
      <c r="J166" s="7"/>
      <c r="K166" s="7">
        <v>21.68</v>
      </c>
      <c r="L166" s="7">
        <f>1.1+1</f>
        <v>2.1</v>
      </c>
      <c r="M166" s="9"/>
      <c r="N166" s="24">
        <f t="shared" si="5"/>
        <v>24</v>
      </c>
      <c r="O166" s="24">
        <f t="shared" si="6"/>
        <v>19.579999999999998</v>
      </c>
      <c r="P166" s="24" t="str">
        <f t="shared" si="32"/>
        <v/>
      </c>
      <c r="Q166" s="24"/>
      <c r="R166" s="27"/>
      <c r="S166" s="6"/>
    </row>
    <row r="167" spans="1:19" x14ac:dyDescent="0.25">
      <c r="A167" s="12" t="s">
        <v>27</v>
      </c>
      <c r="B167" s="13" t="s">
        <v>114</v>
      </c>
      <c r="C167" s="14"/>
      <c r="D167" s="10" t="s">
        <v>157</v>
      </c>
      <c r="E167" s="10"/>
      <c r="F167" s="10" t="s">
        <v>275</v>
      </c>
      <c r="G167" s="16"/>
      <c r="H167" s="29">
        <v>4.8499999999999996</v>
      </c>
      <c r="I167" s="7"/>
      <c r="J167" s="7"/>
      <c r="K167" s="7">
        <v>8.8000000000000007</v>
      </c>
      <c r="L167" s="7">
        <v>1</v>
      </c>
      <c r="M167" s="9"/>
      <c r="N167" s="24">
        <f t="shared" si="5"/>
        <v>4.8499999999999996</v>
      </c>
      <c r="O167" s="24" t="str">
        <f t="shared" si="6"/>
        <v/>
      </c>
      <c r="P167" s="24">
        <f t="shared" si="32"/>
        <v>7.8000000000000007</v>
      </c>
      <c r="Q167" s="24"/>
      <c r="R167" s="27"/>
      <c r="S167" s="6"/>
    </row>
    <row r="168" spans="1:19" x14ac:dyDescent="0.25">
      <c r="A168" s="12" t="s">
        <v>27</v>
      </c>
      <c r="B168" s="13" t="s">
        <v>115</v>
      </c>
      <c r="C168" s="14"/>
      <c r="D168" s="10" t="s">
        <v>156</v>
      </c>
      <c r="E168" s="10" t="s">
        <v>156</v>
      </c>
      <c r="F168" s="10"/>
      <c r="G168" s="16"/>
      <c r="H168" s="29">
        <v>24</v>
      </c>
      <c r="I168" s="7"/>
      <c r="J168" s="7"/>
      <c r="K168" s="7">
        <v>21.68</v>
      </c>
      <c r="L168" s="7">
        <f>1.1+1</f>
        <v>2.1</v>
      </c>
      <c r="M168" s="9"/>
      <c r="N168" s="24">
        <f t="shared" si="5"/>
        <v>24</v>
      </c>
      <c r="O168" s="24">
        <f t="shared" si="6"/>
        <v>19.579999999999998</v>
      </c>
      <c r="P168" s="24" t="str">
        <f t="shared" si="32"/>
        <v/>
      </c>
      <c r="Q168" s="24"/>
      <c r="R168" s="27"/>
      <c r="S168" s="6"/>
    </row>
    <row r="169" spans="1:19" x14ac:dyDescent="0.25">
      <c r="A169" s="12" t="s">
        <v>27</v>
      </c>
      <c r="B169" s="13" t="s">
        <v>116</v>
      </c>
      <c r="C169" s="14"/>
      <c r="D169" s="10" t="s">
        <v>157</v>
      </c>
      <c r="E169" s="10"/>
      <c r="F169" s="10" t="s">
        <v>275</v>
      </c>
      <c r="G169" s="16"/>
      <c r="H169" s="29">
        <v>4.8499999999999996</v>
      </c>
      <c r="I169" s="7"/>
      <c r="J169" s="7"/>
      <c r="K169" s="7">
        <v>8.8000000000000007</v>
      </c>
      <c r="L169" s="7">
        <v>1</v>
      </c>
      <c r="M169" s="9"/>
      <c r="N169" s="24">
        <f t="shared" si="5"/>
        <v>4.8499999999999996</v>
      </c>
      <c r="O169" s="24" t="str">
        <f t="shared" si="6"/>
        <v/>
      </c>
      <c r="P169" s="24">
        <f t="shared" si="32"/>
        <v>7.8000000000000007</v>
      </c>
      <c r="Q169" s="24"/>
      <c r="R169" s="27"/>
      <c r="S169" s="6"/>
    </row>
    <row r="170" spans="1:19" x14ac:dyDescent="0.25">
      <c r="A170" s="12" t="s">
        <v>27</v>
      </c>
      <c r="B170" s="13" t="s">
        <v>117</v>
      </c>
      <c r="C170" s="14"/>
      <c r="D170" s="10" t="s">
        <v>156</v>
      </c>
      <c r="E170" s="10" t="s">
        <v>156</v>
      </c>
      <c r="F170" s="10"/>
      <c r="G170" s="16"/>
      <c r="H170" s="29">
        <v>24.6</v>
      </c>
      <c r="I170" s="7"/>
      <c r="J170" s="7"/>
      <c r="K170" s="7">
        <v>23.07</v>
      </c>
      <c r="L170" s="7">
        <f>1.1+1</f>
        <v>2.1</v>
      </c>
      <c r="M170" s="9"/>
      <c r="N170" s="24">
        <f t="shared" si="5"/>
        <v>24.6</v>
      </c>
      <c r="O170" s="24">
        <f t="shared" si="6"/>
        <v>20.97</v>
      </c>
      <c r="P170" s="24" t="str">
        <f t="shared" si="32"/>
        <v/>
      </c>
      <c r="Q170" s="24"/>
      <c r="R170" s="27"/>
      <c r="S170" s="6"/>
    </row>
    <row r="171" spans="1:19" x14ac:dyDescent="0.25">
      <c r="A171" s="12" t="s">
        <v>27</v>
      </c>
      <c r="B171" s="13" t="s">
        <v>118</v>
      </c>
      <c r="C171" s="14"/>
      <c r="D171" s="10" t="s">
        <v>157</v>
      </c>
      <c r="E171" s="10"/>
      <c r="F171" s="10" t="s">
        <v>275</v>
      </c>
      <c r="G171" s="16"/>
      <c r="H171" s="29">
        <v>5.47</v>
      </c>
      <c r="I171" s="7"/>
      <c r="J171" s="7"/>
      <c r="K171" s="7">
        <v>9.3000000000000007</v>
      </c>
      <c r="L171" s="7">
        <v>1</v>
      </c>
      <c r="M171" s="9"/>
      <c r="N171" s="24">
        <f t="shared" si="5"/>
        <v>5.47</v>
      </c>
      <c r="O171" s="24" t="str">
        <f t="shared" si="6"/>
        <v/>
      </c>
      <c r="P171" s="24">
        <f t="shared" si="32"/>
        <v>8.3000000000000007</v>
      </c>
      <c r="Q171" s="24"/>
      <c r="R171" s="27"/>
      <c r="S171" s="6"/>
    </row>
    <row r="172" spans="1:19" x14ac:dyDescent="0.25">
      <c r="A172" s="12" t="s">
        <v>27</v>
      </c>
      <c r="B172" s="13" t="s">
        <v>119</v>
      </c>
      <c r="C172" s="14"/>
      <c r="D172" s="10" t="s">
        <v>156</v>
      </c>
      <c r="E172" s="10" t="s">
        <v>156</v>
      </c>
      <c r="F172" s="10"/>
      <c r="G172" s="16"/>
      <c r="H172" s="29">
        <v>22.75</v>
      </c>
      <c r="I172" s="7"/>
      <c r="J172" s="7"/>
      <c r="K172" s="7">
        <v>20.78</v>
      </c>
      <c r="L172" s="7">
        <f>1.1+1</f>
        <v>2.1</v>
      </c>
      <c r="M172" s="9"/>
      <c r="N172" s="24">
        <f t="shared" si="5"/>
        <v>22.75</v>
      </c>
      <c r="O172" s="24">
        <f t="shared" si="6"/>
        <v>18.68</v>
      </c>
      <c r="P172" s="24" t="str">
        <f t="shared" si="32"/>
        <v/>
      </c>
      <c r="Q172" s="24"/>
      <c r="R172" s="27"/>
      <c r="S172" s="6"/>
    </row>
    <row r="173" spans="1:19" x14ac:dyDescent="0.25">
      <c r="A173" s="12" t="s">
        <v>27</v>
      </c>
      <c r="B173" s="13" t="s">
        <v>120</v>
      </c>
      <c r="C173" s="14"/>
      <c r="D173" s="10" t="s">
        <v>157</v>
      </c>
      <c r="E173" s="10"/>
      <c r="F173" s="10" t="s">
        <v>275</v>
      </c>
      <c r="G173" s="16"/>
      <c r="H173" s="29">
        <v>5.54</v>
      </c>
      <c r="I173" s="7"/>
      <c r="J173" s="7"/>
      <c r="K173" s="7">
        <v>9.3000000000000007</v>
      </c>
      <c r="L173" s="7">
        <v>1</v>
      </c>
      <c r="M173" s="9"/>
      <c r="N173" s="24">
        <f t="shared" si="5"/>
        <v>5.54</v>
      </c>
      <c r="O173" s="24" t="str">
        <f t="shared" si="6"/>
        <v/>
      </c>
      <c r="P173" s="24">
        <f t="shared" si="32"/>
        <v>8.3000000000000007</v>
      </c>
      <c r="Q173" s="24"/>
      <c r="R173" s="27"/>
      <c r="S173" s="6"/>
    </row>
    <row r="174" spans="1:19" x14ac:dyDescent="0.25">
      <c r="A174" s="12" t="s">
        <v>27</v>
      </c>
      <c r="B174" s="13" t="s">
        <v>121</v>
      </c>
      <c r="C174" s="14"/>
      <c r="D174" s="10" t="s">
        <v>156</v>
      </c>
      <c r="E174" s="10" t="s">
        <v>156</v>
      </c>
      <c r="F174" s="10"/>
      <c r="G174" s="16"/>
      <c r="H174" s="29">
        <v>24.16</v>
      </c>
      <c r="I174" s="7"/>
      <c r="J174" s="7"/>
      <c r="K174" s="7">
        <v>21.73</v>
      </c>
      <c r="L174" s="7">
        <f>1.1+1</f>
        <v>2.1</v>
      </c>
      <c r="M174" s="9"/>
      <c r="N174" s="24">
        <f t="shared" ref="N174" si="39">IF(AND(D174&lt;&gt;"",H174&lt;&gt;0),H174-I174+J174,"")</f>
        <v>24.16</v>
      </c>
      <c r="O174" s="24">
        <f t="shared" ref="O174" si="40">IF(AND(E174&lt;&gt;"",K174&lt;&gt;0),K174-L174+M174,"")</f>
        <v>19.63</v>
      </c>
      <c r="P174" s="24" t="str">
        <f t="shared" si="32"/>
        <v/>
      </c>
      <c r="Q174" s="24"/>
      <c r="R174" s="27"/>
      <c r="S174" s="6"/>
    </row>
    <row r="175" spans="1:19" x14ac:dyDescent="0.25">
      <c r="A175" s="12" t="s">
        <v>27</v>
      </c>
      <c r="B175" s="13" t="s">
        <v>122</v>
      </c>
      <c r="C175" s="14"/>
      <c r="D175" s="10" t="s">
        <v>157</v>
      </c>
      <c r="E175" s="10"/>
      <c r="F175" s="10" t="s">
        <v>275</v>
      </c>
      <c r="G175" s="16"/>
      <c r="H175" s="29">
        <v>4.8499999999999996</v>
      </c>
      <c r="I175" s="7"/>
      <c r="J175" s="7"/>
      <c r="K175" s="7">
        <v>8.8000000000000007</v>
      </c>
      <c r="L175" s="7">
        <v>1</v>
      </c>
      <c r="M175" s="9"/>
      <c r="N175" s="24">
        <f t="shared" si="5"/>
        <v>4.8499999999999996</v>
      </c>
      <c r="O175" s="24" t="str">
        <f t="shared" si="6"/>
        <v/>
      </c>
      <c r="P175" s="24">
        <f t="shared" si="32"/>
        <v>7.8000000000000007</v>
      </c>
      <c r="Q175" s="24"/>
      <c r="R175" s="27"/>
      <c r="S175" s="6"/>
    </row>
    <row r="176" spans="1:19" x14ac:dyDescent="0.25">
      <c r="A176" s="12" t="s">
        <v>27</v>
      </c>
      <c r="B176" s="13" t="s">
        <v>123</v>
      </c>
      <c r="C176" s="14"/>
      <c r="D176" s="10" t="s">
        <v>160</v>
      </c>
      <c r="E176" s="10" t="s">
        <v>160</v>
      </c>
      <c r="F176" s="10"/>
      <c r="G176" s="16"/>
      <c r="H176" s="29">
        <v>24.18</v>
      </c>
      <c r="I176" s="7"/>
      <c r="J176" s="7"/>
      <c r="K176" s="7">
        <v>21.69</v>
      </c>
      <c r="L176" s="7">
        <f>1.1+1</f>
        <v>2.1</v>
      </c>
      <c r="M176" s="9"/>
      <c r="N176" s="24">
        <f t="shared" ref="N176" si="41">IF(AND(D176&lt;&gt;"",H176&lt;&gt;0),H176-I176+J176,"")</f>
        <v>24.18</v>
      </c>
      <c r="O176" s="24">
        <f t="shared" ref="O176" si="42">IF(AND(E176&lt;&gt;"",K176&lt;&gt;0),K176-L176+M176,"")</f>
        <v>19.59</v>
      </c>
      <c r="P176" s="24" t="str">
        <f t="shared" si="32"/>
        <v/>
      </c>
      <c r="Q176" s="24"/>
      <c r="R176" s="27"/>
      <c r="S176" s="6"/>
    </row>
    <row r="177" spans="1:19" x14ac:dyDescent="0.25">
      <c r="A177" s="12" t="s">
        <v>27</v>
      </c>
      <c r="B177" s="13" t="s">
        <v>124</v>
      </c>
      <c r="C177" s="14"/>
      <c r="D177" s="10" t="s">
        <v>159</v>
      </c>
      <c r="E177" s="10"/>
      <c r="F177" s="10" t="s">
        <v>275</v>
      </c>
      <c r="G177" s="16"/>
      <c r="H177" s="29">
        <v>4.8499999999999996</v>
      </c>
      <c r="I177" s="7"/>
      <c r="J177" s="7"/>
      <c r="K177" s="7">
        <v>8.8000000000000007</v>
      </c>
      <c r="L177" s="7">
        <v>1</v>
      </c>
      <c r="M177" s="9"/>
      <c r="N177" s="24">
        <f t="shared" si="5"/>
        <v>4.8499999999999996</v>
      </c>
      <c r="O177" s="24" t="str">
        <f t="shared" si="6"/>
        <v/>
      </c>
      <c r="P177" s="24">
        <f t="shared" si="32"/>
        <v>7.8000000000000007</v>
      </c>
      <c r="Q177" s="24"/>
      <c r="R177" s="27"/>
      <c r="S177" s="6"/>
    </row>
    <row r="178" spans="1:19" x14ac:dyDescent="0.25">
      <c r="A178" s="12" t="s">
        <v>27</v>
      </c>
      <c r="B178" s="13" t="s">
        <v>125</v>
      </c>
      <c r="C178" s="14"/>
      <c r="D178" s="10" t="s">
        <v>154</v>
      </c>
      <c r="E178" s="10" t="s">
        <v>154</v>
      </c>
      <c r="F178" s="10"/>
      <c r="G178" s="16"/>
      <c r="H178" s="29">
        <v>13.3</v>
      </c>
      <c r="I178" s="7"/>
      <c r="J178" s="7"/>
      <c r="K178" s="7">
        <v>18.89</v>
      </c>
      <c r="L178" s="7">
        <f>1.7+1.3+1.1</f>
        <v>4.0999999999999996</v>
      </c>
      <c r="M178" s="9"/>
      <c r="N178" s="24">
        <f t="shared" ref="N178:N181" si="43">IF(AND(D178&lt;&gt;"",H178&lt;&gt;0),H178-I178+J178,"")</f>
        <v>13.3</v>
      </c>
      <c r="O178" s="24">
        <f t="shared" ref="O178:O181" si="44">IF(AND(E178&lt;&gt;"",K178&lt;&gt;0),K178-L178+M178,"")</f>
        <v>14.790000000000001</v>
      </c>
      <c r="P178" s="24" t="str">
        <f t="shared" si="32"/>
        <v/>
      </c>
      <c r="Q178" s="24"/>
      <c r="R178" s="27"/>
      <c r="S178" s="6"/>
    </row>
    <row r="179" spans="1:19" x14ac:dyDescent="0.25">
      <c r="A179" s="12" t="s">
        <v>27</v>
      </c>
      <c r="B179" s="13" t="s">
        <v>126</v>
      </c>
      <c r="C179" s="14"/>
      <c r="D179" s="10" t="s">
        <v>160</v>
      </c>
      <c r="E179" s="10" t="s">
        <v>160</v>
      </c>
      <c r="F179" s="10"/>
      <c r="G179" s="16"/>
      <c r="H179" s="29">
        <v>27.51</v>
      </c>
      <c r="I179" s="7"/>
      <c r="J179" s="7"/>
      <c r="K179" s="7">
        <v>25.68</v>
      </c>
      <c r="L179" s="7">
        <f>1.1+1</f>
        <v>2.1</v>
      </c>
      <c r="M179" s="9"/>
      <c r="N179" s="24">
        <f t="shared" si="43"/>
        <v>27.51</v>
      </c>
      <c r="O179" s="24">
        <f t="shared" si="44"/>
        <v>23.58</v>
      </c>
      <c r="P179" s="24" t="str">
        <f t="shared" si="32"/>
        <v/>
      </c>
      <c r="Q179" s="24"/>
      <c r="R179" s="27"/>
      <c r="S179" s="6"/>
    </row>
    <row r="180" spans="1:19" x14ac:dyDescent="0.25">
      <c r="A180" s="12" t="s">
        <v>27</v>
      </c>
      <c r="B180" s="13" t="s">
        <v>127</v>
      </c>
      <c r="C180" s="14"/>
      <c r="D180" s="10" t="s">
        <v>159</v>
      </c>
      <c r="E180" s="10"/>
      <c r="F180" s="10" t="s">
        <v>275</v>
      </c>
      <c r="G180" s="16"/>
      <c r="H180" s="29">
        <v>4.8499999999999996</v>
      </c>
      <c r="I180" s="7"/>
      <c r="J180" s="7"/>
      <c r="K180" s="7">
        <v>8.8000000000000007</v>
      </c>
      <c r="L180" s="7">
        <v>1</v>
      </c>
      <c r="M180" s="9"/>
      <c r="N180" s="24">
        <f t="shared" si="43"/>
        <v>4.8499999999999996</v>
      </c>
      <c r="O180" s="24" t="str">
        <f t="shared" si="44"/>
        <v/>
      </c>
      <c r="P180" s="24">
        <f t="shared" si="32"/>
        <v>7.8000000000000007</v>
      </c>
      <c r="Q180" s="24"/>
      <c r="R180" s="27"/>
      <c r="S180" s="6"/>
    </row>
    <row r="181" spans="1:19" x14ac:dyDescent="0.25">
      <c r="A181" s="12" t="s">
        <v>27</v>
      </c>
      <c r="B181" s="13" t="s">
        <v>128</v>
      </c>
      <c r="C181" s="14"/>
      <c r="D181" s="10" t="s">
        <v>160</v>
      </c>
      <c r="E181" s="10" t="s">
        <v>160</v>
      </c>
      <c r="F181" s="10"/>
      <c r="G181" s="16"/>
      <c r="H181" s="29">
        <v>25</v>
      </c>
      <c r="I181" s="7"/>
      <c r="J181" s="7"/>
      <c r="K181" s="7">
        <v>22.69</v>
      </c>
      <c r="L181" s="7">
        <f>1.1+1</f>
        <v>2.1</v>
      </c>
      <c r="M181" s="9"/>
      <c r="N181" s="24">
        <f t="shared" si="43"/>
        <v>25</v>
      </c>
      <c r="O181" s="24">
        <f t="shared" si="44"/>
        <v>20.59</v>
      </c>
      <c r="P181" s="24" t="str">
        <f t="shared" si="32"/>
        <v/>
      </c>
      <c r="Q181" s="24"/>
      <c r="R181" s="27"/>
      <c r="S181" s="6"/>
    </row>
    <row r="182" spans="1:19" x14ac:dyDescent="0.25">
      <c r="A182" s="12" t="s">
        <v>27</v>
      </c>
      <c r="B182" s="13" t="s">
        <v>129</v>
      </c>
      <c r="C182" s="14"/>
      <c r="D182" s="10" t="s">
        <v>159</v>
      </c>
      <c r="E182" s="10"/>
      <c r="F182" s="10" t="s">
        <v>275</v>
      </c>
      <c r="G182" s="16"/>
      <c r="H182" s="29">
        <v>4.8499999999999996</v>
      </c>
      <c r="I182" s="7"/>
      <c r="J182" s="7"/>
      <c r="K182" s="7">
        <v>8.8000000000000007</v>
      </c>
      <c r="L182" s="7">
        <v>1</v>
      </c>
      <c r="M182" s="9"/>
      <c r="N182" s="24">
        <f t="shared" ref="N182:N324" si="45">IF(AND(D182&lt;&gt;"",H182&lt;&gt;0),H182-I182+J182,"")</f>
        <v>4.8499999999999996</v>
      </c>
      <c r="O182" s="24" t="str">
        <f t="shared" ref="O182:O324" si="46">IF(AND(E182&lt;&gt;"",K182&lt;&gt;0),K182-L182+M182,"")</f>
        <v/>
      </c>
      <c r="P182" s="24">
        <f t="shared" si="32"/>
        <v>7.8000000000000007</v>
      </c>
      <c r="Q182" s="24"/>
      <c r="R182" s="27"/>
      <c r="S182" s="6"/>
    </row>
    <row r="183" spans="1:19" x14ac:dyDescent="0.25">
      <c r="A183" s="12" t="s">
        <v>27</v>
      </c>
      <c r="B183" s="13" t="s">
        <v>130</v>
      </c>
      <c r="C183" s="14"/>
      <c r="D183" s="10" t="s">
        <v>160</v>
      </c>
      <c r="E183" s="10" t="s">
        <v>160</v>
      </c>
      <c r="F183" s="10"/>
      <c r="G183" s="16"/>
      <c r="H183" s="29">
        <v>24.04</v>
      </c>
      <c r="I183" s="7"/>
      <c r="J183" s="7"/>
      <c r="K183" s="7">
        <v>21.68</v>
      </c>
      <c r="L183" s="7">
        <f>1.1+1</f>
        <v>2.1</v>
      </c>
      <c r="M183" s="9"/>
      <c r="N183" s="24">
        <f t="shared" si="45"/>
        <v>24.04</v>
      </c>
      <c r="O183" s="24">
        <f t="shared" si="46"/>
        <v>19.579999999999998</v>
      </c>
      <c r="P183" s="24" t="str">
        <f t="shared" si="32"/>
        <v/>
      </c>
      <c r="Q183" s="24"/>
      <c r="R183" s="27"/>
      <c r="S183" s="6"/>
    </row>
    <row r="184" spans="1:19" x14ac:dyDescent="0.25">
      <c r="A184" s="12" t="s">
        <v>27</v>
      </c>
      <c r="B184" s="13" t="s">
        <v>131</v>
      </c>
      <c r="C184" s="14"/>
      <c r="D184" s="10" t="s">
        <v>159</v>
      </c>
      <c r="E184" s="10"/>
      <c r="F184" s="10" t="s">
        <v>275</v>
      </c>
      <c r="G184" s="16"/>
      <c r="H184" s="29">
        <v>4.8499999999999996</v>
      </c>
      <c r="I184" s="7"/>
      <c r="J184" s="7"/>
      <c r="K184" s="7">
        <v>8.8000000000000007</v>
      </c>
      <c r="L184" s="7">
        <v>1</v>
      </c>
      <c r="M184" s="9"/>
      <c r="N184" s="24">
        <f t="shared" si="45"/>
        <v>4.8499999999999996</v>
      </c>
      <c r="O184" s="24" t="str">
        <f t="shared" si="46"/>
        <v/>
      </c>
      <c r="P184" s="24">
        <f t="shared" si="32"/>
        <v>7.8000000000000007</v>
      </c>
      <c r="Q184" s="24"/>
      <c r="R184" s="27"/>
      <c r="S184" s="6"/>
    </row>
    <row r="185" spans="1:19" x14ac:dyDescent="0.25">
      <c r="A185" s="12" t="s">
        <v>27</v>
      </c>
      <c r="B185" s="13" t="s">
        <v>132</v>
      </c>
      <c r="C185" s="14"/>
      <c r="D185" s="10" t="s">
        <v>160</v>
      </c>
      <c r="E185" s="10" t="s">
        <v>160</v>
      </c>
      <c r="F185" s="10"/>
      <c r="G185" s="16"/>
      <c r="H185" s="29">
        <v>23.96</v>
      </c>
      <c r="I185" s="7"/>
      <c r="J185" s="7"/>
      <c r="K185" s="7">
        <v>21.68</v>
      </c>
      <c r="L185" s="7">
        <f>1.1+1</f>
        <v>2.1</v>
      </c>
      <c r="M185" s="9"/>
      <c r="N185" s="24">
        <f t="shared" si="45"/>
        <v>23.96</v>
      </c>
      <c r="O185" s="24">
        <f t="shared" si="46"/>
        <v>19.579999999999998</v>
      </c>
      <c r="P185" s="24" t="str">
        <f t="shared" si="32"/>
        <v/>
      </c>
      <c r="Q185" s="24"/>
      <c r="R185" s="27"/>
      <c r="S185" s="6"/>
    </row>
    <row r="186" spans="1:19" x14ac:dyDescent="0.25">
      <c r="A186" s="12" t="s">
        <v>27</v>
      </c>
      <c r="B186" s="13" t="s">
        <v>133</v>
      </c>
      <c r="C186" s="14"/>
      <c r="D186" s="10" t="s">
        <v>159</v>
      </c>
      <c r="E186" s="10"/>
      <c r="F186" s="10" t="s">
        <v>275</v>
      </c>
      <c r="G186" s="16"/>
      <c r="H186" s="29">
        <v>4.8499999999999996</v>
      </c>
      <c r="I186" s="7"/>
      <c r="J186" s="7"/>
      <c r="K186" s="7">
        <v>8.8000000000000007</v>
      </c>
      <c r="L186" s="7">
        <v>1</v>
      </c>
      <c r="M186" s="9"/>
      <c r="N186" s="24">
        <f t="shared" si="45"/>
        <v>4.8499999999999996</v>
      </c>
      <c r="O186" s="24" t="str">
        <f t="shared" si="46"/>
        <v/>
      </c>
      <c r="P186" s="24">
        <f t="shared" si="32"/>
        <v>7.8000000000000007</v>
      </c>
      <c r="Q186" s="24"/>
      <c r="R186" s="27"/>
      <c r="S186" s="6"/>
    </row>
    <row r="187" spans="1:19" x14ac:dyDescent="0.25">
      <c r="A187" s="12" t="s">
        <v>27</v>
      </c>
      <c r="B187" s="13" t="s">
        <v>134</v>
      </c>
      <c r="C187" s="14"/>
      <c r="D187" s="10" t="s">
        <v>146</v>
      </c>
      <c r="E187" s="10" t="s">
        <v>146</v>
      </c>
      <c r="F187" s="10"/>
      <c r="G187" s="16"/>
      <c r="H187" s="29">
        <v>3.77</v>
      </c>
      <c r="I187" s="7"/>
      <c r="J187" s="7"/>
      <c r="K187" s="7">
        <v>9.4</v>
      </c>
      <c r="L187" s="7">
        <v>0.7</v>
      </c>
      <c r="M187" s="9"/>
      <c r="N187" s="24">
        <f t="shared" si="45"/>
        <v>3.77</v>
      </c>
      <c r="O187" s="24">
        <f t="shared" si="46"/>
        <v>8.7000000000000011</v>
      </c>
      <c r="P187" s="24" t="str">
        <f t="shared" si="32"/>
        <v/>
      </c>
      <c r="Q187" s="24"/>
      <c r="R187" s="27"/>
      <c r="S187" s="6"/>
    </row>
    <row r="188" spans="1:19" x14ac:dyDescent="0.25">
      <c r="A188" s="12" t="s">
        <v>27</v>
      </c>
      <c r="B188" s="13" t="s">
        <v>135</v>
      </c>
      <c r="C188" s="14"/>
      <c r="D188" s="10" t="s">
        <v>162</v>
      </c>
      <c r="E188" s="10"/>
      <c r="F188" s="10"/>
      <c r="G188" s="16"/>
      <c r="H188" s="29">
        <v>65.260000000000005</v>
      </c>
      <c r="I188" s="7"/>
      <c r="J188" s="7"/>
      <c r="K188" s="7"/>
      <c r="L188" s="7"/>
      <c r="M188" s="9"/>
      <c r="N188" s="24">
        <f t="shared" si="45"/>
        <v>65.260000000000005</v>
      </c>
      <c r="O188" s="24" t="str">
        <f t="shared" si="46"/>
        <v/>
      </c>
      <c r="P188" s="24" t="str">
        <f t="shared" si="32"/>
        <v/>
      </c>
      <c r="Q188" s="24"/>
      <c r="R188" s="27"/>
      <c r="S188" s="6"/>
    </row>
    <row r="189" spans="1:19" x14ac:dyDescent="0.25">
      <c r="A189" s="12" t="s">
        <v>27</v>
      </c>
      <c r="B189" s="13" t="s">
        <v>136</v>
      </c>
      <c r="C189" s="14"/>
      <c r="D189" s="10" t="s">
        <v>162</v>
      </c>
      <c r="E189" s="10"/>
      <c r="F189" s="10"/>
      <c r="G189" s="16"/>
      <c r="H189" s="29">
        <v>58.9</v>
      </c>
      <c r="I189" s="7"/>
      <c r="J189" s="7"/>
      <c r="K189" s="7"/>
      <c r="L189" s="7"/>
      <c r="M189" s="9"/>
      <c r="N189" s="24">
        <f t="shared" si="45"/>
        <v>58.9</v>
      </c>
      <c r="O189" s="24" t="str">
        <f t="shared" si="46"/>
        <v/>
      </c>
      <c r="P189" s="24" t="str">
        <f t="shared" si="32"/>
        <v/>
      </c>
      <c r="Q189" s="24"/>
      <c r="R189" s="27"/>
      <c r="S189" s="6"/>
    </row>
    <row r="190" spans="1:19" x14ac:dyDescent="0.25">
      <c r="A190" s="12" t="s">
        <v>27</v>
      </c>
      <c r="B190" s="13" t="s">
        <v>137</v>
      </c>
      <c r="C190" s="14"/>
      <c r="D190" s="10" t="s">
        <v>163</v>
      </c>
      <c r="E190" s="10"/>
      <c r="F190" s="10"/>
      <c r="G190" s="16"/>
      <c r="H190" s="29">
        <v>93.4</v>
      </c>
      <c r="I190" s="7"/>
      <c r="J190" s="7"/>
      <c r="K190" s="7"/>
      <c r="L190" s="7"/>
      <c r="M190" s="9"/>
      <c r="N190" s="24">
        <f t="shared" si="45"/>
        <v>93.4</v>
      </c>
      <c r="O190" s="24" t="str">
        <f t="shared" si="46"/>
        <v/>
      </c>
      <c r="P190" s="24" t="str">
        <f t="shared" si="32"/>
        <v/>
      </c>
      <c r="Q190" s="24"/>
      <c r="R190" s="27"/>
      <c r="S190" s="6"/>
    </row>
    <row r="191" spans="1:19" x14ac:dyDescent="0.25">
      <c r="A191" s="12" t="s">
        <v>27</v>
      </c>
      <c r="B191" s="13" t="s">
        <v>138</v>
      </c>
      <c r="C191" s="14"/>
      <c r="D191" s="10" t="s">
        <v>163</v>
      </c>
      <c r="E191" s="10"/>
      <c r="F191" s="10"/>
      <c r="G191" s="16"/>
      <c r="H191" s="29">
        <v>48.86</v>
      </c>
      <c r="I191" s="7"/>
      <c r="J191" s="7"/>
      <c r="K191" s="7"/>
      <c r="L191" s="7"/>
      <c r="M191" s="9"/>
      <c r="N191" s="24">
        <f t="shared" si="45"/>
        <v>48.86</v>
      </c>
      <c r="O191" s="24" t="str">
        <f t="shared" si="46"/>
        <v/>
      </c>
      <c r="P191" s="24" t="str">
        <f t="shared" si="32"/>
        <v/>
      </c>
      <c r="Q191" s="24"/>
      <c r="R191" s="27"/>
      <c r="S191" s="6"/>
    </row>
    <row r="192" spans="1:19" x14ac:dyDescent="0.25">
      <c r="A192" s="12" t="s">
        <v>27</v>
      </c>
      <c r="B192" s="13" t="s">
        <v>139</v>
      </c>
      <c r="C192" s="14"/>
      <c r="D192" s="10" t="s">
        <v>164</v>
      </c>
      <c r="E192" s="10"/>
      <c r="F192" s="10"/>
      <c r="G192" s="16"/>
      <c r="H192" s="29">
        <v>42.09</v>
      </c>
      <c r="I192" s="7"/>
      <c r="J192" s="7"/>
      <c r="K192" s="7"/>
      <c r="L192" s="7"/>
      <c r="M192" s="9"/>
      <c r="N192" s="24">
        <f t="shared" si="45"/>
        <v>42.09</v>
      </c>
      <c r="O192" s="24" t="str">
        <f t="shared" si="46"/>
        <v/>
      </c>
      <c r="P192" s="24" t="str">
        <f t="shared" si="32"/>
        <v/>
      </c>
      <c r="Q192" s="24"/>
      <c r="R192" s="27"/>
      <c r="S192" s="6"/>
    </row>
    <row r="193" spans="1:19" x14ac:dyDescent="0.25">
      <c r="A193" s="12" t="s">
        <v>27</v>
      </c>
      <c r="B193" s="13" t="s">
        <v>92</v>
      </c>
      <c r="C193" s="14"/>
      <c r="D193" s="10" t="s">
        <v>238</v>
      </c>
      <c r="E193" s="10" t="s">
        <v>238</v>
      </c>
      <c r="F193" s="10"/>
      <c r="G193" s="16" t="s">
        <v>247</v>
      </c>
      <c r="H193" s="29">
        <v>31.37</v>
      </c>
      <c r="I193" s="7"/>
      <c r="J193" s="7"/>
      <c r="K193" s="7">
        <f>25.91-3.3</f>
        <v>22.61</v>
      </c>
      <c r="L193" s="7">
        <f>1.2+1.6+2.5+0.8+0.7*2+1.6+2</f>
        <v>11.1</v>
      </c>
      <c r="M193" s="9"/>
      <c r="N193" s="24">
        <f t="shared" si="45"/>
        <v>31.37</v>
      </c>
      <c r="O193" s="24">
        <f t="shared" si="46"/>
        <v>11.51</v>
      </c>
      <c r="P193" s="24" t="str">
        <f t="shared" si="32"/>
        <v/>
      </c>
      <c r="Q193" s="24"/>
      <c r="R193" s="27"/>
      <c r="S193" s="6"/>
    </row>
    <row r="194" spans="1:19" x14ac:dyDescent="0.25">
      <c r="A194" s="12" t="s">
        <v>27</v>
      </c>
      <c r="B194" s="13" t="s">
        <v>92</v>
      </c>
      <c r="C194" s="14"/>
      <c r="D194" s="10" t="s">
        <v>227</v>
      </c>
      <c r="E194" s="10" t="s">
        <v>227</v>
      </c>
      <c r="F194" s="10"/>
      <c r="G194" s="16" t="s">
        <v>245</v>
      </c>
      <c r="H194" s="29">
        <f>1.5*(0.3+0.155)*10</f>
        <v>6.8249999999999993</v>
      </c>
      <c r="I194" s="7"/>
      <c r="J194" s="7"/>
      <c r="K194" s="7">
        <f>0.3*11+(5.25-3.7)</f>
        <v>4.8499999999999996</v>
      </c>
      <c r="L194" s="7"/>
      <c r="M194" s="9"/>
      <c r="N194" s="24">
        <f t="shared" si="45"/>
        <v>6.8249999999999993</v>
      </c>
      <c r="O194" s="24">
        <f t="shared" si="46"/>
        <v>4.8499999999999996</v>
      </c>
      <c r="P194" s="24" t="str">
        <f t="shared" si="32"/>
        <v/>
      </c>
      <c r="Q194" s="24"/>
      <c r="R194" s="27"/>
      <c r="S194" s="6"/>
    </row>
    <row r="195" spans="1:19" x14ac:dyDescent="0.25">
      <c r="A195" s="12" t="s">
        <v>27</v>
      </c>
      <c r="B195" s="13" t="s">
        <v>92</v>
      </c>
      <c r="C195" s="14"/>
      <c r="D195" s="10" t="s">
        <v>226</v>
      </c>
      <c r="E195" s="10" t="s">
        <v>226</v>
      </c>
      <c r="F195" s="10"/>
      <c r="G195" s="16" t="s">
        <v>28</v>
      </c>
      <c r="H195" s="29">
        <f>3.3*(1.77-0.3)</f>
        <v>4.851</v>
      </c>
      <c r="I195" s="7"/>
      <c r="J195" s="7"/>
      <c r="K195" s="7">
        <f>3.3+1.47*2</f>
        <v>6.24</v>
      </c>
      <c r="L195" s="7"/>
      <c r="M195" s="9"/>
      <c r="N195" s="24">
        <f t="shared" ref="N195:N196" si="47">IF(AND(D195&lt;&gt;"",H195&lt;&gt;0),H195-I195+J195,"")</f>
        <v>4.851</v>
      </c>
      <c r="O195" s="24">
        <f t="shared" ref="O195:O196" si="48">IF(AND(E195&lt;&gt;"",K195&lt;&gt;0),K195-L195+M195,"")</f>
        <v>6.24</v>
      </c>
      <c r="P195" s="24" t="str">
        <f t="shared" si="32"/>
        <v/>
      </c>
      <c r="Q195" s="24"/>
      <c r="R195" s="27"/>
      <c r="S195" s="6"/>
    </row>
    <row r="196" spans="1:19" x14ac:dyDescent="0.25">
      <c r="A196" s="12" t="s">
        <v>27</v>
      </c>
      <c r="B196" s="13" t="s">
        <v>92</v>
      </c>
      <c r="C196" s="14"/>
      <c r="D196" s="10" t="s">
        <v>227</v>
      </c>
      <c r="E196" s="10" t="s">
        <v>227</v>
      </c>
      <c r="F196" s="10"/>
      <c r="G196" s="16" t="s">
        <v>246</v>
      </c>
      <c r="H196" s="29">
        <f>1.5*(0.3+0.155)*10</f>
        <v>6.8249999999999993</v>
      </c>
      <c r="I196" s="7"/>
      <c r="J196" s="7"/>
      <c r="K196" s="7">
        <f>0.3*10+(6.8-5.25)</f>
        <v>4.55</v>
      </c>
      <c r="L196" s="7"/>
      <c r="M196" s="9"/>
      <c r="N196" s="24">
        <f t="shared" si="47"/>
        <v>6.8249999999999993</v>
      </c>
      <c r="O196" s="24">
        <f t="shared" si="48"/>
        <v>4.55</v>
      </c>
      <c r="P196" s="24" t="str">
        <f t="shared" si="32"/>
        <v/>
      </c>
      <c r="Q196" s="24"/>
      <c r="R196" s="27"/>
      <c r="S196" s="6"/>
    </row>
    <row r="197" spans="1:19" x14ac:dyDescent="0.25">
      <c r="A197" s="12" t="s">
        <v>27</v>
      </c>
      <c r="B197" s="13" t="s">
        <v>93</v>
      </c>
      <c r="C197" s="14"/>
      <c r="D197" s="10" t="s">
        <v>229</v>
      </c>
      <c r="E197" s="10" t="s">
        <v>229</v>
      </c>
      <c r="F197" s="10"/>
      <c r="G197" s="16" t="s">
        <v>223</v>
      </c>
      <c r="H197" s="29">
        <v>3.96</v>
      </c>
      <c r="I197" s="7"/>
      <c r="J197" s="7"/>
      <c r="K197" s="7">
        <f>2.4+1.65*2</f>
        <v>5.6999999999999993</v>
      </c>
      <c r="L197" s="7">
        <v>1.3</v>
      </c>
      <c r="M197" s="9"/>
      <c r="N197" s="24">
        <f t="shared" si="45"/>
        <v>3.96</v>
      </c>
      <c r="O197" s="24">
        <f t="shared" si="46"/>
        <v>4.3999999999999995</v>
      </c>
      <c r="P197" s="24" t="str">
        <f t="shared" si="32"/>
        <v/>
      </c>
      <c r="Q197" s="24"/>
      <c r="R197" s="27"/>
      <c r="S197" s="6"/>
    </row>
    <row r="198" spans="1:19" x14ac:dyDescent="0.25">
      <c r="A198" s="12" t="s">
        <v>27</v>
      </c>
      <c r="B198" s="13" t="s">
        <v>93</v>
      </c>
      <c r="C198" s="14"/>
      <c r="D198" s="10" t="s">
        <v>227</v>
      </c>
      <c r="E198" s="10" t="s">
        <v>227</v>
      </c>
      <c r="F198" s="10"/>
      <c r="G198" s="16" t="s">
        <v>248</v>
      </c>
      <c r="H198" s="29">
        <f>1.1*(0.3+0.155)*10</f>
        <v>5.004999999999999</v>
      </c>
      <c r="I198" s="7"/>
      <c r="J198" s="7"/>
      <c r="K198" s="7">
        <f>0.3*9+0.155*10</f>
        <v>4.25</v>
      </c>
      <c r="L198" s="7"/>
      <c r="M198" s="9"/>
      <c r="N198" s="24">
        <f t="shared" ref="N198:N199" si="49">IF(AND(D198&lt;&gt;"",H198&lt;&gt;0),H198-I198+J198,"")</f>
        <v>5.004999999999999</v>
      </c>
      <c r="O198" s="24">
        <f t="shared" ref="O198:O199" si="50">IF(AND(E198&lt;&gt;"",K198&lt;&gt;0),K198-L198+M198,"")</f>
        <v>4.25</v>
      </c>
      <c r="P198" s="24" t="str">
        <f t="shared" si="32"/>
        <v/>
      </c>
      <c r="Q198" s="24"/>
      <c r="R198" s="27"/>
      <c r="S198" s="6"/>
    </row>
    <row r="199" spans="1:19" x14ac:dyDescent="0.25">
      <c r="A199" s="12" t="s">
        <v>27</v>
      </c>
      <c r="B199" s="13" t="s">
        <v>93</v>
      </c>
      <c r="C199" s="14"/>
      <c r="D199" s="10" t="s">
        <v>235</v>
      </c>
      <c r="E199" s="10" t="s">
        <v>235</v>
      </c>
      <c r="F199" s="10"/>
      <c r="G199" s="16" t="s">
        <v>28</v>
      </c>
      <c r="H199" s="29">
        <f>2.4*(1.11-0.3)</f>
        <v>1.944</v>
      </c>
      <c r="I199" s="7"/>
      <c r="J199" s="7"/>
      <c r="K199" s="7">
        <f>2.4+1.1*2</f>
        <v>4.5999999999999996</v>
      </c>
      <c r="L199" s="7"/>
      <c r="M199" s="9"/>
      <c r="N199" s="24">
        <f t="shared" si="49"/>
        <v>1.944</v>
      </c>
      <c r="O199" s="24">
        <f t="shared" si="50"/>
        <v>4.5999999999999996</v>
      </c>
      <c r="P199" s="24" t="str">
        <f t="shared" si="32"/>
        <v/>
      </c>
      <c r="Q199" s="24"/>
      <c r="R199" s="27"/>
      <c r="S199" s="6"/>
    </row>
    <row r="200" spans="1:19" x14ac:dyDescent="0.25">
      <c r="A200" s="12" t="s">
        <v>27</v>
      </c>
      <c r="B200" s="13" t="s">
        <v>93</v>
      </c>
      <c r="C200" s="14"/>
      <c r="D200" s="10" t="s">
        <v>227</v>
      </c>
      <c r="E200" s="10" t="s">
        <v>227</v>
      </c>
      <c r="F200" s="10"/>
      <c r="G200" s="16" t="s">
        <v>249</v>
      </c>
      <c r="H200" s="29">
        <f>1.1*(0.3+0.155)*10</f>
        <v>5.004999999999999</v>
      </c>
      <c r="I200" s="7"/>
      <c r="J200" s="7"/>
      <c r="K200" s="7">
        <f>0.3*9+0.155*10</f>
        <v>4.25</v>
      </c>
      <c r="L200" s="7"/>
      <c r="M200" s="9"/>
      <c r="N200" s="24">
        <f t="shared" si="45"/>
        <v>5.004999999999999</v>
      </c>
      <c r="O200" s="24">
        <f t="shared" si="46"/>
        <v>4.25</v>
      </c>
      <c r="P200" s="24" t="str">
        <f t="shared" si="32"/>
        <v/>
      </c>
      <c r="Q200" s="24"/>
      <c r="R200" s="27"/>
      <c r="S200" s="6"/>
    </row>
    <row r="201" spans="1:19" x14ac:dyDescent="0.25">
      <c r="A201" s="12" t="s">
        <v>27</v>
      </c>
      <c r="B201" s="13" t="s">
        <v>140</v>
      </c>
      <c r="C201" s="14"/>
      <c r="D201" s="10" t="s">
        <v>313</v>
      </c>
      <c r="E201" s="10" t="s">
        <v>313</v>
      </c>
      <c r="F201" s="10"/>
      <c r="G201" s="16" t="s">
        <v>223</v>
      </c>
      <c r="H201" s="29">
        <v>3.96</v>
      </c>
      <c r="I201" s="7"/>
      <c r="J201" s="7"/>
      <c r="K201" s="7">
        <f>8.1-1.31</f>
        <v>6.7899999999999991</v>
      </c>
      <c r="L201" s="7">
        <f>1.3+0.7</f>
        <v>2</v>
      </c>
      <c r="M201" s="9"/>
      <c r="N201" s="24">
        <f>IF(AND(D201&lt;&gt;"",H201&lt;&gt;0),H201-I201+J201,"")</f>
        <v>3.96</v>
      </c>
      <c r="O201" s="24">
        <f>IF(AND(E201&lt;&gt;"",K201&lt;&gt;0),K201-L201+M201,"")</f>
        <v>4.7899999999999991</v>
      </c>
      <c r="P201" s="24" t="str">
        <f t="shared" si="32"/>
        <v/>
      </c>
      <c r="Q201" s="24"/>
      <c r="R201" s="27"/>
      <c r="S201" s="6"/>
    </row>
    <row r="202" spans="1:19" x14ac:dyDescent="0.25">
      <c r="A202" s="12" t="s">
        <v>27</v>
      </c>
      <c r="B202" s="13" t="s">
        <v>140</v>
      </c>
      <c r="C202" s="14"/>
      <c r="D202" s="10" t="s">
        <v>227</v>
      </c>
      <c r="E202" s="10" t="s">
        <v>227</v>
      </c>
      <c r="F202" s="10"/>
      <c r="G202" s="16" t="s">
        <v>250</v>
      </c>
      <c r="H202" s="29">
        <f>1.1*(0.3+0.155)*10</f>
        <v>5.004999999999999</v>
      </c>
      <c r="I202" s="7"/>
      <c r="J202" s="7"/>
      <c r="K202" s="7">
        <f>0.3*9+0.155*10</f>
        <v>4.25</v>
      </c>
      <c r="L202" s="7"/>
      <c r="M202" s="9"/>
      <c r="N202" s="24">
        <f t="shared" ref="N202:N204" si="51">IF(AND(D202&lt;&gt;"",H202&lt;&gt;0),H202-I202+J202,"")</f>
        <v>5.004999999999999</v>
      </c>
      <c r="O202" s="24">
        <f t="shared" ref="O202:O204" si="52">IF(AND(E202&lt;&gt;"",K202&lt;&gt;0),K202-L202+M202,"")</f>
        <v>4.25</v>
      </c>
      <c r="P202" s="24" t="str">
        <f t="shared" ref="P202:P265" si="53">IF(AND(F202&lt;&gt;"",K202&lt;&gt;0),K202-L202+M202,"")</f>
        <v/>
      </c>
      <c r="Q202" s="24"/>
      <c r="R202" s="27"/>
      <c r="S202" s="6"/>
    </row>
    <row r="203" spans="1:19" x14ac:dyDescent="0.25">
      <c r="A203" s="12" t="s">
        <v>27</v>
      </c>
      <c r="B203" s="13" t="s">
        <v>140</v>
      </c>
      <c r="C203" s="14"/>
      <c r="D203" s="10" t="s">
        <v>235</v>
      </c>
      <c r="E203" s="10" t="s">
        <v>235</v>
      </c>
      <c r="F203" s="10"/>
      <c r="G203" s="16" t="s">
        <v>28</v>
      </c>
      <c r="H203" s="29">
        <f>2.4*(1.11-0.3)</f>
        <v>1.944</v>
      </c>
      <c r="I203" s="7"/>
      <c r="J203" s="7"/>
      <c r="K203" s="7">
        <f>2.41+1.1*2</f>
        <v>4.6100000000000003</v>
      </c>
      <c r="L203" s="7"/>
      <c r="M203" s="9"/>
      <c r="N203" s="24">
        <f t="shared" si="51"/>
        <v>1.944</v>
      </c>
      <c r="O203" s="24">
        <f t="shared" si="52"/>
        <v>4.6100000000000003</v>
      </c>
      <c r="P203" s="24" t="str">
        <f t="shared" si="53"/>
        <v/>
      </c>
      <c r="Q203" s="24"/>
      <c r="R203" s="27"/>
      <c r="S203" s="6"/>
    </row>
    <row r="204" spans="1:19" x14ac:dyDescent="0.25">
      <c r="A204" s="12" t="s">
        <v>27</v>
      </c>
      <c r="B204" s="13" t="s">
        <v>140</v>
      </c>
      <c r="C204" s="14"/>
      <c r="D204" s="10" t="s">
        <v>227</v>
      </c>
      <c r="E204" s="10" t="s">
        <v>227</v>
      </c>
      <c r="F204" s="10"/>
      <c r="G204" s="16" t="s">
        <v>251</v>
      </c>
      <c r="H204" s="29">
        <f>1.1*(0.3+0.155)*10</f>
        <v>5.004999999999999</v>
      </c>
      <c r="I204" s="7"/>
      <c r="J204" s="7"/>
      <c r="K204" s="7">
        <f>0.3*9+0.155*10</f>
        <v>4.25</v>
      </c>
      <c r="L204" s="7"/>
      <c r="M204" s="9"/>
      <c r="N204" s="24">
        <f t="shared" si="51"/>
        <v>5.004999999999999</v>
      </c>
      <c r="O204" s="24">
        <f t="shared" si="52"/>
        <v>4.25</v>
      </c>
      <c r="P204" s="24" t="str">
        <f t="shared" si="53"/>
        <v/>
      </c>
      <c r="Q204" s="24"/>
      <c r="R204" s="27"/>
      <c r="S204" s="6"/>
    </row>
    <row r="205" spans="1:19" x14ac:dyDescent="0.25">
      <c r="A205" s="12" t="s">
        <v>27</v>
      </c>
      <c r="B205" s="13" t="s">
        <v>141</v>
      </c>
      <c r="C205" s="14"/>
      <c r="D205" s="10"/>
      <c r="E205" s="10"/>
      <c r="F205" s="10"/>
      <c r="G205" s="16"/>
      <c r="H205" s="29"/>
      <c r="I205" s="7"/>
      <c r="J205" s="7"/>
      <c r="K205" s="7"/>
      <c r="L205" s="7"/>
      <c r="M205" s="9"/>
      <c r="N205" s="24" t="str">
        <f t="shared" ref="N205:N211" si="54">IF(AND(D205&lt;&gt;"",H205&lt;&gt;0),H205-I205+J205,"")</f>
        <v/>
      </c>
      <c r="O205" s="24" t="str">
        <f t="shared" ref="O205:O211" si="55">IF(AND(E205&lt;&gt;"",K205&lt;&gt;0),K205-L205+M205,"")</f>
        <v/>
      </c>
      <c r="P205" s="24" t="str">
        <f t="shared" si="53"/>
        <v/>
      </c>
      <c r="Q205" s="24"/>
      <c r="R205" s="27"/>
      <c r="S205" s="6"/>
    </row>
    <row r="206" spans="1:19" x14ac:dyDescent="0.25">
      <c r="A206" s="12" t="s">
        <v>27</v>
      </c>
      <c r="B206" s="13"/>
      <c r="C206" s="14"/>
      <c r="D206" s="10" t="s">
        <v>319</v>
      </c>
      <c r="E206" s="10"/>
      <c r="F206" s="10"/>
      <c r="G206" s="16" t="s">
        <v>320</v>
      </c>
      <c r="H206" s="29">
        <f>0.9*0.9*16</f>
        <v>12.96</v>
      </c>
      <c r="I206" s="7"/>
      <c r="J206" s="7"/>
      <c r="K206" s="7"/>
      <c r="L206" s="7"/>
      <c r="M206" s="9"/>
      <c r="N206" s="24">
        <f t="shared" si="54"/>
        <v>12.96</v>
      </c>
      <c r="O206" s="24" t="str">
        <f t="shared" si="55"/>
        <v/>
      </c>
      <c r="P206" s="24" t="str">
        <f t="shared" si="53"/>
        <v/>
      </c>
      <c r="Q206" s="24"/>
      <c r="R206" s="27"/>
      <c r="S206" s="6"/>
    </row>
    <row r="207" spans="1:19" x14ac:dyDescent="0.25">
      <c r="A207" s="12" t="s">
        <v>27</v>
      </c>
      <c r="B207" s="13"/>
      <c r="C207" s="14"/>
      <c r="D207" s="10" t="s">
        <v>157</v>
      </c>
      <c r="E207" s="10"/>
      <c r="F207" s="10"/>
      <c r="G207" s="16" t="s">
        <v>321</v>
      </c>
      <c r="H207" s="29">
        <f>-0.9*0.9*16</f>
        <v>-12.96</v>
      </c>
      <c r="I207" s="7"/>
      <c r="J207" s="7"/>
      <c r="K207" s="7"/>
      <c r="L207" s="7"/>
      <c r="M207" s="9"/>
      <c r="N207" s="24">
        <f t="shared" si="54"/>
        <v>-12.96</v>
      </c>
      <c r="O207" s="24" t="str">
        <f t="shared" si="55"/>
        <v/>
      </c>
      <c r="P207" s="24" t="str">
        <f t="shared" si="53"/>
        <v/>
      </c>
      <c r="Q207" s="24"/>
      <c r="R207" s="27"/>
      <c r="S207" s="6"/>
    </row>
    <row r="208" spans="1:19" x14ac:dyDescent="0.25">
      <c r="A208" s="12" t="s">
        <v>27</v>
      </c>
      <c r="B208" s="13"/>
      <c r="C208" s="14"/>
      <c r="D208" s="10" t="s">
        <v>324</v>
      </c>
      <c r="E208" s="10"/>
      <c r="F208" s="10"/>
      <c r="G208" s="16" t="s">
        <v>322</v>
      </c>
      <c r="H208" s="29">
        <f>0.9*0.9*14</f>
        <v>11.34</v>
      </c>
      <c r="I208" s="7"/>
      <c r="J208" s="7"/>
      <c r="K208" s="7"/>
      <c r="L208" s="7"/>
      <c r="M208" s="9"/>
      <c r="N208" s="24">
        <f t="shared" si="54"/>
        <v>11.34</v>
      </c>
      <c r="O208" s="24" t="str">
        <f t="shared" si="55"/>
        <v/>
      </c>
      <c r="P208" s="24" t="str">
        <f t="shared" si="53"/>
        <v/>
      </c>
      <c r="Q208" s="24"/>
      <c r="R208" s="27"/>
      <c r="S208" s="6"/>
    </row>
    <row r="209" spans="1:19" x14ac:dyDescent="0.25">
      <c r="A209" s="12" t="s">
        <v>27</v>
      </c>
      <c r="B209" s="13"/>
      <c r="C209" s="14"/>
      <c r="D209" s="10" t="s">
        <v>159</v>
      </c>
      <c r="E209" s="10"/>
      <c r="F209" s="10"/>
      <c r="G209" s="16" t="s">
        <v>323</v>
      </c>
      <c r="H209" s="29">
        <f>-0.9*0.9*14</f>
        <v>-11.34</v>
      </c>
      <c r="I209" s="7"/>
      <c r="J209" s="7"/>
      <c r="K209" s="7"/>
      <c r="L209" s="7"/>
      <c r="M209" s="9"/>
      <c r="N209" s="24">
        <f t="shared" si="54"/>
        <v>-11.34</v>
      </c>
      <c r="O209" s="24" t="str">
        <f t="shared" si="55"/>
        <v/>
      </c>
      <c r="P209" s="24" t="str">
        <f t="shared" si="53"/>
        <v/>
      </c>
      <c r="Q209" s="24"/>
      <c r="R209" s="27"/>
      <c r="S209" s="6"/>
    </row>
    <row r="210" spans="1:19" x14ac:dyDescent="0.25">
      <c r="A210" s="12" t="s">
        <v>27</v>
      </c>
      <c r="B210" s="13" t="s">
        <v>94</v>
      </c>
      <c r="C210" s="14"/>
      <c r="D210" s="10"/>
      <c r="E210" s="10"/>
      <c r="F210" s="10"/>
      <c r="G210" s="16" t="s">
        <v>152</v>
      </c>
      <c r="H210" s="29"/>
      <c r="I210" s="7"/>
      <c r="J210" s="7"/>
      <c r="K210" s="7"/>
      <c r="L210" s="7"/>
      <c r="M210" s="9"/>
      <c r="N210" s="24" t="str">
        <f t="shared" si="54"/>
        <v/>
      </c>
      <c r="O210" s="24" t="str">
        <f t="shared" si="55"/>
        <v/>
      </c>
      <c r="P210" s="24" t="str">
        <f t="shared" si="53"/>
        <v/>
      </c>
      <c r="Q210" s="24"/>
      <c r="R210" s="27"/>
      <c r="S210" s="6"/>
    </row>
    <row r="211" spans="1:19" x14ac:dyDescent="0.25">
      <c r="A211" s="12" t="s">
        <v>27</v>
      </c>
      <c r="B211" s="13" t="s">
        <v>95</v>
      </c>
      <c r="C211" s="14"/>
      <c r="D211" s="10"/>
      <c r="E211" s="10"/>
      <c r="F211" s="10"/>
      <c r="G211" s="16" t="s">
        <v>152</v>
      </c>
      <c r="H211" s="29"/>
      <c r="I211" s="7"/>
      <c r="J211" s="7"/>
      <c r="K211" s="7"/>
      <c r="L211" s="7"/>
      <c r="M211" s="9"/>
      <c r="N211" s="24" t="str">
        <f t="shared" si="54"/>
        <v/>
      </c>
      <c r="O211" s="24" t="str">
        <f t="shared" si="55"/>
        <v/>
      </c>
      <c r="P211" s="24" t="str">
        <f t="shared" si="53"/>
        <v/>
      </c>
      <c r="Q211" s="24"/>
      <c r="R211" s="27"/>
      <c r="S211" s="6"/>
    </row>
    <row r="212" spans="1:19" x14ac:dyDescent="0.25">
      <c r="A212" s="12" t="s">
        <v>27</v>
      </c>
      <c r="B212" s="13" t="s">
        <v>96</v>
      </c>
      <c r="C212" s="14"/>
      <c r="D212" s="10"/>
      <c r="E212" s="10"/>
      <c r="F212" s="10"/>
      <c r="G212" s="16" t="s">
        <v>152</v>
      </c>
      <c r="H212" s="29"/>
      <c r="I212" s="7"/>
      <c r="J212" s="7"/>
      <c r="K212" s="7"/>
      <c r="L212" s="7"/>
      <c r="M212" s="9"/>
      <c r="N212" s="24" t="str">
        <f>IF(AND(D212&lt;&gt;"",H212&lt;&gt;0),H212-I212+J212,"")</f>
        <v/>
      </c>
      <c r="O212" s="24" t="str">
        <f>IF(AND(E212&lt;&gt;"",K212&lt;&gt;0),K212-L212+M212,"")</f>
        <v/>
      </c>
      <c r="P212" s="24" t="str">
        <f t="shared" si="53"/>
        <v/>
      </c>
      <c r="Q212" s="24"/>
      <c r="R212" s="27"/>
      <c r="S212" s="6"/>
    </row>
    <row r="213" spans="1:19" x14ac:dyDescent="0.25">
      <c r="A213" s="12" t="s">
        <v>27</v>
      </c>
      <c r="B213" s="13" t="s">
        <v>97</v>
      </c>
      <c r="C213" s="14"/>
      <c r="D213" s="10"/>
      <c r="E213" s="10"/>
      <c r="F213" s="10"/>
      <c r="G213" s="16" t="s">
        <v>152</v>
      </c>
      <c r="H213" s="29"/>
      <c r="I213" s="7"/>
      <c r="J213" s="7"/>
      <c r="K213" s="7"/>
      <c r="L213" s="7"/>
      <c r="M213" s="9"/>
      <c r="N213" s="24" t="str">
        <f>IF(AND(D213&lt;&gt;"",H213&lt;&gt;0),H213-I213+J213,"")</f>
        <v/>
      </c>
      <c r="O213" s="24" t="str">
        <f>IF(AND(E213&lt;&gt;"",K213&lt;&gt;0),K213-L213+M213,"")</f>
        <v/>
      </c>
      <c r="P213" s="24" t="str">
        <f t="shared" si="53"/>
        <v/>
      </c>
      <c r="Q213" s="24"/>
      <c r="R213" s="27"/>
      <c r="S213" s="6"/>
    </row>
    <row r="214" spans="1:19" x14ac:dyDescent="0.25">
      <c r="A214" s="12" t="s">
        <v>27</v>
      </c>
      <c r="B214" s="13" t="s">
        <v>98</v>
      </c>
      <c r="C214" s="14"/>
      <c r="D214" s="10"/>
      <c r="E214" s="10"/>
      <c r="F214" s="10"/>
      <c r="G214" s="16" t="s">
        <v>152</v>
      </c>
      <c r="H214" s="29"/>
      <c r="I214" s="7"/>
      <c r="J214" s="7"/>
      <c r="K214" s="7"/>
      <c r="L214" s="7"/>
      <c r="M214" s="9"/>
      <c r="N214" s="24" t="str">
        <f t="shared" si="45"/>
        <v/>
      </c>
      <c r="O214" s="24" t="str">
        <f t="shared" si="46"/>
        <v/>
      </c>
      <c r="P214" s="24" t="str">
        <f t="shared" si="53"/>
        <v/>
      </c>
      <c r="Q214" s="24"/>
      <c r="R214" s="27"/>
      <c r="S214" s="6"/>
    </row>
    <row r="215" spans="1:19" x14ac:dyDescent="0.25">
      <c r="A215" s="12" t="s">
        <v>27</v>
      </c>
      <c r="B215" s="13" t="s">
        <v>99</v>
      </c>
      <c r="C215" s="14"/>
      <c r="D215" s="10"/>
      <c r="E215" s="10"/>
      <c r="F215" s="10"/>
      <c r="G215" s="16" t="s">
        <v>152</v>
      </c>
      <c r="H215" s="29"/>
      <c r="I215" s="7"/>
      <c r="J215" s="7"/>
      <c r="K215" s="7"/>
      <c r="L215" s="7"/>
      <c r="M215" s="9"/>
      <c r="N215" s="24" t="str">
        <f t="shared" si="45"/>
        <v/>
      </c>
      <c r="O215" s="24" t="str">
        <f t="shared" si="46"/>
        <v/>
      </c>
      <c r="P215" s="24" t="str">
        <f t="shared" si="53"/>
        <v/>
      </c>
      <c r="Q215" s="24"/>
      <c r="R215" s="27"/>
      <c r="S215" s="6"/>
    </row>
    <row r="216" spans="1:19" x14ac:dyDescent="0.25">
      <c r="A216" s="12" t="s">
        <v>27</v>
      </c>
      <c r="B216" s="13" t="s">
        <v>100</v>
      </c>
      <c r="C216" s="14"/>
      <c r="D216" s="10"/>
      <c r="E216" s="10"/>
      <c r="F216" s="10"/>
      <c r="G216" s="16" t="s">
        <v>152</v>
      </c>
      <c r="H216" s="29"/>
      <c r="I216" s="7"/>
      <c r="J216" s="7"/>
      <c r="K216" s="7"/>
      <c r="L216" s="7"/>
      <c r="M216" s="9"/>
      <c r="N216" s="24" t="str">
        <f t="shared" si="45"/>
        <v/>
      </c>
      <c r="O216" s="24" t="str">
        <f t="shared" si="46"/>
        <v/>
      </c>
      <c r="P216" s="24" t="str">
        <f t="shared" si="53"/>
        <v/>
      </c>
      <c r="Q216" s="24"/>
      <c r="R216" s="27"/>
      <c r="S216" s="6"/>
    </row>
    <row r="217" spans="1:19" x14ac:dyDescent="0.25">
      <c r="A217" s="12" t="s">
        <v>27</v>
      </c>
      <c r="B217" s="13" t="s">
        <v>101</v>
      </c>
      <c r="C217" s="14"/>
      <c r="D217" s="10"/>
      <c r="E217" s="10"/>
      <c r="F217" s="10"/>
      <c r="G217" s="16" t="s">
        <v>152</v>
      </c>
      <c r="H217" s="29"/>
      <c r="I217" s="7"/>
      <c r="J217" s="7"/>
      <c r="K217" s="7"/>
      <c r="L217" s="7"/>
      <c r="M217" s="9"/>
      <c r="N217" s="24" t="str">
        <f t="shared" ref="N217" si="56">IF(AND(D217&lt;&gt;"",H217&lt;&gt;0),H217-I217+J217,"")</f>
        <v/>
      </c>
      <c r="O217" s="24" t="str">
        <f t="shared" ref="O217" si="57">IF(AND(E217&lt;&gt;"",K217&lt;&gt;0),K217-L217+M217,"")</f>
        <v/>
      </c>
      <c r="P217" s="24" t="str">
        <f t="shared" si="53"/>
        <v/>
      </c>
      <c r="Q217" s="24"/>
      <c r="R217" s="27"/>
      <c r="S217" s="6"/>
    </row>
    <row r="218" spans="1:19" x14ac:dyDescent="0.25">
      <c r="A218" s="12" t="s">
        <v>27</v>
      </c>
      <c r="B218" s="13" t="s">
        <v>102</v>
      </c>
      <c r="C218" s="14"/>
      <c r="D218" s="10"/>
      <c r="E218" s="10"/>
      <c r="F218" s="10"/>
      <c r="G218" s="16" t="s">
        <v>152</v>
      </c>
      <c r="H218" s="29"/>
      <c r="I218" s="7"/>
      <c r="J218" s="7"/>
      <c r="K218" s="7"/>
      <c r="L218" s="7"/>
      <c r="M218" s="9"/>
      <c r="N218" s="24" t="str">
        <f t="shared" si="45"/>
        <v/>
      </c>
      <c r="O218" s="24" t="str">
        <f t="shared" si="46"/>
        <v/>
      </c>
      <c r="P218" s="24" t="str">
        <f t="shared" si="53"/>
        <v/>
      </c>
      <c r="Q218" s="24"/>
      <c r="R218" s="27"/>
      <c r="S218" s="6"/>
    </row>
    <row r="219" spans="1:19" x14ac:dyDescent="0.25">
      <c r="A219" s="12" t="s">
        <v>27</v>
      </c>
      <c r="B219" s="13" t="s">
        <v>103</v>
      </c>
      <c r="C219" s="14"/>
      <c r="D219" s="10"/>
      <c r="E219" s="10"/>
      <c r="F219" s="10"/>
      <c r="G219" s="16" t="s">
        <v>152</v>
      </c>
      <c r="H219" s="29"/>
      <c r="I219" s="7"/>
      <c r="J219" s="7"/>
      <c r="K219" s="7"/>
      <c r="L219" s="7"/>
      <c r="M219" s="9"/>
      <c r="N219" s="24" t="str">
        <f t="shared" si="45"/>
        <v/>
      </c>
      <c r="O219" s="24" t="str">
        <f t="shared" si="46"/>
        <v/>
      </c>
      <c r="P219" s="24" t="str">
        <f t="shared" si="53"/>
        <v/>
      </c>
      <c r="Q219" s="24"/>
      <c r="R219" s="27"/>
      <c r="S219" s="6"/>
    </row>
    <row r="220" spans="1:19" x14ac:dyDescent="0.25">
      <c r="A220" s="12" t="s">
        <v>27</v>
      </c>
      <c r="B220" s="13" t="s">
        <v>104</v>
      </c>
      <c r="C220" s="14"/>
      <c r="D220" s="10"/>
      <c r="E220" s="10"/>
      <c r="F220" s="10"/>
      <c r="G220" s="16" t="s">
        <v>152</v>
      </c>
      <c r="H220" s="29"/>
      <c r="I220" s="7"/>
      <c r="J220" s="7"/>
      <c r="K220" s="7"/>
      <c r="L220" s="7"/>
      <c r="M220" s="9"/>
      <c r="N220" s="24" t="str">
        <f t="shared" si="45"/>
        <v/>
      </c>
      <c r="O220" s="24" t="str">
        <f t="shared" si="46"/>
        <v/>
      </c>
      <c r="P220" s="24" t="str">
        <f t="shared" si="53"/>
        <v/>
      </c>
      <c r="Q220" s="24"/>
      <c r="R220" s="27"/>
      <c r="S220" s="6"/>
    </row>
    <row r="221" spans="1:19" x14ac:dyDescent="0.25">
      <c r="A221" s="12" t="s">
        <v>27</v>
      </c>
      <c r="B221" s="13" t="s">
        <v>105</v>
      </c>
      <c r="C221" s="14"/>
      <c r="D221" s="10"/>
      <c r="E221" s="10"/>
      <c r="F221" s="10"/>
      <c r="G221" s="16" t="s">
        <v>152</v>
      </c>
      <c r="H221" s="29"/>
      <c r="I221" s="7"/>
      <c r="J221" s="7"/>
      <c r="K221" s="7"/>
      <c r="L221" s="7"/>
      <c r="M221" s="9"/>
      <c r="N221" s="24" t="str">
        <f t="shared" si="45"/>
        <v/>
      </c>
      <c r="O221" s="24" t="str">
        <f t="shared" si="46"/>
        <v/>
      </c>
      <c r="P221" s="24" t="str">
        <f t="shared" si="53"/>
        <v/>
      </c>
      <c r="Q221" s="24"/>
      <c r="R221" s="27"/>
      <c r="S221" s="6"/>
    </row>
    <row r="222" spans="1:19" x14ac:dyDescent="0.25">
      <c r="A222" s="12"/>
      <c r="B222" s="13"/>
      <c r="C222" s="14"/>
      <c r="D222" s="10"/>
      <c r="E222" s="10"/>
      <c r="F222" s="10"/>
      <c r="G222" s="16"/>
      <c r="H222" s="29"/>
      <c r="I222" s="7"/>
      <c r="J222" s="7"/>
      <c r="K222" s="7"/>
      <c r="L222" s="7"/>
      <c r="M222" s="9"/>
      <c r="N222" s="24" t="str">
        <f t="shared" si="45"/>
        <v/>
      </c>
      <c r="O222" s="24" t="str">
        <f t="shared" si="46"/>
        <v/>
      </c>
      <c r="P222" s="24" t="str">
        <f t="shared" si="53"/>
        <v/>
      </c>
      <c r="Q222" s="24"/>
      <c r="R222" s="27"/>
      <c r="S222" s="6"/>
    </row>
    <row r="223" spans="1:19" x14ac:dyDescent="0.25">
      <c r="A223" s="31" t="s">
        <v>142</v>
      </c>
      <c r="B223" s="13"/>
      <c r="C223" s="14"/>
      <c r="D223" s="10"/>
      <c r="E223" s="10"/>
      <c r="F223" s="10"/>
      <c r="G223" s="16"/>
      <c r="H223" s="29"/>
      <c r="I223" s="7"/>
      <c r="J223" s="7"/>
      <c r="K223" s="7"/>
      <c r="L223" s="7"/>
      <c r="M223" s="9"/>
      <c r="N223" s="24" t="str">
        <f t="shared" si="45"/>
        <v/>
      </c>
      <c r="O223" s="24" t="str">
        <f t="shared" si="46"/>
        <v/>
      </c>
      <c r="P223" s="24" t="str">
        <f t="shared" si="53"/>
        <v/>
      </c>
      <c r="Q223" s="24"/>
      <c r="R223" s="27"/>
      <c r="S223" s="6"/>
    </row>
    <row r="224" spans="1:19" x14ac:dyDescent="0.25">
      <c r="A224" s="12" t="s">
        <v>143</v>
      </c>
      <c r="B224" s="13" t="s">
        <v>32</v>
      </c>
      <c r="C224" s="14"/>
      <c r="D224" s="10" t="s">
        <v>154</v>
      </c>
      <c r="E224" s="10" t="s">
        <v>154</v>
      </c>
      <c r="F224" s="10"/>
      <c r="G224" s="16"/>
      <c r="H224" s="29">
        <f>275.78-H225</f>
        <v>206.08999999999997</v>
      </c>
      <c r="I224" s="7"/>
      <c r="J224" s="7"/>
      <c r="K224" s="7">
        <f>120.51+51.62-O225</f>
        <v>144.31</v>
      </c>
      <c r="L224" s="7">
        <f>(1.1+1.6+0.9*2+1.1*7)+(0.8*2+1.1+0.8*2)</f>
        <v>16.5</v>
      </c>
      <c r="M224" s="9"/>
      <c r="N224" s="24">
        <f t="shared" ref="N224" si="58">IF(AND(D224&lt;&gt;"",H224&lt;&gt;0),H224-I224+J224,"")</f>
        <v>206.08999999999997</v>
      </c>
      <c r="O224" s="24">
        <f t="shared" ref="O224" si="59">IF(AND(E224&lt;&gt;"",K224&lt;&gt;0),K224-L224+M224,"")</f>
        <v>127.81</v>
      </c>
      <c r="P224" s="24" t="str">
        <f t="shared" si="53"/>
        <v/>
      </c>
      <c r="Q224" s="24"/>
      <c r="R224" s="27"/>
      <c r="S224" s="6"/>
    </row>
    <row r="225" spans="1:19" x14ac:dyDescent="0.25">
      <c r="A225" s="12" t="s">
        <v>143</v>
      </c>
      <c r="B225" s="13" t="s">
        <v>32</v>
      </c>
      <c r="C225" s="14"/>
      <c r="D225" s="10" t="s">
        <v>238</v>
      </c>
      <c r="E225" s="10" t="s">
        <v>238</v>
      </c>
      <c r="F225" s="10"/>
      <c r="G225" s="16"/>
      <c r="H225" s="29">
        <f>23.27+23.62+22.8</f>
        <v>69.69</v>
      </c>
      <c r="I225" s="7"/>
      <c r="J225" s="7"/>
      <c r="K225" s="7">
        <f>(5.23+0.38+0.52)+(22.49-3-1.8)+(20.25-1.8*2-3.2)</f>
        <v>37.269999999999996</v>
      </c>
      <c r="L225" s="7">
        <f>1.1*6+1.55+1.3</f>
        <v>9.4500000000000011</v>
      </c>
      <c r="M225" s="9"/>
      <c r="N225" s="24">
        <f t="shared" si="45"/>
        <v>69.69</v>
      </c>
      <c r="O225" s="24">
        <f t="shared" si="46"/>
        <v>27.819999999999993</v>
      </c>
      <c r="P225" s="24" t="str">
        <f t="shared" si="53"/>
        <v/>
      </c>
      <c r="Q225" s="24"/>
      <c r="R225" s="27"/>
      <c r="S225" s="6"/>
    </row>
    <row r="226" spans="1:19" x14ac:dyDescent="0.25">
      <c r="A226" s="12" t="s">
        <v>143</v>
      </c>
      <c r="B226" s="13" t="s">
        <v>33</v>
      </c>
      <c r="C226" s="14"/>
      <c r="D226" s="10" t="s">
        <v>153</v>
      </c>
      <c r="E226" s="10"/>
      <c r="F226" s="10" t="s">
        <v>275</v>
      </c>
      <c r="G226" s="16"/>
      <c r="H226" s="29">
        <v>10</v>
      </c>
      <c r="I226" s="7"/>
      <c r="J226" s="7"/>
      <c r="K226" s="7">
        <v>13.48</v>
      </c>
      <c r="L226" s="7">
        <f>0.9*2</f>
        <v>1.8</v>
      </c>
      <c r="M226" s="9"/>
      <c r="N226" s="24">
        <f t="shared" si="45"/>
        <v>10</v>
      </c>
      <c r="O226" s="24" t="str">
        <f t="shared" si="46"/>
        <v/>
      </c>
      <c r="P226" s="24">
        <f t="shared" si="53"/>
        <v>11.68</v>
      </c>
      <c r="Q226" s="24"/>
      <c r="R226" s="27"/>
      <c r="S226" s="6"/>
    </row>
    <row r="227" spans="1:19" x14ac:dyDescent="0.25">
      <c r="A227" s="12" t="s">
        <v>143</v>
      </c>
      <c r="B227" s="13" t="s">
        <v>34</v>
      </c>
      <c r="C227" s="14"/>
      <c r="D227" s="10" t="s">
        <v>154</v>
      </c>
      <c r="E227" s="10" t="s">
        <v>154</v>
      </c>
      <c r="F227" s="10"/>
      <c r="G227" s="16"/>
      <c r="H227" s="29">
        <v>19.829999999999998</v>
      </c>
      <c r="I227" s="7"/>
      <c r="J227" s="7"/>
      <c r="K227" s="7">
        <v>19.27</v>
      </c>
      <c r="L227" s="7">
        <f>0.8*2</f>
        <v>1.6</v>
      </c>
      <c r="M227" s="9"/>
      <c r="N227" s="24">
        <f t="shared" ref="N227:N228" si="60">IF(AND(D227&lt;&gt;"",H227&lt;&gt;0),H227-I227+J227,"")</f>
        <v>19.829999999999998</v>
      </c>
      <c r="O227" s="24">
        <f t="shared" ref="O227:O228" si="61">IF(AND(E227&lt;&gt;"",K227&lt;&gt;0),K227-L227+M227,"")</f>
        <v>17.669999999999998</v>
      </c>
      <c r="P227" s="24" t="str">
        <f t="shared" si="53"/>
        <v/>
      </c>
      <c r="Q227" s="24"/>
      <c r="R227" s="27"/>
      <c r="S227" s="6"/>
    </row>
    <row r="228" spans="1:19" x14ac:dyDescent="0.25">
      <c r="A228" s="12" t="s">
        <v>143</v>
      </c>
      <c r="B228" s="13" t="s">
        <v>35</v>
      </c>
      <c r="C228" s="14"/>
      <c r="D228" s="10" t="s">
        <v>155</v>
      </c>
      <c r="E228" s="10" t="s">
        <v>155</v>
      </c>
      <c r="F228" s="10"/>
      <c r="G228" s="16"/>
      <c r="H228" s="29">
        <v>4.3</v>
      </c>
      <c r="I228" s="7"/>
      <c r="J228" s="7"/>
      <c r="K228" s="7">
        <v>9.1</v>
      </c>
      <c r="L228" s="7">
        <v>0.8</v>
      </c>
      <c r="M228" s="9"/>
      <c r="N228" s="24">
        <f t="shared" si="60"/>
        <v>4.3</v>
      </c>
      <c r="O228" s="24">
        <f t="shared" si="61"/>
        <v>8.2999999999999989</v>
      </c>
      <c r="P228" s="24" t="str">
        <f t="shared" si="53"/>
        <v/>
      </c>
      <c r="Q228" s="24"/>
      <c r="R228" s="27"/>
      <c r="S228" s="6"/>
    </row>
    <row r="229" spans="1:19" x14ac:dyDescent="0.25">
      <c r="A229" s="12" t="s">
        <v>143</v>
      </c>
      <c r="B229" s="13" t="s">
        <v>36</v>
      </c>
      <c r="C229" s="14"/>
      <c r="D229" s="10" t="s">
        <v>155</v>
      </c>
      <c r="E229" s="10"/>
      <c r="F229" s="10"/>
      <c r="G229" s="16"/>
      <c r="H229" s="29">
        <v>1.58</v>
      </c>
      <c r="I229" s="7"/>
      <c r="J229" s="7"/>
      <c r="K229" s="7"/>
      <c r="L229" s="7"/>
      <c r="M229" s="9"/>
      <c r="N229" s="24">
        <f t="shared" ref="N229:N230" si="62">IF(AND(D229&lt;&gt;"",H229&lt;&gt;0),H229-I229+J229,"")</f>
        <v>1.58</v>
      </c>
      <c r="O229" s="24" t="str">
        <f t="shared" ref="O229:O230" si="63">IF(AND(E229&lt;&gt;"",K229&lt;&gt;0),K229-L229+M229,"")</f>
        <v/>
      </c>
      <c r="P229" s="24" t="str">
        <f t="shared" si="53"/>
        <v/>
      </c>
      <c r="Q229" s="24"/>
      <c r="R229" s="27"/>
      <c r="S229" s="6"/>
    </row>
    <row r="230" spans="1:19" x14ac:dyDescent="0.25">
      <c r="A230" s="12" t="s">
        <v>143</v>
      </c>
      <c r="B230" s="13" t="s">
        <v>37</v>
      </c>
      <c r="C230" s="14"/>
      <c r="D230" s="10" t="s">
        <v>155</v>
      </c>
      <c r="E230" s="10"/>
      <c r="F230" s="10"/>
      <c r="G230" s="16"/>
      <c r="H230" s="29">
        <v>4.3099999999999996</v>
      </c>
      <c r="I230" s="7"/>
      <c r="J230" s="7"/>
      <c r="K230" s="7"/>
      <c r="L230" s="7"/>
      <c r="M230" s="9"/>
      <c r="N230" s="24">
        <f t="shared" si="62"/>
        <v>4.3099999999999996</v>
      </c>
      <c r="O230" s="24" t="str">
        <f t="shared" si="63"/>
        <v/>
      </c>
      <c r="P230" s="24" t="str">
        <f t="shared" si="53"/>
        <v/>
      </c>
      <c r="Q230" s="24"/>
      <c r="R230" s="27"/>
      <c r="S230" s="6"/>
    </row>
    <row r="231" spans="1:19" x14ac:dyDescent="0.25">
      <c r="A231" s="12" t="s">
        <v>143</v>
      </c>
      <c r="B231" s="13" t="s">
        <v>38</v>
      </c>
      <c r="C231" s="14"/>
      <c r="D231" s="10" t="s">
        <v>153</v>
      </c>
      <c r="E231" s="10"/>
      <c r="F231" s="10" t="s">
        <v>275</v>
      </c>
      <c r="G231" s="16"/>
      <c r="H231" s="29">
        <v>15.13</v>
      </c>
      <c r="I231" s="7"/>
      <c r="J231" s="7"/>
      <c r="K231" s="7">
        <v>15.34</v>
      </c>
      <c r="L231" s="7">
        <v>1.1000000000000001</v>
      </c>
      <c r="M231" s="9"/>
      <c r="N231" s="24">
        <f t="shared" si="45"/>
        <v>15.13</v>
      </c>
      <c r="O231" s="24" t="str">
        <f t="shared" si="46"/>
        <v/>
      </c>
      <c r="P231" s="24">
        <f t="shared" si="53"/>
        <v>14.24</v>
      </c>
      <c r="Q231" s="24"/>
      <c r="R231" s="27"/>
      <c r="S231" s="6"/>
    </row>
    <row r="232" spans="1:19" x14ac:dyDescent="0.25">
      <c r="A232" s="12" t="s">
        <v>143</v>
      </c>
      <c r="B232" s="13" t="s">
        <v>39</v>
      </c>
      <c r="C232" s="14"/>
      <c r="D232" s="10" t="s">
        <v>160</v>
      </c>
      <c r="E232" s="10" t="s">
        <v>160</v>
      </c>
      <c r="F232" s="10"/>
      <c r="G232" s="16"/>
      <c r="H232" s="29">
        <v>24</v>
      </c>
      <c r="I232" s="7"/>
      <c r="J232" s="7"/>
      <c r="K232" s="7">
        <v>21.64</v>
      </c>
      <c r="L232" s="7">
        <f>1.1+1</f>
        <v>2.1</v>
      </c>
      <c r="M232" s="9"/>
      <c r="N232" s="24">
        <f t="shared" si="45"/>
        <v>24</v>
      </c>
      <c r="O232" s="24">
        <f t="shared" si="46"/>
        <v>19.54</v>
      </c>
      <c r="P232" s="24" t="str">
        <f t="shared" si="53"/>
        <v/>
      </c>
      <c r="Q232" s="24"/>
      <c r="R232" s="27"/>
      <c r="S232" s="6"/>
    </row>
    <row r="233" spans="1:19" x14ac:dyDescent="0.25">
      <c r="A233" s="12" t="s">
        <v>143</v>
      </c>
      <c r="B233" s="13" t="s">
        <v>40</v>
      </c>
      <c r="C233" s="14"/>
      <c r="D233" s="10" t="s">
        <v>159</v>
      </c>
      <c r="E233" s="10"/>
      <c r="F233" s="10" t="s">
        <v>275</v>
      </c>
      <c r="G233" s="16"/>
      <c r="H233" s="29">
        <v>4.8499999999999996</v>
      </c>
      <c r="I233" s="7"/>
      <c r="J233" s="7"/>
      <c r="K233" s="7">
        <v>8.8000000000000007</v>
      </c>
      <c r="L233" s="7">
        <v>1</v>
      </c>
      <c r="M233" s="9"/>
      <c r="N233" s="24">
        <f t="shared" si="45"/>
        <v>4.8499999999999996</v>
      </c>
      <c r="O233" s="24" t="str">
        <f t="shared" si="46"/>
        <v/>
      </c>
      <c r="P233" s="24">
        <f t="shared" si="53"/>
        <v>7.8000000000000007</v>
      </c>
      <c r="Q233" s="24"/>
      <c r="R233" s="27"/>
      <c r="S233" s="6"/>
    </row>
    <row r="234" spans="1:19" x14ac:dyDescent="0.25">
      <c r="A234" s="12" t="s">
        <v>143</v>
      </c>
      <c r="B234" s="13" t="s">
        <v>42</v>
      </c>
      <c r="C234" s="14"/>
      <c r="D234" s="10" t="s">
        <v>160</v>
      </c>
      <c r="E234" s="10" t="s">
        <v>160</v>
      </c>
      <c r="F234" s="10"/>
      <c r="G234" s="16"/>
      <c r="H234" s="29">
        <v>24</v>
      </c>
      <c r="I234" s="7"/>
      <c r="J234" s="7"/>
      <c r="K234" s="7">
        <v>21.68</v>
      </c>
      <c r="L234" s="7">
        <f>1.1+1</f>
        <v>2.1</v>
      </c>
      <c r="M234" s="9"/>
      <c r="N234" s="24">
        <f t="shared" si="45"/>
        <v>24</v>
      </c>
      <c r="O234" s="24">
        <f t="shared" si="46"/>
        <v>19.579999999999998</v>
      </c>
      <c r="P234" s="24" t="str">
        <f t="shared" si="53"/>
        <v/>
      </c>
      <c r="Q234" s="24"/>
      <c r="R234" s="27"/>
      <c r="S234" s="6"/>
    </row>
    <row r="235" spans="1:19" x14ac:dyDescent="0.25">
      <c r="A235" s="12" t="s">
        <v>143</v>
      </c>
      <c r="B235" s="13" t="s">
        <v>45</v>
      </c>
      <c r="C235" s="14"/>
      <c r="D235" s="10" t="s">
        <v>159</v>
      </c>
      <c r="E235" s="10"/>
      <c r="F235" s="10" t="s">
        <v>275</v>
      </c>
      <c r="G235" s="16"/>
      <c r="H235" s="29">
        <v>4.8499999999999996</v>
      </c>
      <c r="I235" s="7"/>
      <c r="J235" s="7"/>
      <c r="K235" s="7">
        <v>8.8000000000000007</v>
      </c>
      <c r="L235" s="7">
        <v>1</v>
      </c>
      <c r="M235" s="9"/>
      <c r="N235" s="24">
        <f t="shared" si="45"/>
        <v>4.8499999999999996</v>
      </c>
      <c r="O235" s="24" t="str">
        <f t="shared" si="46"/>
        <v/>
      </c>
      <c r="P235" s="24">
        <f t="shared" si="53"/>
        <v>7.8000000000000007</v>
      </c>
      <c r="Q235" s="24"/>
      <c r="R235" s="27"/>
      <c r="S235" s="6"/>
    </row>
    <row r="236" spans="1:19" x14ac:dyDescent="0.25">
      <c r="A236" s="12" t="s">
        <v>143</v>
      </c>
      <c r="B236" s="13" t="s">
        <v>47</v>
      </c>
      <c r="C236" s="14"/>
      <c r="D236" s="10" t="s">
        <v>160</v>
      </c>
      <c r="E236" s="10" t="s">
        <v>160</v>
      </c>
      <c r="F236" s="10"/>
      <c r="G236" s="16"/>
      <c r="H236" s="29">
        <v>24</v>
      </c>
      <c r="I236" s="7"/>
      <c r="J236" s="7"/>
      <c r="K236" s="7">
        <v>21.67</v>
      </c>
      <c r="L236" s="7">
        <f>1.1+1</f>
        <v>2.1</v>
      </c>
      <c r="M236" s="9"/>
      <c r="N236" s="24">
        <f t="shared" si="45"/>
        <v>24</v>
      </c>
      <c r="O236" s="24">
        <f t="shared" si="46"/>
        <v>19.57</v>
      </c>
      <c r="P236" s="24" t="str">
        <f t="shared" si="53"/>
        <v/>
      </c>
      <c r="Q236" s="24"/>
      <c r="R236" s="27"/>
      <c r="S236" s="6"/>
    </row>
    <row r="237" spans="1:19" x14ac:dyDescent="0.25">
      <c r="A237" s="12" t="s">
        <v>143</v>
      </c>
      <c r="B237" s="13" t="s">
        <v>48</v>
      </c>
      <c r="C237" s="14"/>
      <c r="D237" s="10" t="s">
        <v>159</v>
      </c>
      <c r="E237" s="10"/>
      <c r="F237" s="10" t="s">
        <v>275</v>
      </c>
      <c r="G237" s="16"/>
      <c r="H237" s="29">
        <v>4.8499999999999996</v>
      </c>
      <c r="I237" s="7"/>
      <c r="J237" s="7"/>
      <c r="K237" s="7">
        <v>8.8000000000000007</v>
      </c>
      <c r="L237" s="7">
        <v>1</v>
      </c>
      <c r="M237" s="9"/>
      <c r="N237" s="24">
        <f t="shared" si="45"/>
        <v>4.8499999999999996</v>
      </c>
      <c r="O237" s="24" t="str">
        <f t="shared" si="46"/>
        <v/>
      </c>
      <c r="P237" s="24">
        <f t="shared" si="53"/>
        <v>7.8000000000000007</v>
      </c>
      <c r="Q237" s="24"/>
      <c r="R237" s="27"/>
      <c r="S237" s="6"/>
    </row>
    <row r="238" spans="1:19" x14ac:dyDescent="0.25">
      <c r="A238" s="12" t="s">
        <v>143</v>
      </c>
      <c r="B238" s="13" t="s">
        <v>49</v>
      </c>
      <c r="C238" s="14"/>
      <c r="D238" s="10" t="s">
        <v>160</v>
      </c>
      <c r="E238" s="10" t="s">
        <v>160</v>
      </c>
      <c r="F238" s="10"/>
      <c r="G238" s="16"/>
      <c r="H238" s="29">
        <v>24</v>
      </c>
      <c r="I238" s="7"/>
      <c r="J238" s="7"/>
      <c r="K238" s="7">
        <v>21.68</v>
      </c>
      <c r="L238" s="7">
        <f>1.1+1</f>
        <v>2.1</v>
      </c>
      <c r="M238" s="9"/>
      <c r="N238" s="24">
        <f t="shared" si="45"/>
        <v>24</v>
      </c>
      <c r="O238" s="24">
        <f t="shared" si="46"/>
        <v>19.579999999999998</v>
      </c>
      <c r="P238" s="24" t="str">
        <f t="shared" si="53"/>
        <v/>
      </c>
      <c r="Q238" s="24"/>
      <c r="R238" s="27"/>
      <c r="S238" s="6"/>
    </row>
    <row r="239" spans="1:19" x14ac:dyDescent="0.25">
      <c r="A239" s="12" t="s">
        <v>143</v>
      </c>
      <c r="B239" s="13" t="s">
        <v>50</v>
      </c>
      <c r="C239" s="14"/>
      <c r="D239" s="10" t="s">
        <v>159</v>
      </c>
      <c r="E239" s="10"/>
      <c r="F239" s="10" t="s">
        <v>275</v>
      </c>
      <c r="G239" s="16"/>
      <c r="H239" s="29">
        <v>4.8499999999999996</v>
      </c>
      <c r="I239" s="7"/>
      <c r="J239" s="7"/>
      <c r="K239" s="7">
        <v>8.8000000000000007</v>
      </c>
      <c r="L239" s="7">
        <v>1</v>
      </c>
      <c r="M239" s="9"/>
      <c r="N239" s="24">
        <f t="shared" si="45"/>
        <v>4.8499999999999996</v>
      </c>
      <c r="O239" s="24" t="str">
        <f t="shared" si="46"/>
        <v/>
      </c>
      <c r="P239" s="24">
        <f t="shared" si="53"/>
        <v>7.8000000000000007</v>
      </c>
      <c r="Q239" s="24"/>
      <c r="R239" s="27"/>
      <c r="S239" s="6"/>
    </row>
    <row r="240" spans="1:19" x14ac:dyDescent="0.25">
      <c r="A240" s="12" t="s">
        <v>143</v>
      </c>
      <c r="B240" s="13" t="s">
        <v>51</v>
      </c>
      <c r="C240" s="14"/>
      <c r="D240" s="10" t="s">
        <v>160</v>
      </c>
      <c r="E240" s="10" t="s">
        <v>160</v>
      </c>
      <c r="F240" s="10"/>
      <c r="G240" s="16"/>
      <c r="H240" s="29">
        <v>25.31</v>
      </c>
      <c r="I240" s="7"/>
      <c r="J240" s="7"/>
      <c r="K240" s="7">
        <v>22.78</v>
      </c>
      <c r="L240" s="7">
        <f>1.1+1</f>
        <v>2.1</v>
      </c>
      <c r="M240" s="9"/>
      <c r="N240" s="24">
        <f t="shared" si="45"/>
        <v>25.31</v>
      </c>
      <c r="O240" s="24">
        <f t="shared" si="46"/>
        <v>20.68</v>
      </c>
      <c r="P240" s="24" t="str">
        <f t="shared" si="53"/>
        <v/>
      </c>
      <c r="Q240" s="24"/>
      <c r="R240" s="27"/>
      <c r="S240" s="6"/>
    </row>
    <row r="241" spans="1:19" x14ac:dyDescent="0.25">
      <c r="A241" s="12" t="s">
        <v>143</v>
      </c>
      <c r="B241" s="13" t="s">
        <v>52</v>
      </c>
      <c r="C241" s="14"/>
      <c r="D241" s="10" t="s">
        <v>159</v>
      </c>
      <c r="E241" s="10"/>
      <c r="F241" s="10" t="s">
        <v>275</v>
      </c>
      <c r="G241" s="16"/>
      <c r="H241" s="29">
        <v>4.8499999999999996</v>
      </c>
      <c r="I241" s="7"/>
      <c r="J241" s="7"/>
      <c r="K241" s="7">
        <v>8.8000000000000007</v>
      </c>
      <c r="L241" s="7">
        <v>1</v>
      </c>
      <c r="M241" s="9"/>
      <c r="N241" s="24">
        <f t="shared" si="45"/>
        <v>4.8499999999999996</v>
      </c>
      <c r="O241" s="24" t="str">
        <f t="shared" si="46"/>
        <v/>
      </c>
      <c r="P241" s="24">
        <f t="shared" si="53"/>
        <v>7.8000000000000007</v>
      </c>
      <c r="Q241" s="24"/>
      <c r="R241" s="27"/>
      <c r="S241" s="6"/>
    </row>
    <row r="242" spans="1:19" x14ac:dyDescent="0.25">
      <c r="A242" s="12" t="s">
        <v>143</v>
      </c>
      <c r="B242" s="13" t="s">
        <v>53</v>
      </c>
      <c r="C242" s="14"/>
      <c r="D242" s="10" t="s">
        <v>154</v>
      </c>
      <c r="E242" s="10" t="s">
        <v>154</v>
      </c>
      <c r="F242" s="10"/>
      <c r="G242" s="16"/>
      <c r="H242" s="29">
        <v>13.1</v>
      </c>
      <c r="I242" s="7"/>
      <c r="J242" s="7"/>
      <c r="K242" s="7">
        <v>18.89</v>
      </c>
      <c r="L242" s="7">
        <f>1.7+1.3+1.1+2.5</f>
        <v>6.6</v>
      </c>
      <c r="M242" s="9"/>
      <c r="N242" s="24">
        <f t="shared" si="45"/>
        <v>13.1</v>
      </c>
      <c r="O242" s="24">
        <f t="shared" si="46"/>
        <v>12.290000000000001</v>
      </c>
      <c r="P242" s="24" t="str">
        <f t="shared" si="53"/>
        <v/>
      </c>
      <c r="Q242" s="24"/>
      <c r="R242" s="27"/>
      <c r="S242" s="6"/>
    </row>
    <row r="243" spans="1:19" x14ac:dyDescent="0.25">
      <c r="A243" s="12" t="s">
        <v>143</v>
      </c>
      <c r="B243" s="13" t="s">
        <v>54</v>
      </c>
      <c r="C243" s="14"/>
      <c r="D243" s="10" t="s">
        <v>160</v>
      </c>
      <c r="E243" s="10" t="s">
        <v>160</v>
      </c>
      <c r="F243" s="10"/>
      <c r="G243" s="16"/>
      <c r="H243" s="29">
        <v>26.2</v>
      </c>
      <c r="I243" s="7"/>
      <c r="J243" s="7"/>
      <c r="K243" s="7">
        <v>25.33</v>
      </c>
      <c r="L243" s="7">
        <f>1.1+1</f>
        <v>2.1</v>
      </c>
      <c r="M243" s="9"/>
      <c r="N243" s="24">
        <f t="shared" ref="N243:N307" si="64">IF(AND(D243&lt;&gt;"",H243&lt;&gt;0),H243-I243+J243,"")</f>
        <v>26.2</v>
      </c>
      <c r="O243" s="24">
        <f t="shared" ref="O243:O307" si="65">IF(AND(E243&lt;&gt;"",K243&lt;&gt;0),K243-L243+M243,"")</f>
        <v>23.229999999999997</v>
      </c>
      <c r="P243" s="24" t="str">
        <f t="shared" si="53"/>
        <v/>
      </c>
      <c r="Q243" s="24"/>
      <c r="R243" s="27"/>
      <c r="S243" s="6"/>
    </row>
    <row r="244" spans="1:19" x14ac:dyDescent="0.25">
      <c r="A244" s="12" t="s">
        <v>143</v>
      </c>
      <c r="B244" s="13" t="s">
        <v>55</v>
      </c>
      <c r="C244" s="14"/>
      <c r="D244" s="10" t="s">
        <v>159</v>
      </c>
      <c r="E244" s="10"/>
      <c r="F244" s="10" t="s">
        <v>275</v>
      </c>
      <c r="G244" s="16"/>
      <c r="H244" s="29">
        <v>4.8499999999999996</v>
      </c>
      <c r="I244" s="7"/>
      <c r="J244" s="7"/>
      <c r="K244" s="7">
        <v>8.8000000000000007</v>
      </c>
      <c r="L244" s="7">
        <v>1</v>
      </c>
      <c r="M244" s="9"/>
      <c r="N244" s="24">
        <f t="shared" si="64"/>
        <v>4.8499999999999996</v>
      </c>
      <c r="O244" s="24" t="str">
        <f t="shared" si="65"/>
        <v/>
      </c>
      <c r="P244" s="24">
        <f t="shared" si="53"/>
        <v>7.8000000000000007</v>
      </c>
      <c r="Q244" s="24"/>
      <c r="R244" s="27"/>
      <c r="S244" s="6"/>
    </row>
    <row r="245" spans="1:19" x14ac:dyDescent="0.25">
      <c r="A245" s="12" t="s">
        <v>143</v>
      </c>
      <c r="B245" s="13" t="s">
        <v>56</v>
      </c>
      <c r="C245" s="14"/>
      <c r="D245" s="10" t="s">
        <v>160</v>
      </c>
      <c r="E245" s="10" t="s">
        <v>160</v>
      </c>
      <c r="F245" s="10"/>
      <c r="G245" s="16"/>
      <c r="H245" s="29">
        <v>24</v>
      </c>
      <c r="I245" s="7"/>
      <c r="J245" s="7"/>
      <c r="K245" s="7">
        <f>21.68</f>
        <v>21.68</v>
      </c>
      <c r="L245" s="7">
        <f>1.1+1</f>
        <v>2.1</v>
      </c>
      <c r="M245" s="9"/>
      <c r="N245" s="24">
        <f t="shared" si="64"/>
        <v>24</v>
      </c>
      <c r="O245" s="24">
        <f t="shared" si="65"/>
        <v>19.579999999999998</v>
      </c>
      <c r="P245" s="24" t="str">
        <f t="shared" si="53"/>
        <v/>
      </c>
      <c r="Q245" s="24"/>
      <c r="R245" s="27"/>
      <c r="S245" s="6"/>
    </row>
    <row r="246" spans="1:19" x14ac:dyDescent="0.25">
      <c r="A246" s="12" t="s">
        <v>143</v>
      </c>
      <c r="B246" s="13" t="s">
        <v>57</v>
      </c>
      <c r="C246" s="14"/>
      <c r="D246" s="10" t="s">
        <v>159</v>
      </c>
      <c r="E246" s="10"/>
      <c r="F246" s="10" t="s">
        <v>275</v>
      </c>
      <c r="G246" s="16"/>
      <c r="H246" s="29">
        <v>4.8499999999999996</v>
      </c>
      <c r="I246" s="7"/>
      <c r="J246" s="7"/>
      <c r="K246" s="7">
        <v>8.8000000000000007</v>
      </c>
      <c r="L246" s="7">
        <v>1</v>
      </c>
      <c r="M246" s="9"/>
      <c r="N246" s="24">
        <f t="shared" si="64"/>
        <v>4.8499999999999996</v>
      </c>
      <c r="O246" s="24" t="str">
        <f t="shared" si="65"/>
        <v/>
      </c>
      <c r="P246" s="24">
        <f t="shared" si="53"/>
        <v>7.8000000000000007</v>
      </c>
      <c r="Q246" s="24"/>
      <c r="R246" s="27"/>
      <c r="S246" s="6"/>
    </row>
    <row r="247" spans="1:19" x14ac:dyDescent="0.25">
      <c r="A247" s="12" t="s">
        <v>143</v>
      </c>
      <c r="B247" s="13" t="s">
        <v>58</v>
      </c>
      <c r="C247" s="14"/>
      <c r="D247" s="10" t="s">
        <v>160</v>
      </c>
      <c r="E247" s="10" t="s">
        <v>160</v>
      </c>
      <c r="F247" s="10"/>
      <c r="G247" s="16"/>
      <c r="H247" s="29">
        <v>23.89</v>
      </c>
      <c r="I247" s="7"/>
      <c r="J247" s="7"/>
      <c r="K247" s="7">
        <v>21.68</v>
      </c>
      <c r="L247" s="7">
        <f>1.1+1</f>
        <v>2.1</v>
      </c>
      <c r="M247" s="9"/>
      <c r="N247" s="24">
        <f t="shared" si="64"/>
        <v>23.89</v>
      </c>
      <c r="O247" s="24">
        <f t="shared" si="65"/>
        <v>19.579999999999998</v>
      </c>
      <c r="P247" s="24" t="str">
        <f t="shared" si="53"/>
        <v/>
      </c>
      <c r="Q247" s="24"/>
      <c r="R247" s="27"/>
      <c r="S247" s="6"/>
    </row>
    <row r="248" spans="1:19" x14ac:dyDescent="0.25">
      <c r="A248" s="12" t="s">
        <v>143</v>
      </c>
      <c r="B248" s="13" t="s">
        <v>60</v>
      </c>
      <c r="C248" s="14"/>
      <c r="D248" s="10" t="s">
        <v>159</v>
      </c>
      <c r="E248" s="10"/>
      <c r="F248" s="10" t="s">
        <v>275</v>
      </c>
      <c r="G248" s="16"/>
      <c r="H248" s="29">
        <v>4.8499999999999996</v>
      </c>
      <c r="I248" s="7"/>
      <c r="J248" s="7"/>
      <c r="K248" s="7">
        <v>8.8000000000000007</v>
      </c>
      <c r="L248" s="7">
        <v>1</v>
      </c>
      <c r="M248" s="9"/>
      <c r="N248" s="24">
        <f t="shared" si="64"/>
        <v>4.8499999999999996</v>
      </c>
      <c r="O248" s="24" t="str">
        <f t="shared" si="65"/>
        <v/>
      </c>
      <c r="P248" s="24">
        <f t="shared" si="53"/>
        <v>7.8000000000000007</v>
      </c>
      <c r="Q248" s="24"/>
      <c r="R248" s="27"/>
      <c r="S248" s="6"/>
    </row>
    <row r="249" spans="1:19" x14ac:dyDescent="0.25">
      <c r="A249" s="12" t="s">
        <v>143</v>
      </c>
      <c r="B249" s="13" t="s">
        <v>61</v>
      </c>
      <c r="C249" s="14"/>
      <c r="D249" s="10" t="s">
        <v>160</v>
      </c>
      <c r="E249" s="10" t="s">
        <v>160</v>
      </c>
      <c r="F249" s="10"/>
      <c r="G249" s="16"/>
      <c r="H249" s="29">
        <v>23.95</v>
      </c>
      <c r="I249" s="7"/>
      <c r="J249" s="7"/>
      <c r="K249" s="7">
        <v>21.68</v>
      </c>
      <c r="L249" s="7">
        <f>1.1+1</f>
        <v>2.1</v>
      </c>
      <c r="M249" s="9"/>
      <c r="N249" s="24">
        <f t="shared" si="64"/>
        <v>23.95</v>
      </c>
      <c r="O249" s="24">
        <f t="shared" si="65"/>
        <v>19.579999999999998</v>
      </c>
      <c r="P249" s="24" t="str">
        <f t="shared" si="53"/>
        <v/>
      </c>
      <c r="Q249" s="24"/>
      <c r="R249" s="27"/>
      <c r="S249" s="6"/>
    </row>
    <row r="250" spans="1:19" x14ac:dyDescent="0.25">
      <c r="A250" s="12" t="s">
        <v>143</v>
      </c>
      <c r="B250" s="13" t="s">
        <v>62</v>
      </c>
      <c r="C250" s="14"/>
      <c r="D250" s="10" t="s">
        <v>159</v>
      </c>
      <c r="E250" s="10"/>
      <c r="F250" s="10" t="s">
        <v>275</v>
      </c>
      <c r="G250" s="16"/>
      <c r="H250" s="29">
        <v>4.8499999999999996</v>
      </c>
      <c r="I250" s="7"/>
      <c r="J250" s="7"/>
      <c r="K250" s="7">
        <v>8.8000000000000007</v>
      </c>
      <c r="L250" s="7">
        <v>1</v>
      </c>
      <c r="M250" s="9"/>
      <c r="N250" s="24">
        <f t="shared" si="64"/>
        <v>4.8499999999999996</v>
      </c>
      <c r="O250" s="24" t="str">
        <f t="shared" si="65"/>
        <v/>
      </c>
      <c r="P250" s="24">
        <f t="shared" si="53"/>
        <v>7.8000000000000007</v>
      </c>
      <c r="Q250" s="24"/>
      <c r="R250" s="27"/>
      <c r="S250" s="6"/>
    </row>
    <row r="251" spans="1:19" x14ac:dyDescent="0.25">
      <c r="A251" s="12" t="s">
        <v>143</v>
      </c>
      <c r="B251" s="13" t="s">
        <v>63</v>
      </c>
      <c r="C251" s="14"/>
      <c r="D251" s="10" t="s">
        <v>160</v>
      </c>
      <c r="E251" s="10" t="s">
        <v>160</v>
      </c>
      <c r="F251" s="10"/>
      <c r="G251" s="16"/>
      <c r="H251" s="29">
        <v>23.94</v>
      </c>
      <c r="I251" s="7"/>
      <c r="J251" s="7"/>
      <c r="K251" s="7">
        <v>21.68</v>
      </c>
      <c r="L251" s="7">
        <f>1.1+1</f>
        <v>2.1</v>
      </c>
      <c r="M251" s="9"/>
      <c r="N251" s="24">
        <f t="shared" si="64"/>
        <v>23.94</v>
      </c>
      <c r="O251" s="24">
        <f t="shared" si="65"/>
        <v>19.579999999999998</v>
      </c>
      <c r="P251" s="24" t="str">
        <f t="shared" si="53"/>
        <v/>
      </c>
      <c r="Q251" s="24"/>
      <c r="R251" s="27"/>
      <c r="S251" s="6"/>
    </row>
    <row r="252" spans="1:19" x14ac:dyDescent="0.25">
      <c r="A252" s="12" t="s">
        <v>143</v>
      </c>
      <c r="B252" s="13" t="s">
        <v>64</v>
      </c>
      <c r="C252" s="14"/>
      <c r="D252" s="10" t="s">
        <v>159</v>
      </c>
      <c r="E252" s="10"/>
      <c r="F252" s="10" t="s">
        <v>275</v>
      </c>
      <c r="G252" s="16"/>
      <c r="H252" s="29">
        <v>4.8499999999999996</v>
      </c>
      <c r="I252" s="7"/>
      <c r="J252" s="7"/>
      <c r="K252" s="7">
        <v>8.8000000000000007</v>
      </c>
      <c r="L252" s="7">
        <v>1</v>
      </c>
      <c r="M252" s="9"/>
      <c r="N252" s="24">
        <f t="shared" si="64"/>
        <v>4.8499999999999996</v>
      </c>
      <c r="O252" s="24" t="str">
        <f t="shared" si="65"/>
        <v/>
      </c>
      <c r="P252" s="24">
        <f t="shared" si="53"/>
        <v>7.8000000000000007</v>
      </c>
      <c r="Q252" s="24"/>
      <c r="R252" s="27"/>
      <c r="S252" s="6"/>
    </row>
    <row r="253" spans="1:19" x14ac:dyDescent="0.25">
      <c r="A253" s="12" t="s">
        <v>143</v>
      </c>
      <c r="B253" s="13" t="s">
        <v>65</v>
      </c>
      <c r="C253" s="14"/>
      <c r="D253" s="10" t="s">
        <v>160</v>
      </c>
      <c r="E253" s="10" t="s">
        <v>160</v>
      </c>
      <c r="F253" s="10"/>
      <c r="G253" s="16"/>
      <c r="H253" s="29">
        <v>24.02</v>
      </c>
      <c r="I253" s="7"/>
      <c r="J253" s="7"/>
      <c r="K253" s="7">
        <v>21.68</v>
      </c>
      <c r="L253" s="7">
        <f>1.1+1</f>
        <v>2.1</v>
      </c>
      <c r="M253" s="9"/>
      <c r="N253" s="24">
        <f t="shared" si="64"/>
        <v>24.02</v>
      </c>
      <c r="O253" s="24">
        <f t="shared" si="65"/>
        <v>19.579999999999998</v>
      </c>
      <c r="P253" s="24" t="str">
        <f t="shared" si="53"/>
        <v/>
      </c>
      <c r="Q253" s="24"/>
      <c r="R253" s="27"/>
      <c r="S253" s="6"/>
    </row>
    <row r="254" spans="1:19" x14ac:dyDescent="0.25">
      <c r="A254" s="12" t="s">
        <v>143</v>
      </c>
      <c r="B254" s="13" t="s">
        <v>66</v>
      </c>
      <c r="C254" s="14"/>
      <c r="D254" s="10" t="s">
        <v>159</v>
      </c>
      <c r="E254" s="10"/>
      <c r="F254" s="10" t="s">
        <v>275</v>
      </c>
      <c r="G254" s="16"/>
      <c r="H254" s="29">
        <v>4.8499999999999996</v>
      </c>
      <c r="I254" s="7"/>
      <c r="J254" s="7"/>
      <c r="K254" s="7">
        <v>8.8000000000000007</v>
      </c>
      <c r="L254" s="7">
        <v>1</v>
      </c>
      <c r="M254" s="9"/>
      <c r="N254" s="24">
        <f t="shared" si="64"/>
        <v>4.8499999999999996</v>
      </c>
      <c r="O254" s="24" t="str">
        <f t="shared" si="65"/>
        <v/>
      </c>
      <c r="P254" s="24">
        <f t="shared" si="53"/>
        <v>7.8000000000000007</v>
      </c>
      <c r="Q254" s="24"/>
      <c r="R254" s="27"/>
      <c r="S254" s="6"/>
    </row>
    <row r="255" spans="1:19" x14ac:dyDescent="0.25">
      <c r="A255" s="12" t="s">
        <v>143</v>
      </c>
      <c r="B255" s="13" t="s">
        <v>67</v>
      </c>
      <c r="C255" s="14"/>
      <c r="D255" s="10" t="s">
        <v>160</v>
      </c>
      <c r="E255" s="10" t="s">
        <v>160</v>
      </c>
      <c r="F255" s="10"/>
      <c r="G255" s="16"/>
      <c r="H255" s="29">
        <v>24</v>
      </c>
      <c r="I255" s="7"/>
      <c r="J255" s="7"/>
      <c r="K255" s="7">
        <v>21.68</v>
      </c>
      <c r="L255" s="7">
        <f>1.1+1</f>
        <v>2.1</v>
      </c>
      <c r="M255" s="9"/>
      <c r="N255" s="24">
        <f t="shared" si="64"/>
        <v>24</v>
      </c>
      <c r="O255" s="24">
        <f t="shared" si="65"/>
        <v>19.579999999999998</v>
      </c>
      <c r="P255" s="24" t="str">
        <f t="shared" si="53"/>
        <v/>
      </c>
      <c r="Q255" s="24"/>
      <c r="R255" s="27"/>
      <c r="S255" s="6"/>
    </row>
    <row r="256" spans="1:19" x14ac:dyDescent="0.25">
      <c r="A256" s="12" t="s">
        <v>143</v>
      </c>
      <c r="B256" s="13" t="s">
        <v>68</v>
      </c>
      <c r="C256" s="14"/>
      <c r="D256" s="10" t="s">
        <v>159</v>
      </c>
      <c r="E256" s="10"/>
      <c r="F256" s="10" t="s">
        <v>275</v>
      </c>
      <c r="G256" s="16"/>
      <c r="H256" s="29">
        <v>4.8499999999999996</v>
      </c>
      <c r="I256" s="7"/>
      <c r="J256" s="7"/>
      <c r="K256" s="7">
        <v>8.8000000000000007</v>
      </c>
      <c r="L256" s="7">
        <v>1</v>
      </c>
      <c r="M256" s="9"/>
      <c r="N256" s="24">
        <f t="shared" si="64"/>
        <v>4.8499999999999996</v>
      </c>
      <c r="O256" s="24" t="str">
        <f t="shared" si="65"/>
        <v/>
      </c>
      <c r="P256" s="24">
        <f t="shared" si="53"/>
        <v>7.8000000000000007</v>
      </c>
      <c r="Q256" s="24"/>
      <c r="R256" s="27"/>
      <c r="S256" s="6"/>
    </row>
    <row r="257" spans="1:19" x14ac:dyDescent="0.25">
      <c r="A257" s="12" t="s">
        <v>143</v>
      </c>
      <c r="B257" s="13" t="s">
        <v>69</v>
      </c>
      <c r="C257" s="14"/>
      <c r="D257" s="10" t="s">
        <v>160</v>
      </c>
      <c r="E257" s="10" t="s">
        <v>160</v>
      </c>
      <c r="F257" s="10"/>
      <c r="G257" s="16"/>
      <c r="H257" s="29">
        <v>24</v>
      </c>
      <c r="I257" s="7"/>
      <c r="J257" s="7"/>
      <c r="K257" s="7">
        <v>21.68</v>
      </c>
      <c r="L257" s="7">
        <f>1.1+1</f>
        <v>2.1</v>
      </c>
      <c r="M257" s="9"/>
      <c r="N257" s="24">
        <f t="shared" si="64"/>
        <v>24</v>
      </c>
      <c r="O257" s="24">
        <f t="shared" si="65"/>
        <v>19.579999999999998</v>
      </c>
      <c r="P257" s="24" t="str">
        <f t="shared" si="53"/>
        <v/>
      </c>
      <c r="Q257" s="24"/>
      <c r="R257" s="27"/>
      <c r="S257" s="6"/>
    </row>
    <row r="258" spans="1:19" x14ac:dyDescent="0.25">
      <c r="A258" s="12" t="s">
        <v>143</v>
      </c>
      <c r="B258" s="13" t="s">
        <v>70</v>
      </c>
      <c r="C258" s="14"/>
      <c r="D258" s="10" t="s">
        <v>159</v>
      </c>
      <c r="E258" s="10"/>
      <c r="F258" s="10" t="s">
        <v>275</v>
      </c>
      <c r="G258" s="16"/>
      <c r="H258" s="29">
        <v>4.8499999999999996</v>
      </c>
      <c r="I258" s="7"/>
      <c r="J258" s="7"/>
      <c r="K258" s="7">
        <v>8.8000000000000007</v>
      </c>
      <c r="L258" s="7">
        <v>1</v>
      </c>
      <c r="M258" s="9"/>
      <c r="N258" s="24">
        <f t="shared" si="64"/>
        <v>4.8499999999999996</v>
      </c>
      <c r="O258" s="24" t="str">
        <f t="shared" si="65"/>
        <v/>
      </c>
      <c r="P258" s="24">
        <f t="shared" si="53"/>
        <v>7.8000000000000007</v>
      </c>
      <c r="Q258" s="24"/>
      <c r="R258" s="27"/>
      <c r="S258" s="6"/>
    </row>
    <row r="259" spans="1:19" x14ac:dyDescent="0.25">
      <c r="A259" s="12" t="s">
        <v>143</v>
      </c>
      <c r="B259" s="13" t="s">
        <v>72</v>
      </c>
      <c r="C259" s="14"/>
      <c r="D259" s="10" t="s">
        <v>160</v>
      </c>
      <c r="E259" s="10" t="s">
        <v>160</v>
      </c>
      <c r="F259" s="10"/>
      <c r="G259" s="16"/>
      <c r="H259" s="29">
        <v>21.92</v>
      </c>
      <c r="I259" s="7"/>
      <c r="J259" s="7"/>
      <c r="K259" s="7">
        <v>20.260000000000002</v>
      </c>
      <c r="L259" s="7">
        <f>1.1+1</f>
        <v>2.1</v>
      </c>
      <c r="M259" s="9"/>
      <c r="N259" s="24">
        <f t="shared" si="64"/>
        <v>21.92</v>
      </c>
      <c r="O259" s="24">
        <f t="shared" si="65"/>
        <v>18.16</v>
      </c>
      <c r="P259" s="24" t="str">
        <f t="shared" si="53"/>
        <v/>
      </c>
      <c r="Q259" s="24"/>
      <c r="R259" s="27"/>
      <c r="S259" s="6"/>
    </row>
    <row r="260" spans="1:19" x14ac:dyDescent="0.25">
      <c r="A260" s="12" t="s">
        <v>143</v>
      </c>
      <c r="B260" s="13" t="s">
        <v>73</v>
      </c>
      <c r="C260" s="14"/>
      <c r="D260" s="10" t="s">
        <v>159</v>
      </c>
      <c r="E260" s="10"/>
      <c r="F260" s="10" t="s">
        <v>275</v>
      </c>
      <c r="G260" s="16"/>
      <c r="H260" s="29">
        <v>5.42</v>
      </c>
      <c r="I260" s="7"/>
      <c r="J260" s="7"/>
      <c r="K260" s="7">
        <v>9.1999999999999993</v>
      </c>
      <c r="L260" s="7">
        <v>1</v>
      </c>
      <c r="M260" s="9"/>
      <c r="N260" s="24">
        <f t="shared" si="64"/>
        <v>5.42</v>
      </c>
      <c r="O260" s="24" t="str">
        <f t="shared" si="65"/>
        <v/>
      </c>
      <c r="P260" s="24">
        <f t="shared" si="53"/>
        <v>8.1999999999999993</v>
      </c>
      <c r="Q260" s="24"/>
      <c r="R260" s="27"/>
      <c r="S260" s="6"/>
    </row>
    <row r="261" spans="1:19" x14ac:dyDescent="0.25">
      <c r="A261" s="12" t="s">
        <v>143</v>
      </c>
      <c r="B261" s="13" t="s">
        <v>74</v>
      </c>
      <c r="C261" s="14"/>
      <c r="D261" s="10" t="s">
        <v>160</v>
      </c>
      <c r="E261" s="10" t="s">
        <v>160</v>
      </c>
      <c r="F261" s="10"/>
      <c r="G261" s="16"/>
      <c r="H261" s="29">
        <v>21.8</v>
      </c>
      <c r="I261" s="7"/>
      <c r="J261" s="7"/>
      <c r="K261" s="7">
        <v>21.49</v>
      </c>
      <c r="L261" s="7">
        <f>1.1+1</f>
        <v>2.1</v>
      </c>
      <c r="M261" s="9"/>
      <c r="N261" s="24">
        <f t="shared" si="64"/>
        <v>21.8</v>
      </c>
      <c r="O261" s="24">
        <f t="shared" si="65"/>
        <v>19.389999999999997</v>
      </c>
      <c r="P261" s="24" t="str">
        <f t="shared" si="53"/>
        <v/>
      </c>
      <c r="Q261" s="24"/>
      <c r="R261" s="27"/>
      <c r="S261" s="6"/>
    </row>
    <row r="262" spans="1:19" x14ac:dyDescent="0.25">
      <c r="A262" s="12" t="s">
        <v>143</v>
      </c>
      <c r="B262" s="13" t="s">
        <v>75</v>
      </c>
      <c r="C262" s="14"/>
      <c r="D262" s="10" t="s">
        <v>159</v>
      </c>
      <c r="E262" s="10"/>
      <c r="F262" s="10" t="s">
        <v>275</v>
      </c>
      <c r="G262" s="16"/>
      <c r="H262" s="29">
        <v>5.51</v>
      </c>
      <c r="I262" s="7"/>
      <c r="J262" s="7"/>
      <c r="K262" s="7">
        <v>9.1999999999999993</v>
      </c>
      <c r="L262" s="7">
        <v>1</v>
      </c>
      <c r="M262" s="9"/>
      <c r="N262" s="24">
        <f t="shared" si="64"/>
        <v>5.51</v>
      </c>
      <c r="O262" s="24" t="str">
        <f t="shared" si="65"/>
        <v/>
      </c>
      <c r="P262" s="24">
        <f t="shared" si="53"/>
        <v>8.1999999999999993</v>
      </c>
      <c r="Q262" s="24"/>
      <c r="R262" s="27"/>
      <c r="S262" s="6"/>
    </row>
    <row r="263" spans="1:19" x14ac:dyDescent="0.25">
      <c r="A263" s="12" t="s">
        <v>143</v>
      </c>
      <c r="B263" s="13" t="s">
        <v>76</v>
      </c>
      <c r="C263" s="14"/>
      <c r="D263" s="10" t="s">
        <v>155</v>
      </c>
      <c r="E263" s="10"/>
      <c r="F263" s="10"/>
      <c r="G263" s="16"/>
      <c r="H263" s="29">
        <v>6.67</v>
      </c>
      <c r="I263" s="7"/>
      <c r="J263" s="7"/>
      <c r="K263" s="7"/>
      <c r="L263" s="7"/>
      <c r="M263" s="9"/>
      <c r="N263" s="24">
        <f t="shared" si="64"/>
        <v>6.67</v>
      </c>
      <c r="O263" s="24" t="str">
        <f t="shared" si="65"/>
        <v/>
      </c>
      <c r="P263" s="24" t="str">
        <f t="shared" si="53"/>
        <v/>
      </c>
      <c r="Q263" s="24"/>
      <c r="R263" s="27"/>
      <c r="S263" s="6"/>
    </row>
    <row r="264" spans="1:19" x14ac:dyDescent="0.25">
      <c r="A264" s="12" t="s">
        <v>143</v>
      </c>
      <c r="B264" s="13" t="s">
        <v>77</v>
      </c>
      <c r="C264" s="14"/>
      <c r="D264" s="10" t="s">
        <v>155</v>
      </c>
      <c r="E264" s="10"/>
      <c r="F264" s="10"/>
      <c r="G264" s="16"/>
      <c r="H264" s="29">
        <v>2.52</v>
      </c>
      <c r="I264" s="7"/>
      <c r="J264" s="7"/>
      <c r="K264" s="7"/>
      <c r="L264" s="7"/>
      <c r="M264" s="9"/>
      <c r="N264" s="24">
        <f t="shared" si="64"/>
        <v>2.52</v>
      </c>
      <c r="O264" s="24" t="str">
        <f t="shared" si="65"/>
        <v/>
      </c>
      <c r="P264" s="24" t="str">
        <f t="shared" si="53"/>
        <v/>
      </c>
      <c r="Q264" s="24"/>
      <c r="R264" s="27"/>
      <c r="S264" s="6"/>
    </row>
    <row r="265" spans="1:19" x14ac:dyDescent="0.25">
      <c r="A265" s="12" t="s">
        <v>143</v>
      </c>
      <c r="B265" s="13" t="s">
        <v>78</v>
      </c>
      <c r="C265" s="14"/>
      <c r="D265" s="10" t="s">
        <v>155</v>
      </c>
      <c r="E265" s="10"/>
      <c r="F265" s="10"/>
      <c r="G265" s="16"/>
      <c r="H265" s="29">
        <v>1.99</v>
      </c>
      <c r="I265" s="7"/>
      <c r="J265" s="7"/>
      <c r="K265" s="7"/>
      <c r="L265" s="7"/>
      <c r="M265" s="9"/>
      <c r="N265" s="24">
        <f t="shared" si="64"/>
        <v>1.99</v>
      </c>
      <c r="O265" s="24" t="str">
        <f t="shared" si="65"/>
        <v/>
      </c>
      <c r="P265" s="24" t="str">
        <f t="shared" si="53"/>
        <v/>
      </c>
      <c r="Q265" s="24"/>
      <c r="R265" s="27"/>
      <c r="S265" s="6"/>
    </row>
    <row r="266" spans="1:19" x14ac:dyDescent="0.25">
      <c r="A266" s="12" t="s">
        <v>143</v>
      </c>
      <c r="B266" s="13" t="s">
        <v>79</v>
      </c>
      <c r="C266" s="14"/>
      <c r="D266" s="10" t="s">
        <v>155</v>
      </c>
      <c r="E266" s="10"/>
      <c r="F266" s="10"/>
      <c r="G266" s="16"/>
      <c r="H266" s="29">
        <v>2.52</v>
      </c>
      <c r="I266" s="7"/>
      <c r="J266" s="7"/>
      <c r="K266" s="7"/>
      <c r="L266" s="7"/>
      <c r="M266" s="9"/>
      <c r="N266" s="24">
        <f t="shared" si="64"/>
        <v>2.52</v>
      </c>
      <c r="O266" s="24" t="str">
        <f t="shared" si="65"/>
        <v/>
      </c>
      <c r="P266" s="24" t="str">
        <f t="shared" ref="P266:P324" si="66">IF(AND(F266&lt;&gt;"",K266&lt;&gt;0),K266-L266+M266,"")</f>
        <v/>
      </c>
      <c r="Q266" s="24"/>
      <c r="R266" s="27"/>
      <c r="S266" s="6"/>
    </row>
    <row r="267" spans="1:19" x14ac:dyDescent="0.25">
      <c r="A267" s="12" t="s">
        <v>143</v>
      </c>
      <c r="B267" s="13" t="s">
        <v>80</v>
      </c>
      <c r="C267" s="14"/>
      <c r="D267" s="10" t="s">
        <v>155</v>
      </c>
      <c r="E267" s="10"/>
      <c r="F267" s="10"/>
      <c r="G267" s="16"/>
      <c r="H267" s="29">
        <v>1.99</v>
      </c>
      <c r="I267" s="7"/>
      <c r="J267" s="7"/>
      <c r="K267" s="7"/>
      <c r="L267" s="7"/>
      <c r="M267" s="9"/>
      <c r="N267" s="24">
        <f t="shared" si="64"/>
        <v>1.99</v>
      </c>
      <c r="O267" s="24" t="str">
        <f t="shared" si="65"/>
        <v/>
      </c>
      <c r="P267" s="24" t="str">
        <f t="shared" si="66"/>
        <v/>
      </c>
      <c r="Q267" s="24"/>
      <c r="R267" s="27"/>
      <c r="S267" s="6"/>
    </row>
    <row r="268" spans="1:19" x14ac:dyDescent="0.25">
      <c r="A268" s="12" t="s">
        <v>143</v>
      </c>
      <c r="B268" s="13" t="s">
        <v>81</v>
      </c>
      <c r="C268" s="14"/>
      <c r="D268" s="10" t="s">
        <v>154</v>
      </c>
      <c r="E268" s="10" t="s">
        <v>154</v>
      </c>
      <c r="F268" s="10"/>
      <c r="G268" s="16"/>
      <c r="H268" s="29">
        <f>284.75-H269</f>
        <v>230.37</v>
      </c>
      <c r="I268" s="7"/>
      <c r="J268" s="7"/>
      <c r="K268" s="7">
        <f>98.4+51.6</f>
        <v>150</v>
      </c>
      <c r="L268" s="7">
        <f>(3.36+5.09+2.64+1+3.755+4.585+1+0.785+3.6)+(1.6+0.9+1.1*3+1.7+1.1*5+1.7+1.1)+(0.8*2+1.1+0.8+1.3+0.8)</f>
        <v>47.215000000000003</v>
      </c>
      <c r="M268" s="9"/>
      <c r="N268" s="24">
        <f t="shared" ref="N268" si="67">IF(AND(D268&lt;&gt;"",H268&lt;&gt;0),H268-I268+J268,"")</f>
        <v>230.37</v>
      </c>
      <c r="O268" s="24">
        <f t="shared" ref="O268" si="68">IF(AND(E268&lt;&gt;"",K268&lt;&gt;0),K268-L268+M268,"")</f>
        <v>102.785</v>
      </c>
      <c r="P268" s="24" t="str">
        <f t="shared" si="66"/>
        <v/>
      </c>
      <c r="Q268" s="24"/>
      <c r="R268" s="27"/>
      <c r="S268" s="6"/>
    </row>
    <row r="269" spans="1:19" x14ac:dyDescent="0.25">
      <c r="A269" s="12" t="s">
        <v>143</v>
      </c>
      <c r="B269" s="13" t="s">
        <v>81</v>
      </c>
      <c r="C269" s="14"/>
      <c r="D269" s="10" t="s">
        <v>238</v>
      </c>
      <c r="E269" s="10" t="s">
        <v>238</v>
      </c>
      <c r="F269" s="10"/>
      <c r="G269" s="16"/>
      <c r="H269" s="29">
        <f>12.04+17.19+25.15</f>
        <v>54.379999999999995</v>
      </c>
      <c r="I269" s="7"/>
      <c r="J269" s="7"/>
      <c r="K269" s="7">
        <f>(3.36+0.38)+(5.02+0.38)+(22.83-2.8-1.8)</f>
        <v>27.369999999999997</v>
      </c>
      <c r="L269" s="7">
        <f>1.1*3+1.7</f>
        <v>5</v>
      </c>
      <c r="M269" s="9"/>
      <c r="N269" s="24">
        <f t="shared" si="64"/>
        <v>54.379999999999995</v>
      </c>
      <c r="O269" s="24">
        <f t="shared" si="65"/>
        <v>22.369999999999997</v>
      </c>
      <c r="P269" s="24" t="str">
        <f t="shared" si="66"/>
        <v/>
      </c>
      <c r="Q269" s="24"/>
      <c r="R269" s="27"/>
      <c r="S269" s="6"/>
    </row>
    <row r="270" spans="1:19" x14ac:dyDescent="0.25">
      <c r="A270" s="12" t="s">
        <v>143</v>
      </c>
      <c r="B270" s="13" t="s">
        <v>82</v>
      </c>
      <c r="C270" s="14"/>
      <c r="D270" s="10" t="s">
        <v>153</v>
      </c>
      <c r="E270" s="10"/>
      <c r="F270" s="10" t="s">
        <v>275</v>
      </c>
      <c r="G270" s="16"/>
      <c r="H270" s="29">
        <v>10.52</v>
      </c>
      <c r="I270" s="7"/>
      <c r="J270" s="7"/>
      <c r="K270" s="7">
        <v>13.57</v>
      </c>
      <c r="L270" s="7">
        <f>0.9*2</f>
        <v>1.8</v>
      </c>
      <c r="M270" s="9"/>
      <c r="N270" s="24">
        <f t="shared" si="64"/>
        <v>10.52</v>
      </c>
      <c r="O270" s="24" t="str">
        <f t="shared" si="65"/>
        <v/>
      </c>
      <c r="P270" s="24">
        <f t="shared" si="66"/>
        <v>11.77</v>
      </c>
      <c r="Q270" s="24"/>
      <c r="R270" s="27"/>
      <c r="S270" s="6"/>
    </row>
    <row r="271" spans="1:19" x14ac:dyDescent="0.25">
      <c r="A271" s="12" t="s">
        <v>143</v>
      </c>
      <c r="B271" s="13" t="s">
        <v>83</v>
      </c>
      <c r="C271" s="14"/>
      <c r="D271" s="10" t="s">
        <v>154</v>
      </c>
      <c r="E271" s="10" t="s">
        <v>154</v>
      </c>
      <c r="F271" s="10"/>
      <c r="G271" s="16"/>
      <c r="H271" s="29">
        <v>19.82</v>
      </c>
      <c r="I271" s="7"/>
      <c r="J271" s="7"/>
      <c r="K271" s="7">
        <v>19.25</v>
      </c>
      <c r="L271" s="7">
        <f>0.8*2</f>
        <v>1.6</v>
      </c>
      <c r="M271" s="9"/>
      <c r="N271" s="24">
        <f t="shared" si="64"/>
        <v>19.82</v>
      </c>
      <c r="O271" s="24">
        <f t="shared" si="65"/>
        <v>17.649999999999999</v>
      </c>
      <c r="P271" s="24" t="str">
        <f t="shared" si="66"/>
        <v/>
      </c>
      <c r="Q271" s="24"/>
      <c r="R271" s="27"/>
      <c r="S271" s="6"/>
    </row>
    <row r="272" spans="1:19" x14ac:dyDescent="0.25">
      <c r="A272" s="12" t="s">
        <v>143</v>
      </c>
      <c r="B272" s="13" t="s">
        <v>85</v>
      </c>
      <c r="C272" s="14"/>
      <c r="D272" s="10" t="s">
        <v>154</v>
      </c>
      <c r="E272" s="10" t="s">
        <v>154</v>
      </c>
      <c r="F272" s="10"/>
      <c r="G272" s="16"/>
      <c r="H272" s="29">
        <v>4.28</v>
      </c>
      <c r="I272" s="7"/>
      <c r="J272" s="7"/>
      <c r="K272" s="7">
        <v>8.74</v>
      </c>
      <c r="L272" s="7">
        <v>0.8</v>
      </c>
      <c r="M272" s="9"/>
      <c r="N272" s="24">
        <f t="shared" si="64"/>
        <v>4.28</v>
      </c>
      <c r="O272" s="24">
        <f t="shared" si="65"/>
        <v>7.94</v>
      </c>
      <c r="P272" s="24" t="str">
        <f t="shared" si="66"/>
        <v/>
      </c>
      <c r="Q272" s="24"/>
      <c r="R272" s="27"/>
      <c r="S272" s="6"/>
    </row>
    <row r="273" spans="1:19" x14ac:dyDescent="0.25">
      <c r="A273" s="12" t="s">
        <v>143</v>
      </c>
      <c r="B273" s="13" t="s">
        <v>86</v>
      </c>
      <c r="C273" s="14"/>
      <c r="D273" s="10" t="s">
        <v>154</v>
      </c>
      <c r="E273" s="10"/>
      <c r="F273" s="10"/>
      <c r="G273" s="16"/>
      <c r="H273" s="29">
        <v>1.58</v>
      </c>
      <c r="I273" s="7"/>
      <c r="J273" s="7"/>
      <c r="K273" s="7"/>
      <c r="L273" s="7"/>
      <c r="M273" s="9"/>
      <c r="N273" s="24">
        <f t="shared" si="64"/>
        <v>1.58</v>
      </c>
      <c r="O273" s="24" t="str">
        <f t="shared" si="65"/>
        <v/>
      </c>
      <c r="P273" s="24" t="str">
        <f t="shared" si="66"/>
        <v/>
      </c>
      <c r="Q273" s="24"/>
      <c r="R273" s="27"/>
      <c r="S273" s="6"/>
    </row>
    <row r="274" spans="1:19" x14ac:dyDescent="0.25">
      <c r="A274" s="12" t="s">
        <v>143</v>
      </c>
      <c r="B274" s="13" t="s">
        <v>87</v>
      </c>
      <c r="C274" s="14"/>
      <c r="D274" s="10" t="s">
        <v>154</v>
      </c>
      <c r="E274" s="10"/>
      <c r="F274" s="10"/>
      <c r="G274" s="16"/>
      <c r="H274" s="29">
        <v>4.13</v>
      </c>
      <c r="I274" s="7"/>
      <c r="J274" s="7"/>
      <c r="K274" s="7"/>
      <c r="L274" s="7"/>
      <c r="M274" s="9"/>
      <c r="N274" s="24">
        <f t="shared" si="64"/>
        <v>4.13</v>
      </c>
      <c r="O274" s="24" t="str">
        <f t="shared" si="65"/>
        <v/>
      </c>
      <c r="P274" s="24" t="str">
        <f t="shared" si="66"/>
        <v/>
      </c>
      <c r="Q274" s="24"/>
      <c r="R274" s="27"/>
      <c r="S274" s="6"/>
    </row>
    <row r="275" spans="1:19" x14ac:dyDescent="0.25">
      <c r="A275" s="12" t="s">
        <v>143</v>
      </c>
      <c r="B275" s="13" t="s">
        <v>88</v>
      </c>
      <c r="C275" s="14"/>
      <c r="D275" s="10" t="s">
        <v>153</v>
      </c>
      <c r="E275" s="10"/>
      <c r="F275" s="10" t="s">
        <v>275</v>
      </c>
      <c r="G275" s="16"/>
      <c r="H275" s="29">
        <v>14.81</v>
      </c>
      <c r="I275" s="7"/>
      <c r="J275" s="7"/>
      <c r="K275" s="7">
        <v>14.94</v>
      </c>
      <c r="L275" s="7">
        <v>1.1000000000000001</v>
      </c>
      <c r="M275" s="9"/>
      <c r="N275" s="24">
        <f t="shared" si="64"/>
        <v>14.81</v>
      </c>
      <c r="O275" s="24" t="str">
        <f t="shared" si="65"/>
        <v/>
      </c>
      <c r="P275" s="24">
        <f t="shared" si="66"/>
        <v>13.84</v>
      </c>
      <c r="Q275" s="24"/>
      <c r="R275" s="27"/>
      <c r="S275" s="6"/>
    </row>
    <row r="276" spans="1:19" x14ac:dyDescent="0.25">
      <c r="A276" s="12" t="s">
        <v>143</v>
      </c>
      <c r="B276" s="13" t="s">
        <v>89</v>
      </c>
      <c r="C276" s="14"/>
      <c r="D276" s="10" t="s">
        <v>160</v>
      </c>
      <c r="E276" s="10" t="s">
        <v>160</v>
      </c>
      <c r="F276" s="10"/>
      <c r="G276" s="16"/>
      <c r="H276" s="29">
        <v>22.31</v>
      </c>
      <c r="I276" s="7"/>
      <c r="J276" s="7"/>
      <c r="K276" s="7">
        <v>20.45</v>
      </c>
      <c r="L276" s="7">
        <f>1.1+1</f>
        <v>2.1</v>
      </c>
      <c r="M276" s="9"/>
      <c r="N276" s="24">
        <f t="shared" si="64"/>
        <v>22.31</v>
      </c>
      <c r="O276" s="24">
        <f t="shared" si="65"/>
        <v>18.349999999999998</v>
      </c>
      <c r="P276" s="24" t="str">
        <f t="shared" si="66"/>
        <v/>
      </c>
      <c r="Q276" s="24"/>
      <c r="R276" s="27"/>
      <c r="S276" s="6"/>
    </row>
    <row r="277" spans="1:19" x14ac:dyDescent="0.25">
      <c r="A277" s="12" t="s">
        <v>143</v>
      </c>
      <c r="B277" s="13" t="s">
        <v>90</v>
      </c>
      <c r="C277" s="14"/>
      <c r="D277" s="10" t="s">
        <v>159</v>
      </c>
      <c r="E277" s="10"/>
      <c r="F277" s="10" t="s">
        <v>275</v>
      </c>
      <c r="G277" s="16"/>
      <c r="H277" s="29">
        <v>5.53</v>
      </c>
      <c r="I277" s="7"/>
      <c r="J277" s="7"/>
      <c r="K277" s="7">
        <v>9.3000000000000007</v>
      </c>
      <c r="L277" s="7">
        <v>1</v>
      </c>
      <c r="M277" s="9"/>
      <c r="N277" s="24">
        <f t="shared" si="64"/>
        <v>5.53</v>
      </c>
      <c r="O277" s="24" t="str">
        <f t="shared" si="65"/>
        <v/>
      </c>
      <c r="P277" s="24">
        <f t="shared" si="66"/>
        <v>8.3000000000000007</v>
      </c>
      <c r="Q277" s="24"/>
      <c r="R277" s="27"/>
      <c r="S277" s="6"/>
    </row>
    <row r="278" spans="1:19" x14ac:dyDescent="0.25">
      <c r="A278" s="12" t="s">
        <v>143</v>
      </c>
      <c r="B278" s="13" t="s">
        <v>91</v>
      </c>
      <c r="C278" s="14"/>
      <c r="D278" s="10" t="s">
        <v>160</v>
      </c>
      <c r="E278" s="10" t="s">
        <v>160</v>
      </c>
      <c r="F278" s="10"/>
      <c r="G278" s="16"/>
      <c r="H278" s="29">
        <v>22.13</v>
      </c>
      <c r="I278" s="7"/>
      <c r="J278" s="7"/>
      <c r="K278" s="7">
        <v>20.45</v>
      </c>
      <c r="L278" s="7">
        <f>1.1+1</f>
        <v>2.1</v>
      </c>
      <c r="M278" s="9"/>
      <c r="N278" s="24">
        <f t="shared" si="64"/>
        <v>22.13</v>
      </c>
      <c r="O278" s="24">
        <f t="shared" si="65"/>
        <v>18.349999999999998</v>
      </c>
      <c r="P278" s="24" t="str">
        <f t="shared" si="66"/>
        <v/>
      </c>
      <c r="Q278" s="24"/>
      <c r="R278" s="27"/>
      <c r="S278" s="6"/>
    </row>
    <row r="279" spans="1:19" x14ac:dyDescent="0.25">
      <c r="A279" s="12" t="s">
        <v>143</v>
      </c>
      <c r="B279" s="13" t="s">
        <v>106</v>
      </c>
      <c r="C279" s="14"/>
      <c r="D279" s="10" t="s">
        <v>159</v>
      </c>
      <c r="E279" s="10"/>
      <c r="F279" s="10" t="s">
        <v>275</v>
      </c>
      <c r="G279" s="16"/>
      <c r="H279" s="29">
        <v>5.53</v>
      </c>
      <c r="I279" s="7"/>
      <c r="J279" s="7"/>
      <c r="K279" s="7">
        <v>9.3000000000000007</v>
      </c>
      <c r="L279" s="7">
        <v>1</v>
      </c>
      <c r="M279" s="9"/>
      <c r="N279" s="24">
        <f t="shared" si="64"/>
        <v>5.53</v>
      </c>
      <c r="O279" s="24" t="str">
        <f t="shared" si="65"/>
        <v/>
      </c>
      <c r="P279" s="24">
        <f t="shared" si="66"/>
        <v>8.3000000000000007</v>
      </c>
      <c r="Q279" s="24"/>
      <c r="R279" s="27"/>
      <c r="S279" s="6"/>
    </row>
    <row r="280" spans="1:19" x14ac:dyDescent="0.25">
      <c r="A280" s="12" t="s">
        <v>143</v>
      </c>
      <c r="B280" s="13" t="s">
        <v>107</v>
      </c>
      <c r="C280" s="14"/>
      <c r="D280" s="10" t="s">
        <v>160</v>
      </c>
      <c r="E280" s="10" t="s">
        <v>160</v>
      </c>
      <c r="F280" s="10"/>
      <c r="G280" s="16"/>
      <c r="H280" s="29">
        <v>24.17</v>
      </c>
      <c r="I280" s="7"/>
      <c r="J280" s="7"/>
      <c r="K280" s="7">
        <v>21.98</v>
      </c>
      <c r="L280" s="7">
        <f>1.1+1</f>
        <v>2.1</v>
      </c>
      <c r="M280" s="9"/>
      <c r="N280" s="24">
        <f t="shared" si="64"/>
        <v>24.17</v>
      </c>
      <c r="O280" s="24">
        <f t="shared" si="65"/>
        <v>19.88</v>
      </c>
      <c r="P280" s="24" t="str">
        <f t="shared" si="66"/>
        <v/>
      </c>
      <c r="Q280" s="24"/>
      <c r="R280" s="27"/>
      <c r="S280" s="6"/>
    </row>
    <row r="281" spans="1:19" x14ac:dyDescent="0.25">
      <c r="A281" s="12" t="s">
        <v>143</v>
      </c>
      <c r="B281" s="13" t="s">
        <v>108</v>
      </c>
      <c r="C281" s="14"/>
      <c r="D281" s="10" t="s">
        <v>159</v>
      </c>
      <c r="E281" s="10"/>
      <c r="F281" s="10" t="s">
        <v>275</v>
      </c>
      <c r="G281" s="16"/>
      <c r="H281" s="29">
        <v>4.8499999999999996</v>
      </c>
      <c r="I281" s="7"/>
      <c r="J281" s="7"/>
      <c r="K281" s="7">
        <v>8.8000000000000007</v>
      </c>
      <c r="L281" s="7">
        <v>1</v>
      </c>
      <c r="M281" s="9"/>
      <c r="N281" s="24">
        <f t="shared" si="64"/>
        <v>4.8499999999999996</v>
      </c>
      <c r="O281" s="24" t="str">
        <f t="shared" si="65"/>
        <v/>
      </c>
      <c r="P281" s="24">
        <f t="shared" si="66"/>
        <v>7.8000000000000007</v>
      </c>
      <c r="Q281" s="24"/>
      <c r="R281" s="27"/>
      <c r="S281" s="6"/>
    </row>
    <row r="282" spans="1:19" x14ac:dyDescent="0.25">
      <c r="A282" s="12" t="s">
        <v>143</v>
      </c>
      <c r="B282" s="13" t="s">
        <v>109</v>
      </c>
      <c r="C282" s="14"/>
      <c r="D282" s="10" t="s">
        <v>160</v>
      </c>
      <c r="E282" s="10" t="s">
        <v>160</v>
      </c>
      <c r="F282" s="10"/>
      <c r="G282" s="16"/>
      <c r="H282" s="29">
        <v>23.96</v>
      </c>
      <c r="I282" s="7"/>
      <c r="J282" s="7"/>
      <c r="K282" s="7">
        <v>21.68</v>
      </c>
      <c r="L282" s="7">
        <f>1.1+1</f>
        <v>2.1</v>
      </c>
      <c r="M282" s="9"/>
      <c r="N282" s="24">
        <f t="shared" si="64"/>
        <v>23.96</v>
      </c>
      <c r="O282" s="24">
        <f t="shared" si="65"/>
        <v>19.579999999999998</v>
      </c>
      <c r="P282" s="24" t="str">
        <f t="shared" si="66"/>
        <v/>
      </c>
      <c r="Q282" s="24"/>
      <c r="R282" s="27"/>
      <c r="S282" s="6"/>
    </row>
    <row r="283" spans="1:19" x14ac:dyDescent="0.25">
      <c r="A283" s="12" t="s">
        <v>143</v>
      </c>
      <c r="B283" s="13" t="s">
        <v>110</v>
      </c>
      <c r="C283" s="14"/>
      <c r="D283" s="10" t="s">
        <v>159</v>
      </c>
      <c r="E283" s="10"/>
      <c r="F283" s="10" t="s">
        <v>275</v>
      </c>
      <c r="G283" s="16"/>
      <c r="H283" s="29">
        <v>4.8499999999999996</v>
      </c>
      <c r="I283" s="7"/>
      <c r="J283" s="7"/>
      <c r="K283" s="7">
        <v>8.8000000000000007</v>
      </c>
      <c r="L283" s="7">
        <v>1</v>
      </c>
      <c r="M283" s="9"/>
      <c r="N283" s="24">
        <f t="shared" si="64"/>
        <v>4.8499999999999996</v>
      </c>
      <c r="O283" s="24" t="str">
        <f t="shared" si="65"/>
        <v/>
      </c>
      <c r="P283" s="24">
        <f t="shared" si="66"/>
        <v>7.8000000000000007</v>
      </c>
      <c r="Q283" s="24"/>
      <c r="R283" s="27"/>
      <c r="S283" s="6"/>
    </row>
    <row r="284" spans="1:19" x14ac:dyDescent="0.25">
      <c r="A284" s="12" t="s">
        <v>143</v>
      </c>
      <c r="B284" s="13" t="s">
        <v>111</v>
      </c>
      <c r="C284" s="14"/>
      <c r="D284" s="10" t="s">
        <v>160</v>
      </c>
      <c r="E284" s="10" t="s">
        <v>160</v>
      </c>
      <c r="F284" s="10"/>
      <c r="G284" s="16"/>
      <c r="H284" s="29">
        <v>24.01</v>
      </c>
      <c r="I284" s="7"/>
      <c r="J284" s="7"/>
      <c r="K284" s="7">
        <v>21.69</v>
      </c>
      <c r="L284" s="7">
        <f>1.1+1</f>
        <v>2.1</v>
      </c>
      <c r="M284" s="9"/>
      <c r="N284" s="24">
        <f t="shared" si="64"/>
        <v>24.01</v>
      </c>
      <c r="O284" s="24">
        <f t="shared" si="65"/>
        <v>19.59</v>
      </c>
      <c r="P284" s="24" t="str">
        <f t="shared" si="66"/>
        <v/>
      </c>
      <c r="Q284" s="24"/>
      <c r="R284" s="27"/>
      <c r="S284" s="6"/>
    </row>
    <row r="285" spans="1:19" x14ac:dyDescent="0.25">
      <c r="A285" s="12" t="s">
        <v>143</v>
      </c>
      <c r="B285" s="13" t="s">
        <v>112</v>
      </c>
      <c r="C285" s="14"/>
      <c r="D285" s="10" t="s">
        <v>159</v>
      </c>
      <c r="E285" s="10"/>
      <c r="F285" s="10" t="s">
        <v>275</v>
      </c>
      <c r="G285" s="16"/>
      <c r="H285" s="29">
        <v>4.8499999999999996</v>
      </c>
      <c r="I285" s="7"/>
      <c r="J285" s="7"/>
      <c r="K285" s="7">
        <v>8.8000000000000007</v>
      </c>
      <c r="L285" s="7">
        <v>1</v>
      </c>
      <c r="M285" s="9"/>
      <c r="N285" s="24">
        <f t="shared" si="64"/>
        <v>4.8499999999999996</v>
      </c>
      <c r="O285" s="24" t="str">
        <f t="shared" si="65"/>
        <v/>
      </c>
      <c r="P285" s="24">
        <f t="shared" si="66"/>
        <v>7.8000000000000007</v>
      </c>
      <c r="Q285" s="24"/>
      <c r="R285" s="27"/>
      <c r="S285" s="6"/>
    </row>
    <row r="286" spans="1:19" x14ac:dyDescent="0.25">
      <c r="A286" s="12" t="s">
        <v>143</v>
      </c>
      <c r="B286" s="13" t="s">
        <v>113</v>
      </c>
      <c r="C286" s="14"/>
      <c r="D286" s="10" t="s">
        <v>160</v>
      </c>
      <c r="E286" s="10" t="s">
        <v>160</v>
      </c>
      <c r="F286" s="10"/>
      <c r="G286" s="16"/>
      <c r="H286" s="29">
        <v>24</v>
      </c>
      <c r="I286" s="7"/>
      <c r="J286" s="7"/>
      <c r="K286" s="7">
        <v>21.68</v>
      </c>
      <c r="L286" s="7">
        <f>1.1+1</f>
        <v>2.1</v>
      </c>
      <c r="M286" s="9"/>
      <c r="N286" s="24">
        <f t="shared" si="64"/>
        <v>24</v>
      </c>
      <c r="O286" s="24">
        <f t="shared" si="65"/>
        <v>19.579999999999998</v>
      </c>
      <c r="P286" s="24" t="str">
        <f t="shared" si="66"/>
        <v/>
      </c>
      <c r="Q286" s="24"/>
      <c r="R286" s="27"/>
      <c r="S286" s="6"/>
    </row>
    <row r="287" spans="1:19" x14ac:dyDescent="0.25">
      <c r="A287" s="12" t="s">
        <v>143</v>
      </c>
      <c r="B287" s="13" t="s">
        <v>114</v>
      </c>
      <c r="C287" s="14"/>
      <c r="D287" s="10" t="s">
        <v>159</v>
      </c>
      <c r="E287" s="10"/>
      <c r="F287" s="10" t="s">
        <v>275</v>
      </c>
      <c r="G287" s="16"/>
      <c r="H287" s="29">
        <v>4.8499999999999996</v>
      </c>
      <c r="I287" s="7"/>
      <c r="J287" s="7"/>
      <c r="K287" s="7">
        <v>8.8000000000000007</v>
      </c>
      <c r="L287" s="7">
        <v>1</v>
      </c>
      <c r="M287" s="9"/>
      <c r="N287" s="24">
        <f t="shared" si="64"/>
        <v>4.8499999999999996</v>
      </c>
      <c r="O287" s="24" t="str">
        <f t="shared" si="65"/>
        <v/>
      </c>
      <c r="P287" s="24">
        <f t="shared" si="66"/>
        <v>7.8000000000000007</v>
      </c>
      <c r="Q287" s="24"/>
      <c r="R287" s="27"/>
      <c r="S287" s="6"/>
    </row>
    <row r="288" spans="1:19" x14ac:dyDescent="0.25">
      <c r="A288" s="12" t="s">
        <v>143</v>
      </c>
      <c r="B288" s="13" t="s">
        <v>115</v>
      </c>
      <c r="C288" s="14"/>
      <c r="D288" s="10" t="s">
        <v>160</v>
      </c>
      <c r="E288" s="10" t="s">
        <v>160</v>
      </c>
      <c r="F288" s="10"/>
      <c r="G288" s="16"/>
      <c r="H288" s="29">
        <v>24.01</v>
      </c>
      <c r="I288" s="7"/>
      <c r="J288" s="7"/>
      <c r="K288" s="7">
        <v>21.68</v>
      </c>
      <c r="L288" s="7">
        <f>1.1+1</f>
        <v>2.1</v>
      </c>
      <c r="M288" s="9"/>
      <c r="N288" s="24">
        <f t="shared" si="64"/>
        <v>24.01</v>
      </c>
      <c r="O288" s="24">
        <f t="shared" si="65"/>
        <v>19.579999999999998</v>
      </c>
      <c r="P288" s="24" t="str">
        <f t="shared" si="66"/>
        <v/>
      </c>
      <c r="Q288" s="24"/>
      <c r="R288" s="27"/>
      <c r="S288" s="6"/>
    </row>
    <row r="289" spans="1:19" x14ac:dyDescent="0.25">
      <c r="A289" s="12" t="s">
        <v>143</v>
      </c>
      <c r="B289" s="13" t="s">
        <v>116</v>
      </c>
      <c r="C289" s="14"/>
      <c r="D289" s="10" t="s">
        <v>159</v>
      </c>
      <c r="E289" s="10"/>
      <c r="F289" s="10" t="s">
        <v>275</v>
      </c>
      <c r="G289" s="16"/>
      <c r="H289" s="29">
        <v>4.8499999999999996</v>
      </c>
      <c r="I289" s="7"/>
      <c r="J289" s="7"/>
      <c r="K289" s="7">
        <v>8.8000000000000007</v>
      </c>
      <c r="L289" s="7">
        <v>1</v>
      </c>
      <c r="M289" s="9"/>
      <c r="N289" s="24">
        <f t="shared" si="64"/>
        <v>4.8499999999999996</v>
      </c>
      <c r="O289" s="24" t="str">
        <f t="shared" si="65"/>
        <v/>
      </c>
      <c r="P289" s="24">
        <f t="shared" si="66"/>
        <v>7.8000000000000007</v>
      </c>
      <c r="Q289" s="24"/>
      <c r="R289" s="27"/>
      <c r="S289" s="6"/>
    </row>
    <row r="290" spans="1:19" x14ac:dyDescent="0.25">
      <c r="A290" s="12" t="s">
        <v>143</v>
      </c>
      <c r="B290" s="13" t="s">
        <v>117</v>
      </c>
      <c r="C290" s="14"/>
      <c r="D290" s="10" t="s">
        <v>160</v>
      </c>
      <c r="E290" s="10" t="s">
        <v>160</v>
      </c>
      <c r="F290" s="10"/>
      <c r="G290" s="16"/>
      <c r="H290" s="29">
        <v>24.6</v>
      </c>
      <c r="I290" s="7"/>
      <c r="J290" s="7"/>
      <c r="K290" s="7">
        <v>23.07</v>
      </c>
      <c r="L290" s="7">
        <f>1.1+1</f>
        <v>2.1</v>
      </c>
      <c r="M290" s="9"/>
      <c r="N290" s="24">
        <f t="shared" si="64"/>
        <v>24.6</v>
      </c>
      <c r="O290" s="24">
        <f t="shared" si="65"/>
        <v>20.97</v>
      </c>
      <c r="P290" s="24" t="str">
        <f t="shared" si="66"/>
        <v/>
      </c>
      <c r="Q290" s="24"/>
      <c r="R290" s="27"/>
      <c r="S290" s="6"/>
    </row>
    <row r="291" spans="1:19" x14ac:dyDescent="0.25">
      <c r="A291" s="12" t="s">
        <v>143</v>
      </c>
      <c r="B291" s="13" t="s">
        <v>118</v>
      </c>
      <c r="C291" s="14"/>
      <c r="D291" s="10" t="s">
        <v>159</v>
      </c>
      <c r="E291" s="10"/>
      <c r="F291" s="10" t="s">
        <v>275</v>
      </c>
      <c r="G291" s="16"/>
      <c r="H291" s="29">
        <v>5.47</v>
      </c>
      <c r="I291" s="7"/>
      <c r="J291" s="7"/>
      <c r="K291" s="7">
        <v>9.3000000000000007</v>
      </c>
      <c r="L291" s="7">
        <v>1</v>
      </c>
      <c r="M291" s="9"/>
      <c r="N291" s="24">
        <f t="shared" si="64"/>
        <v>5.47</v>
      </c>
      <c r="O291" s="24" t="str">
        <f t="shared" si="65"/>
        <v/>
      </c>
      <c r="P291" s="24">
        <f t="shared" si="66"/>
        <v>8.3000000000000007</v>
      </c>
      <c r="Q291" s="24"/>
      <c r="R291" s="27"/>
      <c r="S291" s="6"/>
    </row>
    <row r="292" spans="1:19" x14ac:dyDescent="0.25">
      <c r="A292" s="12" t="s">
        <v>143</v>
      </c>
      <c r="B292" s="13" t="s">
        <v>119</v>
      </c>
      <c r="C292" s="14"/>
      <c r="D292" s="10" t="s">
        <v>160</v>
      </c>
      <c r="E292" s="10" t="s">
        <v>160</v>
      </c>
      <c r="F292" s="10"/>
      <c r="G292" s="16"/>
      <c r="H292" s="29">
        <v>22.76</v>
      </c>
      <c r="I292" s="7"/>
      <c r="J292" s="7"/>
      <c r="K292" s="7">
        <v>20.78</v>
      </c>
      <c r="L292" s="7">
        <f>1.1+1</f>
        <v>2.1</v>
      </c>
      <c r="M292" s="9"/>
      <c r="N292" s="24">
        <f t="shared" si="64"/>
        <v>22.76</v>
      </c>
      <c r="O292" s="24">
        <f t="shared" si="65"/>
        <v>18.68</v>
      </c>
      <c r="P292" s="24" t="str">
        <f t="shared" si="66"/>
        <v/>
      </c>
      <c r="Q292" s="24"/>
      <c r="R292" s="27"/>
      <c r="S292" s="6"/>
    </row>
    <row r="293" spans="1:19" x14ac:dyDescent="0.25">
      <c r="A293" s="12" t="s">
        <v>143</v>
      </c>
      <c r="B293" s="13" t="s">
        <v>120</v>
      </c>
      <c r="C293" s="14"/>
      <c r="D293" s="10" t="s">
        <v>159</v>
      </c>
      <c r="E293" s="10"/>
      <c r="F293" s="10" t="s">
        <v>275</v>
      </c>
      <c r="G293" s="16"/>
      <c r="H293" s="29">
        <v>5.53</v>
      </c>
      <c r="I293" s="7"/>
      <c r="J293" s="7"/>
      <c r="K293" s="7">
        <v>9.3000000000000007</v>
      </c>
      <c r="L293" s="7">
        <v>1</v>
      </c>
      <c r="M293" s="9"/>
      <c r="N293" s="24">
        <f t="shared" si="64"/>
        <v>5.53</v>
      </c>
      <c r="O293" s="24" t="str">
        <f t="shared" si="65"/>
        <v/>
      </c>
      <c r="P293" s="24">
        <f t="shared" si="66"/>
        <v>8.3000000000000007</v>
      </c>
      <c r="Q293" s="24"/>
      <c r="R293" s="27"/>
      <c r="S293" s="6"/>
    </row>
    <row r="294" spans="1:19" x14ac:dyDescent="0.25">
      <c r="A294" s="12" t="s">
        <v>143</v>
      </c>
      <c r="B294" s="13" t="s">
        <v>121</v>
      </c>
      <c r="C294" s="14"/>
      <c r="D294" s="10" t="s">
        <v>160</v>
      </c>
      <c r="E294" s="10" t="s">
        <v>160</v>
      </c>
      <c r="F294" s="10"/>
      <c r="G294" s="16"/>
      <c r="H294" s="29">
        <v>24.16</v>
      </c>
      <c r="I294" s="7"/>
      <c r="J294" s="7"/>
      <c r="K294" s="7">
        <v>21.73</v>
      </c>
      <c r="L294" s="7">
        <f>1.1+1</f>
        <v>2.1</v>
      </c>
      <c r="M294" s="9"/>
      <c r="N294" s="24">
        <f t="shared" si="64"/>
        <v>24.16</v>
      </c>
      <c r="O294" s="24">
        <f t="shared" si="65"/>
        <v>19.63</v>
      </c>
      <c r="P294" s="24" t="str">
        <f t="shared" si="66"/>
        <v/>
      </c>
      <c r="Q294" s="24"/>
      <c r="R294" s="27"/>
      <c r="S294" s="6"/>
    </row>
    <row r="295" spans="1:19" x14ac:dyDescent="0.25">
      <c r="A295" s="12" t="s">
        <v>143</v>
      </c>
      <c r="B295" s="13" t="s">
        <v>122</v>
      </c>
      <c r="C295" s="14"/>
      <c r="D295" s="10" t="s">
        <v>159</v>
      </c>
      <c r="E295" s="10"/>
      <c r="F295" s="10" t="s">
        <v>275</v>
      </c>
      <c r="G295" s="16"/>
      <c r="H295" s="29">
        <v>4.8499999999999996</v>
      </c>
      <c r="I295" s="7"/>
      <c r="J295" s="7"/>
      <c r="K295" s="7">
        <v>8.8000000000000007</v>
      </c>
      <c r="L295" s="7">
        <v>1</v>
      </c>
      <c r="M295" s="9"/>
      <c r="N295" s="24">
        <f t="shared" si="64"/>
        <v>4.8499999999999996</v>
      </c>
      <c r="O295" s="24" t="str">
        <f t="shared" si="65"/>
        <v/>
      </c>
      <c r="P295" s="24">
        <f t="shared" si="66"/>
        <v>7.8000000000000007</v>
      </c>
      <c r="Q295" s="24"/>
      <c r="R295" s="27"/>
      <c r="S295" s="6"/>
    </row>
    <row r="296" spans="1:19" x14ac:dyDescent="0.25">
      <c r="A296" s="12" t="s">
        <v>143</v>
      </c>
      <c r="B296" s="13" t="s">
        <v>123</v>
      </c>
      <c r="C296" s="14"/>
      <c r="D296" s="10" t="s">
        <v>160</v>
      </c>
      <c r="E296" s="10" t="s">
        <v>160</v>
      </c>
      <c r="F296" s="10"/>
      <c r="G296" s="16"/>
      <c r="H296" s="29">
        <v>24.18</v>
      </c>
      <c r="I296" s="7"/>
      <c r="J296" s="7"/>
      <c r="K296" s="7">
        <v>21.69</v>
      </c>
      <c r="L296" s="7">
        <f>1.1+1</f>
        <v>2.1</v>
      </c>
      <c r="M296" s="9"/>
      <c r="N296" s="24">
        <f t="shared" si="64"/>
        <v>24.18</v>
      </c>
      <c r="O296" s="24">
        <f t="shared" si="65"/>
        <v>19.59</v>
      </c>
      <c r="P296" s="24" t="str">
        <f t="shared" si="66"/>
        <v/>
      </c>
      <c r="Q296" s="24"/>
      <c r="R296" s="27"/>
      <c r="S296" s="6"/>
    </row>
    <row r="297" spans="1:19" x14ac:dyDescent="0.25">
      <c r="A297" s="12" t="s">
        <v>143</v>
      </c>
      <c r="B297" s="13" t="s">
        <v>124</v>
      </c>
      <c r="C297" s="14"/>
      <c r="D297" s="10" t="s">
        <v>159</v>
      </c>
      <c r="E297" s="10"/>
      <c r="F297" s="10" t="s">
        <v>275</v>
      </c>
      <c r="G297" s="16"/>
      <c r="H297" s="29">
        <v>4.8499999999999996</v>
      </c>
      <c r="I297" s="7"/>
      <c r="J297" s="7"/>
      <c r="K297" s="7">
        <v>8.8000000000000007</v>
      </c>
      <c r="L297" s="7">
        <v>1</v>
      </c>
      <c r="M297" s="9"/>
      <c r="N297" s="24">
        <f t="shared" si="64"/>
        <v>4.8499999999999996</v>
      </c>
      <c r="O297" s="24" t="str">
        <f t="shared" si="65"/>
        <v/>
      </c>
      <c r="P297" s="24">
        <f t="shared" si="66"/>
        <v>7.8000000000000007</v>
      </c>
      <c r="Q297" s="24"/>
      <c r="R297" s="27"/>
      <c r="S297" s="6"/>
    </row>
    <row r="298" spans="1:19" x14ac:dyDescent="0.25">
      <c r="A298" s="12" t="s">
        <v>143</v>
      </c>
      <c r="B298" s="13" t="s">
        <v>125</v>
      </c>
      <c r="C298" s="14"/>
      <c r="D298" s="10" t="s">
        <v>154</v>
      </c>
      <c r="E298" s="10" t="s">
        <v>154</v>
      </c>
      <c r="F298" s="10"/>
      <c r="G298" s="16"/>
      <c r="H298" s="29">
        <v>13.17</v>
      </c>
      <c r="I298" s="7"/>
      <c r="J298" s="7"/>
      <c r="K298" s="7">
        <v>18.89</v>
      </c>
      <c r="L298" s="7">
        <f>1.7+1.3+1.1</f>
        <v>4.0999999999999996</v>
      </c>
      <c r="M298" s="9"/>
      <c r="N298" s="24">
        <f t="shared" si="64"/>
        <v>13.17</v>
      </c>
      <c r="O298" s="24">
        <f t="shared" si="65"/>
        <v>14.790000000000001</v>
      </c>
      <c r="P298" s="24" t="str">
        <f t="shared" si="66"/>
        <v/>
      </c>
      <c r="Q298" s="24"/>
      <c r="R298" s="27"/>
      <c r="S298" s="6"/>
    </row>
    <row r="299" spans="1:19" x14ac:dyDescent="0.25">
      <c r="A299" s="12" t="s">
        <v>143</v>
      </c>
      <c r="B299" s="13" t="s">
        <v>126</v>
      </c>
      <c r="C299" s="14"/>
      <c r="D299" s="10" t="s">
        <v>160</v>
      </c>
      <c r="E299" s="10" t="s">
        <v>160</v>
      </c>
      <c r="F299" s="10"/>
      <c r="G299" s="16"/>
      <c r="H299" s="29">
        <v>27.51</v>
      </c>
      <c r="I299" s="7"/>
      <c r="J299" s="7"/>
      <c r="K299" s="7">
        <v>25.68</v>
      </c>
      <c r="L299" s="7">
        <f>1.1+1</f>
        <v>2.1</v>
      </c>
      <c r="M299" s="9"/>
      <c r="N299" s="24">
        <f t="shared" si="64"/>
        <v>27.51</v>
      </c>
      <c r="O299" s="24">
        <f t="shared" si="65"/>
        <v>23.58</v>
      </c>
      <c r="P299" s="24" t="str">
        <f t="shared" si="66"/>
        <v/>
      </c>
      <c r="Q299" s="24"/>
      <c r="R299" s="27"/>
      <c r="S299" s="6"/>
    </row>
    <row r="300" spans="1:19" x14ac:dyDescent="0.25">
      <c r="A300" s="12" t="s">
        <v>143</v>
      </c>
      <c r="B300" s="13" t="s">
        <v>127</v>
      </c>
      <c r="C300" s="14"/>
      <c r="D300" s="10" t="s">
        <v>159</v>
      </c>
      <c r="E300" s="10"/>
      <c r="F300" s="10" t="s">
        <v>275</v>
      </c>
      <c r="G300" s="16"/>
      <c r="H300" s="29">
        <v>4.8499999999999996</v>
      </c>
      <c r="I300" s="7"/>
      <c r="J300" s="7"/>
      <c r="K300" s="7">
        <v>8.8000000000000007</v>
      </c>
      <c r="L300" s="7">
        <v>1</v>
      </c>
      <c r="M300" s="9"/>
      <c r="N300" s="24">
        <f t="shared" si="64"/>
        <v>4.8499999999999996</v>
      </c>
      <c r="O300" s="24" t="str">
        <f t="shared" si="65"/>
        <v/>
      </c>
      <c r="P300" s="24">
        <f t="shared" si="66"/>
        <v>7.8000000000000007</v>
      </c>
      <c r="Q300" s="24"/>
      <c r="R300" s="27"/>
      <c r="S300" s="6"/>
    </row>
    <row r="301" spans="1:19" x14ac:dyDescent="0.25">
      <c r="A301" s="12" t="s">
        <v>143</v>
      </c>
      <c r="B301" s="13" t="s">
        <v>128</v>
      </c>
      <c r="C301" s="14"/>
      <c r="D301" s="10" t="s">
        <v>160</v>
      </c>
      <c r="E301" s="10" t="s">
        <v>160</v>
      </c>
      <c r="F301" s="10"/>
      <c r="G301" s="16"/>
      <c r="H301" s="29">
        <v>25</v>
      </c>
      <c r="I301" s="7"/>
      <c r="J301" s="7"/>
      <c r="K301" s="7">
        <v>22.69</v>
      </c>
      <c r="L301" s="7">
        <f>1.1+1</f>
        <v>2.1</v>
      </c>
      <c r="M301" s="9"/>
      <c r="N301" s="24">
        <f t="shared" si="64"/>
        <v>25</v>
      </c>
      <c r="O301" s="24">
        <f t="shared" si="65"/>
        <v>20.59</v>
      </c>
      <c r="P301" s="24" t="str">
        <f t="shared" si="66"/>
        <v/>
      </c>
      <c r="Q301" s="24"/>
      <c r="R301" s="27"/>
      <c r="S301" s="6"/>
    </row>
    <row r="302" spans="1:19" x14ac:dyDescent="0.25">
      <c r="A302" s="12" t="s">
        <v>143</v>
      </c>
      <c r="B302" s="13" t="s">
        <v>129</v>
      </c>
      <c r="C302" s="14"/>
      <c r="D302" s="10" t="s">
        <v>159</v>
      </c>
      <c r="E302" s="10"/>
      <c r="F302" s="10" t="s">
        <v>275</v>
      </c>
      <c r="G302" s="16"/>
      <c r="H302" s="29">
        <v>4.8499999999999996</v>
      </c>
      <c r="I302" s="7"/>
      <c r="J302" s="7"/>
      <c r="K302" s="7">
        <v>8.8000000000000007</v>
      </c>
      <c r="L302" s="7">
        <v>1</v>
      </c>
      <c r="M302" s="9"/>
      <c r="N302" s="24">
        <f t="shared" si="64"/>
        <v>4.8499999999999996</v>
      </c>
      <c r="O302" s="24" t="str">
        <f t="shared" si="65"/>
        <v/>
      </c>
      <c r="P302" s="24">
        <f t="shared" si="66"/>
        <v>7.8000000000000007</v>
      </c>
      <c r="Q302" s="24"/>
      <c r="R302" s="27"/>
      <c r="S302" s="6"/>
    </row>
    <row r="303" spans="1:19" x14ac:dyDescent="0.25">
      <c r="A303" s="12" t="s">
        <v>143</v>
      </c>
      <c r="B303" s="13" t="s">
        <v>130</v>
      </c>
      <c r="C303" s="14"/>
      <c r="D303" s="10" t="s">
        <v>160</v>
      </c>
      <c r="E303" s="10" t="s">
        <v>160</v>
      </c>
      <c r="F303" s="10"/>
      <c r="G303" s="16"/>
      <c r="H303" s="29">
        <v>24.04</v>
      </c>
      <c r="I303" s="7"/>
      <c r="J303" s="7"/>
      <c r="K303" s="7">
        <v>21.68</v>
      </c>
      <c r="L303" s="7">
        <f>1.1+1</f>
        <v>2.1</v>
      </c>
      <c r="M303" s="9"/>
      <c r="N303" s="24">
        <f t="shared" si="64"/>
        <v>24.04</v>
      </c>
      <c r="O303" s="24">
        <f t="shared" si="65"/>
        <v>19.579999999999998</v>
      </c>
      <c r="P303" s="24" t="str">
        <f t="shared" si="66"/>
        <v/>
      </c>
      <c r="Q303" s="24"/>
      <c r="R303" s="27"/>
      <c r="S303" s="6"/>
    </row>
    <row r="304" spans="1:19" x14ac:dyDescent="0.25">
      <c r="A304" s="12" t="s">
        <v>143</v>
      </c>
      <c r="B304" s="13" t="s">
        <v>131</v>
      </c>
      <c r="C304" s="14"/>
      <c r="D304" s="10" t="s">
        <v>159</v>
      </c>
      <c r="E304" s="10"/>
      <c r="F304" s="10" t="s">
        <v>275</v>
      </c>
      <c r="G304" s="16"/>
      <c r="H304" s="29">
        <v>4.8499999999999996</v>
      </c>
      <c r="I304" s="7"/>
      <c r="J304" s="7"/>
      <c r="K304" s="7">
        <v>8.8000000000000007</v>
      </c>
      <c r="L304" s="7">
        <v>1</v>
      </c>
      <c r="M304" s="9"/>
      <c r="N304" s="24">
        <f t="shared" si="64"/>
        <v>4.8499999999999996</v>
      </c>
      <c r="O304" s="24" t="str">
        <f t="shared" si="65"/>
        <v/>
      </c>
      <c r="P304" s="24">
        <f t="shared" si="66"/>
        <v>7.8000000000000007</v>
      </c>
      <c r="Q304" s="24"/>
      <c r="R304" s="27"/>
      <c r="S304" s="6"/>
    </row>
    <row r="305" spans="1:19" x14ac:dyDescent="0.25">
      <c r="A305" s="12" t="s">
        <v>143</v>
      </c>
      <c r="B305" s="13" t="s">
        <v>132</v>
      </c>
      <c r="C305" s="14"/>
      <c r="D305" s="10" t="s">
        <v>160</v>
      </c>
      <c r="E305" s="10" t="s">
        <v>160</v>
      </c>
      <c r="F305" s="10"/>
      <c r="G305" s="16"/>
      <c r="H305" s="29">
        <v>23.96</v>
      </c>
      <c r="I305" s="7"/>
      <c r="J305" s="7"/>
      <c r="K305" s="7">
        <v>21.68</v>
      </c>
      <c r="L305" s="7">
        <f>1.1+1</f>
        <v>2.1</v>
      </c>
      <c r="M305" s="9"/>
      <c r="N305" s="24">
        <f t="shared" si="64"/>
        <v>23.96</v>
      </c>
      <c r="O305" s="24">
        <f t="shared" si="65"/>
        <v>19.579999999999998</v>
      </c>
      <c r="P305" s="24" t="str">
        <f t="shared" si="66"/>
        <v/>
      </c>
      <c r="Q305" s="24"/>
      <c r="R305" s="27"/>
      <c r="S305" s="6"/>
    </row>
    <row r="306" spans="1:19" x14ac:dyDescent="0.25">
      <c r="A306" s="12" t="s">
        <v>143</v>
      </c>
      <c r="B306" s="13" t="s">
        <v>133</v>
      </c>
      <c r="C306" s="14"/>
      <c r="D306" s="10" t="s">
        <v>159</v>
      </c>
      <c r="E306" s="10"/>
      <c r="F306" s="10" t="s">
        <v>275</v>
      </c>
      <c r="G306" s="16"/>
      <c r="H306" s="29">
        <v>4.8499999999999996</v>
      </c>
      <c r="I306" s="7"/>
      <c r="J306" s="7"/>
      <c r="K306" s="7">
        <v>8.8000000000000007</v>
      </c>
      <c r="L306" s="7">
        <v>1</v>
      </c>
      <c r="M306" s="9"/>
      <c r="N306" s="24">
        <f t="shared" si="64"/>
        <v>4.8499999999999996</v>
      </c>
      <c r="O306" s="24" t="str">
        <f t="shared" si="65"/>
        <v/>
      </c>
      <c r="P306" s="24">
        <f t="shared" si="66"/>
        <v>7.8000000000000007</v>
      </c>
      <c r="Q306" s="24"/>
      <c r="R306" s="27"/>
      <c r="S306" s="6"/>
    </row>
    <row r="307" spans="1:19" x14ac:dyDescent="0.25">
      <c r="A307" s="12" t="s">
        <v>143</v>
      </c>
      <c r="B307" s="13" t="s">
        <v>134</v>
      </c>
      <c r="C307" s="14"/>
      <c r="D307" s="10" t="s">
        <v>164</v>
      </c>
      <c r="E307" s="10"/>
      <c r="F307" s="10"/>
      <c r="G307" s="16"/>
      <c r="H307" s="29">
        <v>35</v>
      </c>
      <c r="I307" s="7"/>
      <c r="J307" s="7"/>
      <c r="K307" s="7"/>
      <c r="L307" s="7"/>
      <c r="M307" s="9"/>
      <c r="N307" s="24">
        <f t="shared" si="64"/>
        <v>35</v>
      </c>
      <c r="O307" s="24" t="str">
        <f t="shared" si="65"/>
        <v/>
      </c>
      <c r="P307" s="24" t="str">
        <f t="shared" si="66"/>
        <v/>
      </c>
      <c r="Q307" s="24"/>
      <c r="R307" s="27"/>
      <c r="S307" s="6"/>
    </row>
    <row r="308" spans="1:19" x14ac:dyDescent="0.25">
      <c r="A308" s="12" t="s">
        <v>143</v>
      </c>
      <c r="B308" s="13" t="s">
        <v>135</v>
      </c>
      <c r="C308" s="14"/>
      <c r="D308" s="10" t="s">
        <v>164</v>
      </c>
      <c r="E308" s="10"/>
      <c r="F308" s="10"/>
      <c r="G308" s="16"/>
      <c r="H308" s="29">
        <v>48.86</v>
      </c>
      <c r="I308" s="7"/>
      <c r="J308" s="7"/>
      <c r="K308" s="7"/>
      <c r="L308" s="7"/>
      <c r="M308" s="9"/>
      <c r="N308" s="24">
        <f>IF(AND(D308&lt;&gt;"",H308&lt;&gt;0),H308-I308+J308,"")</f>
        <v>48.86</v>
      </c>
      <c r="O308" s="24" t="str">
        <f>IF(AND(E308&lt;&gt;"",K308&lt;&gt;0),K308-L308+M308,"")</f>
        <v/>
      </c>
      <c r="P308" s="24" t="str">
        <f t="shared" si="66"/>
        <v/>
      </c>
      <c r="Q308" s="24"/>
      <c r="R308" s="27"/>
      <c r="S308" s="6"/>
    </row>
    <row r="309" spans="1:19" x14ac:dyDescent="0.25">
      <c r="A309" s="12" t="s">
        <v>143</v>
      </c>
      <c r="B309" s="13" t="s">
        <v>136</v>
      </c>
      <c r="C309" s="14"/>
      <c r="D309" s="10" t="s">
        <v>164</v>
      </c>
      <c r="E309" s="10"/>
      <c r="F309" s="10"/>
      <c r="G309" s="16"/>
      <c r="H309" s="29">
        <v>42.45</v>
      </c>
      <c r="I309" s="7"/>
      <c r="J309" s="7"/>
      <c r="K309" s="7"/>
      <c r="L309" s="7"/>
      <c r="M309" s="9"/>
      <c r="N309" s="24">
        <f>IF(AND(D309&lt;&gt;"",H309&lt;&gt;0),H309-I309+J309,"")</f>
        <v>42.45</v>
      </c>
      <c r="O309" s="24" t="str">
        <f>IF(AND(E309&lt;&gt;"",K309&lt;&gt;0),K309-L309+M309,"")</f>
        <v/>
      </c>
      <c r="P309" s="24" t="str">
        <f t="shared" si="66"/>
        <v/>
      </c>
      <c r="Q309" s="24"/>
      <c r="R309" s="27"/>
      <c r="S309" s="6"/>
    </row>
    <row r="310" spans="1:19" x14ac:dyDescent="0.25">
      <c r="A310" s="12" t="s">
        <v>143</v>
      </c>
      <c r="B310" s="13" t="s">
        <v>92</v>
      </c>
      <c r="C310" s="14"/>
      <c r="D310" s="10" t="s">
        <v>238</v>
      </c>
      <c r="E310" s="10" t="s">
        <v>238</v>
      </c>
      <c r="F310" s="10"/>
      <c r="G310" s="16"/>
      <c r="H310" s="29">
        <v>30.89</v>
      </c>
      <c r="I310" s="7"/>
      <c r="J310" s="7"/>
      <c r="K310" s="7">
        <f>25.9-(3.3+0.3)</f>
        <v>22.299999999999997</v>
      </c>
      <c r="L310" s="7">
        <f>1.2+1.6+1.6+0.8+0.7*2+1.6</f>
        <v>8.1999999999999993</v>
      </c>
      <c r="M310" s="9"/>
      <c r="N310" s="24">
        <f>IF(AND(D310&lt;&gt;"",H310&lt;&gt;0),H310-I310+J310,"")</f>
        <v>30.89</v>
      </c>
      <c r="O310" s="24">
        <f>IF(AND(E310&lt;&gt;"",K310&lt;&gt;0),K310-L310+M310,"")</f>
        <v>14.099999999999998</v>
      </c>
      <c r="P310" s="24" t="str">
        <f t="shared" si="66"/>
        <v/>
      </c>
      <c r="Q310" s="24"/>
      <c r="R310" s="27"/>
      <c r="S310" s="6"/>
    </row>
    <row r="311" spans="1:19" x14ac:dyDescent="0.25">
      <c r="A311" s="12" t="s">
        <v>143</v>
      </c>
      <c r="B311" s="13" t="s">
        <v>93</v>
      </c>
      <c r="C311" s="14"/>
      <c r="D311" s="10" t="s">
        <v>229</v>
      </c>
      <c r="E311" s="10" t="s">
        <v>229</v>
      </c>
      <c r="F311" s="10"/>
      <c r="G311" s="16"/>
      <c r="H311" s="29">
        <v>3.64</v>
      </c>
      <c r="I311" s="7"/>
      <c r="J311" s="7"/>
      <c r="K311" s="7">
        <f>8.1-(2.4+0.3)</f>
        <v>5.4</v>
      </c>
      <c r="L311" s="7">
        <v>1.3</v>
      </c>
      <c r="M311" s="9"/>
      <c r="N311" s="24">
        <f>IF(AND(D311&lt;&gt;"",H311&lt;&gt;0),H311-I311+J311,"")</f>
        <v>3.64</v>
      </c>
      <c r="O311" s="24">
        <f>IF(AND(E311&lt;&gt;"",K311&lt;&gt;0),K311-L311+M311,"")</f>
        <v>4.1000000000000005</v>
      </c>
      <c r="P311" s="24" t="str">
        <f t="shared" si="66"/>
        <v/>
      </c>
      <c r="Q311" s="24"/>
      <c r="R311" s="27"/>
      <c r="S311" s="6"/>
    </row>
    <row r="312" spans="1:19" x14ac:dyDescent="0.25">
      <c r="A312" s="12" t="s">
        <v>143</v>
      </c>
      <c r="B312" s="13" t="s">
        <v>140</v>
      </c>
      <c r="C312" s="14"/>
      <c r="D312" s="10" t="s">
        <v>229</v>
      </c>
      <c r="E312" s="10" t="s">
        <v>229</v>
      </c>
      <c r="F312" s="10"/>
      <c r="G312" s="16"/>
      <c r="H312" s="29">
        <v>3.64</v>
      </c>
      <c r="I312" s="7"/>
      <c r="J312" s="7"/>
      <c r="K312" s="7">
        <f>8.1-(2.4+0.3)</f>
        <v>5.4</v>
      </c>
      <c r="L312" s="7">
        <v>1.2</v>
      </c>
      <c r="M312" s="9"/>
      <c r="N312" s="24">
        <f>IF(AND(D312&lt;&gt;"",H312&lt;&gt;0),H312-I312+J312,"")</f>
        <v>3.64</v>
      </c>
      <c r="O312" s="24">
        <f>IF(AND(E312&lt;&gt;"",K312&lt;&gt;0),K312-L312+M312,"")</f>
        <v>4.2</v>
      </c>
      <c r="P312" s="24" t="str">
        <f t="shared" si="66"/>
        <v/>
      </c>
      <c r="Q312" s="24"/>
      <c r="R312" s="27"/>
      <c r="S312" s="6"/>
    </row>
    <row r="313" spans="1:19" x14ac:dyDescent="0.25">
      <c r="A313" s="12" t="s">
        <v>143</v>
      </c>
      <c r="B313" s="13"/>
      <c r="C313" s="14"/>
      <c r="D313" s="10" t="s">
        <v>324</v>
      </c>
      <c r="E313" s="10"/>
      <c r="F313" s="10"/>
      <c r="G313" s="16" t="s">
        <v>325</v>
      </c>
      <c r="H313" s="29">
        <f>0.9*0.9*30</f>
        <v>24.3</v>
      </c>
      <c r="I313" s="7"/>
      <c r="J313" s="7"/>
      <c r="K313" s="7"/>
      <c r="L313" s="7"/>
      <c r="M313" s="9"/>
      <c r="N313" s="24">
        <f t="shared" ref="N313:N315" si="69">IF(AND(D313&lt;&gt;"",H313&lt;&gt;0),H313-I313+J313,"")</f>
        <v>24.3</v>
      </c>
      <c r="O313" s="24" t="str">
        <f t="shared" ref="O313:O315" si="70">IF(AND(E313&lt;&gt;"",K313&lt;&gt;0),K313-L313+M313,"")</f>
        <v/>
      </c>
      <c r="P313" s="24" t="str">
        <f t="shared" si="66"/>
        <v/>
      </c>
      <c r="Q313" s="24"/>
      <c r="R313" s="27"/>
      <c r="S313" s="6"/>
    </row>
    <row r="314" spans="1:19" x14ac:dyDescent="0.25">
      <c r="A314" s="12" t="s">
        <v>143</v>
      </c>
      <c r="B314" s="13"/>
      <c r="C314" s="14"/>
      <c r="D314" s="10" t="s">
        <v>159</v>
      </c>
      <c r="E314" s="10"/>
      <c r="F314" s="10"/>
      <c r="G314" s="16" t="s">
        <v>326</v>
      </c>
      <c r="H314" s="29">
        <f>-0.9*0.9*30</f>
        <v>-24.3</v>
      </c>
      <c r="I314" s="7"/>
      <c r="J314" s="7"/>
      <c r="K314" s="7"/>
      <c r="L314" s="7"/>
      <c r="M314" s="9"/>
      <c r="N314" s="24">
        <f t="shared" si="69"/>
        <v>-24.3</v>
      </c>
      <c r="O314" s="24" t="str">
        <f t="shared" si="70"/>
        <v/>
      </c>
      <c r="P314" s="24" t="str">
        <f t="shared" si="66"/>
        <v/>
      </c>
      <c r="Q314" s="24"/>
      <c r="R314" s="27"/>
      <c r="S314" s="6"/>
    </row>
    <row r="315" spans="1:19" x14ac:dyDescent="0.25">
      <c r="A315" s="12" t="s">
        <v>143</v>
      </c>
      <c r="B315" s="13" t="s">
        <v>94</v>
      </c>
      <c r="C315" s="14"/>
      <c r="D315" s="10"/>
      <c r="E315" s="10"/>
      <c r="F315" s="10"/>
      <c r="G315" s="16" t="s">
        <v>152</v>
      </c>
      <c r="H315" s="29"/>
      <c r="I315" s="7"/>
      <c r="J315" s="7"/>
      <c r="K315" s="7"/>
      <c r="L315" s="7"/>
      <c r="M315" s="9"/>
      <c r="N315" s="24" t="str">
        <f t="shared" si="69"/>
        <v/>
      </c>
      <c r="O315" s="24" t="str">
        <f t="shared" si="70"/>
        <v/>
      </c>
      <c r="P315" s="24" t="str">
        <f t="shared" si="66"/>
        <v/>
      </c>
      <c r="Q315" s="24"/>
      <c r="R315" s="27"/>
      <c r="S315" s="6"/>
    </row>
    <row r="316" spans="1:19" x14ac:dyDescent="0.25">
      <c r="A316" s="12" t="s">
        <v>143</v>
      </c>
      <c r="B316" s="13" t="s">
        <v>95</v>
      </c>
      <c r="C316" s="14"/>
      <c r="D316" s="10"/>
      <c r="E316" s="10"/>
      <c r="F316" s="10"/>
      <c r="G316" s="16" t="s">
        <v>152</v>
      </c>
      <c r="H316" s="29"/>
      <c r="I316" s="7"/>
      <c r="J316" s="7"/>
      <c r="K316" s="7"/>
      <c r="L316" s="7"/>
      <c r="M316" s="9"/>
      <c r="N316" s="24" t="str">
        <f t="shared" ref="N316:N323" si="71">IF(AND(D316&lt;&gt;"",H316&lt;&gt;0),H316-I316+J316,"")</f>
        <v/>
      </c>
      <c r="O316" s="24" t="str">
        <f t="shared" ref="O316:O323" si="72">IF(AND(E316&lt;&gt;"",K316&lt;&gt;0),K316-L316+M316,"")</f>
        <v/>
      </c>
      <c r="P316" s="24" t="str">
        <f t="shared" si="66"/>
        <v/>
      </c>
      <c r="Q316" s="24"/>
      <c r="R316" s="27"/>
      <c r="S316" s="6"/>
    </row>
    <row r="317" spans="1:19" x14ac:dyDescent="0.25">
      <c r="A317" s="12" t="s">
        <v>143</v>
      </c>
      <c r="B317" s="13" t="s">
        <v>96</v>
      </c>
      <c r="C317" s="14"/>
      <c r="D317" s="10"/>
      <c r="E317" s="10"/>
      <c r="F317" s="10"/>
      <c r="G317" s="16" t="s">
        <v>152</v>
      </c>
      <c r="H317" s="29"/>
      <c r="I317" s="7"/>
      <c r="J317" s="7"/>
      <c r="K317" s="7"/>
      <c r="L317" s="7"/>
      <c r="M317" s="9"/>
      <c r="N317" s="24" t="str">
        <f t="shared" si="71"/>
        <v/>
      </c>
      <c r="O317" s="24" t="str">
        <f t="shared" si="72"/>
        <v/>
      </c>
      <c r="P317" s="24" t="str">
        <f t="shared" si="66"/>
        <v/>
      </c>
      <c r="Q317" s="24"/>
      <c r="R317" s="27"/>
      <c r="S317" s="6"/>
    </row>
    <row r="318" spans="1:19" x14ac:dyDescent="0.25">
      <c r="A318" s="12" t="s">
        <v>143</v>
      </c>
      <c r="B318" s="13" t="s">
        <v>97</v>
      </c>
      <c r="C318" s="14"/>
      <c r="D318" s="10"/>
      <c r="E318" s="10"/>
      <c r="F318" s="10"/>
      <c r="G318" s="16" t="s">
        <v>152</v>
      </c>
      <c r="H318" s="29"/>
      <c r="I318" s="7"/>
      <c r="J318" s="7"/>
      <c r="K318" s="7"/>
      <c r="L318" s="7"/>
      <c r="M318" s="9"/>
      <c r="N318" s="24" t="str">
        <f t="shared" si="71"/>
        <v/>
      </c>
      <c r="O318" s="24" t="str">
        <f t="shared" si="72"/>
        <v/>
      </c>
      <c r="P318" s="24" t="str">
        <f t="shared" si="66"/>
        <v/>
      </c>
      <c r="Q318" s="24"/>
      <c r="R318" s="27"/>
      <c r="S318" s="6"/>
    </row>
    <row r="319" spans="1:19" x14ac:dyDescent="0.25">
      <c r="A319" s="12" t="s">
        <v>143</v>
      </c>
      <c r="B319" s="13" t="s">
        <v>98</v>
      </c>
      <c r="C319" s="14"/>
      <c r="D319" s="10"/>
      <c r="E319" s="10"/>
      <c r="F319" s="10"/>
      <c r="G319" s="16" t="s">
        <v>152</v>
      </c>
      <c r="H319" s="29"/>
      <c r="I319" s="7"/>
      <c r="J319" s="7"/>
      <c r="K319" s="7"/>
      <c r="L319" s="7"/>
      <c r="M319" s="9"/>
      <c r="N319" s="24" t="str">
        <f t="shared" si="71"/>
        <v/>
      </c>
      <c r="O319" s="24" t="str">
        <f t="shared" si="72"/>
        <v/>
      </c>
      <c r="P319" s="24" t="str">
        <f t="shared" si="66"/>
        <v/>
      </c>
      <c r="Q319" s="24"/>
      <c r="R319" s="27"/>
      <c r="S319" s="6"/>
    </row>
    <row r="320" spans="1:19" x14ac:dyDescent="0.25">
      <c r="A320" s="12" t="s">
        <v>143</v>
      </c>
      <c r="B320" s="13" t="s">
        <v>99</v>
      </c>
      <c r="C320" s="14"/>
      <c r="D320" s="10"/>
      <c r="E320" s="10"/>
      <c r="F320" s="10"/>
      <c r="G320" s="16" t="s">
        <v>152</v>
      </c>
      <c r="H320" s="29"/>
      <c r="I320" s="7"/>
      <c r="J320" s="7"/>
      <c r="K320" s="7"/>
      <c r="L320" s="7"/>
      <c r="M320" s="9"/>
      <c r="N320" s="24" t="str">
        <f t="shared" si="71"/>
        <v/>
      </c>
      <c r="O320" s="24" t="str">
        <f t="shared" si="72"/>
        <v/>
      </c>
      <c r="P320" s="24" t="str">
        <f t="shared" si="66"/>
        <v/>
      </c>
      <c r="Q320" s="24"/>
      <c r="R320" s="27"/>
      <c r="S320" s="6"/>
    </row>
    <row r="321" spans="1:19" x14ac:dyDescent="0.25">
      <c r="A321" s="12" t="s">
        <v>143</v>
      </c>
      <c r="B321" s="13" t="s">
        <v>100</v>
      </c>
      <c r="C321" s="14"/>
      <c r="D321" s="10"/>
      <c r="E321" s="10"/>
      <c r="F321" s="10"/>
      <c r="G321" s="16" t="s">
        <v>152</v>
      </c>
      <c r="H321" s="29"/>
      <c r="I321" s="7"/>
      <c r="J321" s="7"/>
      <c r="K321" s="7"/>
      <c r="L321" s="7"/>
      <c r="M321" s="9"/>
      <c r="N321" s="24" t="str">
        <f t="shared" si="71"/>
        <v/>
      </c>
      <c r="O321" s="24" t="str">
        <f t="shared" si="72"/>
        <v/>
      </c>
      <c r="P321" s="24" t="str">
        <f t="shared" si="66"/>
        <v/>
      </c>
      <c r="Q321" s="24"/>
      <c r="R321" s="27"/>
      <c r="S321" s="6"/>
    </row>
    <row r="322" spans="1:19" x14ac:dyDescent="0.25">
      <c r="A322" s="12" t="s">
        <v>143</v>
      </c>
      <c r="B322" s="13" t="s">
        <v>101</v>
      </c>
      <c r="C322" s="14"/>
      <c r="D322" s="10"/>
      <c r="E322" s="10"/>
      <c r="F322" s="10"/>
      <c r="G322" s="16" t="s">
        <v>152</v>
      </c>
      <c r="H322" s="29"/>
      <c r="I322" s="7"/>
      <c r="J322" s="7"/>
      <c r="K322" s="7"/>
      <c r="L322" s="7"/>
      <c r="M322" s="9"/>
      <c r="N322" s="24" t="str">
        <f t="shared" si="71"/>
        <v/>
      </c>
      <c r="O322" s="24" t="str">
        <f t="shared" si="72"/>
        <v/>
      </c>
      <c r="P322" s="24" t="str">
        <f t="shared" si="66"/>
        <v/>
      </c>
      <c r="Q322" s="24"/>
      <c r="R322" s="27"/>
      <c r="S322" s="6"/>
    </row>
    <row r="323" spans="1:19" x14ac:dyDescent="0.25">
      <c r="A323" s="12" t="s">
        <v>143</v>
      </c>
      <c r="B323" s="13" t="s">
        <v>102</v>
      </c>
      <c r="C323" s="14"/>
      <c r="D323" s="10"/>
      <c r="E323" s="10"/>
      <c r="F323" s="10"/>
      <c r="G323" s="16" t="s">
        <v>152</v>
      </c>
      <c r="H323" s="29"/>
      <c r="I323" s="7"/>
      <c r="J323" s="7"/>
      <c r="K323" s="7"/>
      <c r="L323" s="7"/>
      <c r="M323" s="9"/>
      <c r="N323" s="24" t="str">
        <f t="shared" si="71"/>
        <v/>
      </c>
      <c r="O323" s="24" t="str">
        <f t="shared" si="72"/>
        <v/>
      </c>
      <c r="P323" s="24" t="str">
        <f t="shared" si="66"/>
        <v/>
      </c>
      <c r="Q323" s="24"/>
      <c r="R323" s="27"/>
      <c r="S323" s="6"/>
    </row>
    <row r="324" spans="1:19" x14ac:dyDescent="0.25">
      <c r="A324" s="12" t="s">
        <v>143</v>
      </c>
      <c r="B324" s="13" t="s">
        <v>103</v>
      </c>
      <c r="C324" s="14"/>
      <c r="D324" s="10"/>
      <c r="E324" s="10"/>
      <c r="F324" s="10"/>
      <c r="G324" s="16" t="s">
        <v>152</v>
      </c>
      <c r="H324" s="29"/>
      <c r="I324" s="7"/>
      <c r="J324" s="7"/>
      <c r="K324" s="7"/>
      <c r="L324" s="7"/>
      <c r="M324" s="9"/>
      <c r="N324" s="24" t="str">
        <f t="shared" si="45"/>
        <v/>
      </c>
      <c r="O324" s="24" t="str">
        <f t="shared" si="46"/>
        <v/>
      </c>
      <c r="P324" s="24" t="str">
        <f t="shared" si="66"/>
        <v/>
      </c>
      <c r="Q324" s="24"/>
      <c r="R324" s="27"/>
      <c r="S324" s="6"/>
    </row>
    <row r="325" spans="1:19" x14ac:dyDescent="0.25">
      <c r="A325" s="12" t="s">
        <v>143</v>
      </c>
      <c r="B325" s="13" t="s">
        <v>104</v>
      </c>
      <c r="C325" s="14"/>
      <c r="D325" s="10"/>
      <c r="E325" s="10"/>
      <c r="F325" s="10"/>
      <c r="G325" s="16" t="s">
        <v>152</v>
      </c>
      <c r="H325" s="29"/>
      <c r="I325" s="7"/>
      <c r="J325" s="7"/>
      <c r="K325" s="7"/>
      <c r="L325" s="7"/>
      <c r="M325" s="9"/>
      <c r="N325" s="24" t="str">
        <f t="shared" ref="N325:N337" si="73">IF(AND(D325&lt;&gt;"",H325&lt;&gt;0),H325-I325+J325,"")</f>
        <v/>
      </c>
      <c r="O325" s="24" t="str">
        <f t="shared" ref="O325:O337" si="74">IF(AND(E325&lt;&gt;"",K325&lt;&gt;0),K325-L325+M325,"")</f>
        <v/>
      </c>
      <c r="P325" s="24" t="str">
        <f t="shared" ref="P325:P337" si="75">IF(AND(F325&lt;&gt;"",K325&lt;&gt;0),K325-L325+M325,"")</f>
        <v/>
      </c>
      <c r="Q325" s="24"/>
      <c r="R325" s="27"/>
      <c r="S325" s="6"/>
    </row>
    <row r="326" spans="1:19" x14ac:dyDescent="0.25">
      <c r="A326" s="12" t="s">
        <v>143</v>
      </c>
      <c r="B326" s="13" t="s">
        <v>105</v>
      </c>
      <c r="C326" s="14"/>
      <c r="D326" s="10"/>
      <c r="E326" s="10"/>
      <c r="F326" s="10"/>
      <c r="G326" s="16" t="s">
        <v>152</v>
      </c>
      <c r="H326" s="29"/>
      <c r="I326" s="7"/>
      <c r="J326" s="7"/>
      <c r="K326" s="7"/>
      <c r="L326" s="7"/>
      <c r="M326" s="9"/>
      <c r="N326" s="24" t="str">
        <f t="shared" si="73"/>
        <v/>
      </c>
      <c r="O326" s="24" t="str">
        <f t="shared" si="74"/>
        <v/>
      </c>
      <c r="P326" s="24" t="str">
        <f t="shared" si="75"/>
        <v/>
      </c>
      <c r="Q326" s="24"/>
      <c r="R326" s="27"/>
      <c r="S326" s="6"/>
    </row>
    <row r="327" spans="1:19" x14ac:dyDescent="0.25">
      <c r="A327" s="12"/>
      <c r="B327" s="13"/>
      <c r="C327" s="14"/>
      <c r="D327" s="10"/>
      <c r="E327" s="10"/>
      <c r="F327" s="10"/>
      <c r="G327" s="16"/>
      <c r="H327" s="29"/>
      <c r="I327" s="7"/>
      <c r="J327" s="7"/>
      <c r="K327" s="7"/>
      <c r="L327" s="7"/>
      <c r="M327" s="9"/>
      <c r="N327" s="24" t="str">
        <f t="shared" si="73"/>
        <v/>
      </c>
      <c r="O327" s="24" t="str">
        <f t="shared" si="74"/>
        <v/>
      </c>
      <c r="P327" s="24" t="str">
        <f t="shared" si="75"/>
        <v/>
      </c>
      <c r="Q327" s="24"/>
      <c r="R327" s="27"/>
      <c r="S327" s="6"/>
    </row>
    <row r="328" spans="1:19" x14ac:dyDescent="0.25">
      <c r="A328" s="31" t="s">
        <v>338</v>
      </c>
      <c r="B328" s="13"/>
      <c r="C328" s="14"/>
      <c r="D328" s="10"/>
      <c r="E328" s="10"/>
      <c r="F328" s="10"/>
      <c r="G328" s="16"/>
      <c r="H328" s="29"/>
      <c r="I328" s="7"/>
      <c r="J328" s="7"/>
      <c r="K328" s="7"/>
      <c r="L328" s="7"/>
      <c r="M328" s="9"/>
      <c r="N328" s="24" t="str">
        <f t="shared" si="73"/>
        <v/>
      </c>
      <c r="O328" s="24" t="str">
        <f t="shared" si="74"/>
        <v/>
      </c>
      <c r="P328" s="24" t="str">
        <f t="shared" si="75"/>
        <v/>
      </c>
      <c r="Q328" s="24"/>
      <c r="R328" s="27"/>
      <c r="S328" s="6"/>
    </row>
    <row r="329" spans="1:19" x14ac:dyDescent="0.25">
      <c r="A329" s="12"/>
      <c r="B329" s="13"/>
      <c r="C329" s="14"/>
      <c r="D329" s="10"/>
      <c r="E329" s="10"/>
      <c r="F329" s="10"/>
      <c r="G329" s="53" t="s">
        <v>340</v>
      </c>
      <c r="H329" s="29"/>
      <c r="I329" s="7"/>
      <c r="J329" s="7"/>
      <c r="K329" s="7"/>
      <c r="L329" s="7"/>
      <c r="M329" s="9"/>
      <c r="N329" s="24" t="str">
        <f t="shared" si="73"/>
        <v/>
      </c>
      <c r="O329" s="24" t="str">
        <f t="shared" si="74"/>
        <v/>
      </c>
      <c r="P329" s="24" t="str">
        <f t="shared" si="75"/>
        <v/>
      </c>
      <c r="Q329" s="24"/>
      <c r="R329" s="27"/>
      <c r="S329" s="6"/>
    </row>
    <row r="330" spans="1:19" x14ac:dyDescent="0.25">
      <c r="A330" s="12" t="s">
        <v>25</v>
      </c>
      <c r="B330" s="13"/>
      <c r="C330" s="14"/>
      <c r="D330" s="10" t="s">
        <v>339</v>
      </c>
      <c r="E330" s="10" t="s">
        <v>395</v>
      </c>
      <c r="F330" s="10"/>
      <c r="G330" s="16" t="s">
        <v>344</v>
      </c>
      <c r="H330" s="29">
        <v>1371.02</v>
      </c>
      <c r="I330" s="7">
        <f>2.04+15.15</f>
        <v>17.190000000000001</v>
      </c>
      <c r="J330" s="7"/>
      <c r="K330" s="7">
        <v>210.95</v>
      </c>
      <c r="L330" s="7"/>
      <c r="M330" s="9">
        <f>5.72+17.02</f>
        <v>22.74</v>
      </c>
      <c r="N330" s="24">
        <f t="shared" si="73"/>
        <v>1353.83</v>
      </c>
      <c r="O330" s="24">
        <f t="shared" si="74"/>
        <v>233.69</v>
      </c>
      <c r="P330" s="24" t="str">
        <f t="shared" si="75"/>
        <v/>
      </c>
      <c r="Q330" s="24"/>
      <c r="R330" s="27" t="s">
        <v>342</v>
      </c>
      <c r="S330" s="6"/>
    </row>
    <row r="331" spans="1:19" x14ac:dyDescent="0.25">
      <c r="A331" s="12" t="s">
        <v>25</v>
      </c>
      <c r="B331" s="13"/>
      <c r="C331" s="14"/>
      <c r="D331" s="10" t="s">
        <v>339</v>
      </c>
      <c r="E331" s="10" t="s">
        <v>395</v>
      </c>
      <c r="F331" s="10"/>
      <c r="G331" s="16" t="s">
        <v>345</v>
      </c>
      <c r="H331" s="29">
        <v>4</v>
      </c>
      <c r="I331" s="7"/>
      <c r="J331" s="7"/>
      <c r="K331" s="7">
        <v>8</v>
      </c>
      <c r="L331" s="7"/>
      <c r="M331" s="9"/>
      <c r="N331" s="24">
        <f t="shared" si="73"/>
        <v>4</v>
      </c>
      <c r="O331" s="24">
        <f t="shared" si="74"/>
        <v>8</v>
      </c>
      <c r="P331" s="24" t="str">
        <f t="shared" si="75"/>
        <v/>
      </c>
      <c r="Q331" s="24"/>
      <c r="R331" s="27" t="s">
        <v>341</v>
      </c>
      <c r="S331" s="6"/>
    </row>
    <row r="332" spans="1:19" x14ac:dyDescent="0.25">
      <c r="A332" s="12" t="s">
        <v>25</v>
      </c>
      <c r="B332" s="13"/>
      <c r="C332" s="14"/>
      <c r="D332" s="10" t="s">
        <v>339</v>
      </c>
      <c r="E332" s="10" t="s">
        <v>395</v>
      </c>
      <c r="F332" s="10"/>
      <c r="G332" s="16" t="s">
        <v>346</v>
      </c>
      <c r="H332" s="29">
        <v>20.32</v>
      </c>
      <c r="I332" s="7"/>
      <c r="J332" s="7"/>
      <c r="K332" s="7">
        <v>19.3</v>
      </c>
      <c r="L332" s="7"/>
      <c r="M332" s="9"/>
      <c r="N332" s="24">
        <f t="shared" si="73"/>
        <v>20.32</v>
      </c>
      <c r="O332" s="24">
        <f t="shared" si="74"/>
        <v>19.3</v>
      </c>
      <c r="P332" s="24" t="str">
        <f t="shared" si="75"/>
        <v/>
      </c>
      <c r="Q332" s="24"/>
      <c r="R332" s="27" t="s">
        <v>341</v>
      </c>
      <c r="S332" s="6"/>
    </row>
    <row r="333" spans="1:19" x14ac:dyDescent="0.25">
      <c r="A333" s="12" t="s">
        <v>27</v>
      </c>
      <c r="B333" s="13"/>
      <c r="C333" s="14"/>
      <c r="D333" s="10" t="s">
        <v>339</v>
      </c>
      <c r="E333" s="10" t="s">
        <v>395</v>
      </c>
      <c r="F333" s="10"/>
      <c r="G333" s="16" t="s">
        <v>347</v>
      </c>
      <c r="H333" s="29">
        <v>291.16000000000003</v>
      </c>
      <c r="I333" s="7"/>
      <c r="J333" s="7"/>
      <c r="K333" s="7">
        <f>10.74+27.57</f>
        <v>38.31</v>
      </c>
      <c r="L333" s="7"/>
      <c r="M333" s="9"/>
      <c r="N333" s="24">
        <f t="shared" si="73"/>
        <v>291.16000000000003</v>
      </c>
      <c r="O333" s="24">
        <f t="shared" si="74"/>
        <v>38.31</v>
      </c>
      <c r="P333" s="24" t="str">
        <f t="shared" si="75"/>
        <v/>
      </c>
      <c r="Q333" s="24"/>
      <c r="R333" s="27" t="s">
        <v>343</v>
      </c>
      <c r="S333" s="6"/>
    </row>
    <row r="334" spans="1:19" x14ac:dyDescent="0.25">
      <c r="A334" s="12" t="s">
        <v>27</v>
      </c>
      <c r="B334" s="13"/>
      <c r="C334" s="14"/>
      <c r="D334" s="10" t="s">
        <v>339</v>
      </c>
      <c r="E334" s="10" t="s">
        <v>395</v>
      </c>
      <c r="F334" s="10"/>
      <c r="G334" s="16" t="s">
        <v>348</v>
      </c>
      <c r="H334" s="29">
        <v>38.450000000000003</v>
      </c>
      <c r="I334" s="7"/>
      <c r="J334" s="7"/>
      <c r="K334" s="7">
        <v>79</v>
      </c>
      <c r="L334" s="7"/>
      <c r="M334" s="9"/>
      <c r="N334" s="24">
        <f t="shared" si="73"/>
        <v>38.450000000000003</v>
      </c>
      <c r="O334" s="24">
        <f t="shared" si="74"/>
        <v>79</v>
      </c>
      <c r="P334" s="24" t="str">
        <f t="shared" si="75"/>
        <v/>
      </c>
      <c r="Q334" s="24"/>
      <c r="R334" s="27" t="s">
        <v>343</v>
      </c>
      <c r="S334" s="6"/>
    </row>
    <row r="335" spans="1:19" x14ac:dyDescent="0.25">
      <c r="A335" s="12" t="s">
        <v>27</v>
      </c>
      <c r="B335" s="13"/>
      <c r="C335" s="14"/>
      <c r="D335" s="10" t="s">
        <v>339</v>
      </c>
      <c r="E335" s="10" t="s">
        <v>395</v>
      </c>
      <c r="F335" s="10"/>
      <c r="G335" s="16" t="s">
        <v>351</v>
      </c>
      <c r="H335" s="29">
        <v>494.4</v>
      </c>
      <c r="I335" s="7"/>
      <c r="J335" s="7"/>
      <c r="K335" s="7">
        <v>110.22</v>
      </c>
      <c r="L335" s="7">
        <f>16.59+0.59+6.04+11.05</f>
        <v>34.269999999999996</v>
      </c>
      <c r="M335" s="9"/>
      <c r="N335" s="24">
        <f t="shared" si="73"/>
        <v>494.4</v>
      </c>
      <c r="O335" s="24">
        <f t="shared" si="74"/>
        <v>75.95</v>
      </c>
      <c r="P335" s="24" t="str">
        <f t="shared" si="75"/>
        <v/>
      </c>
      <c r="Q335" s="24"/>
      <c r="R335" s="27" t="s">
        <v>349</v>
      </c>
      <c r="S335" s="6"/>
    </row>
    <row r="336" spans="1:19" x14ac:dyDescent="0.25">
      <c r="A336" s="12" t="s">
        <v>27</v>
      </c>
      <c r="B336" s="13"/>
      <c r="C336" s="14"/>
      <c r="D336" s="10" t="s">
        <v>339</v>
      </c>
      <c r="E336" s="10" t="s">
        <v>395</v>
      </c>
      <c r="F336" s="10"/>
      <c r="G336" s="16" t="s">
        <v>348</v>
      </c>
      <c r="H336" s="29">
        <v>66</v>
      </c>
      <c r="I336" s="7"/>
      <c r="J336" s="7"/>
      <c r="K336" s="7">
        <v>133.99</v>
      </c>
      <c r="L336" s="7"/>
      <c r="M336" s="9"/>
      <c r="N336" s="24">
        <f t="shared" si="73"/>
        <v>66</v>
      </c>
      <c r="O336" s="24">
        <f t="shared" si="74"/>
        <v>133.99</v>
      </c>
      <c r="P336" s="24" t="str">
        <f t="shared" si="75"/>
        <v/>
      </c>
      <c r="Q336" s="24"/>
      <c r="R336" s="27" t="s">
        <v>349</v>
      </c>
      <c r="S336" s="6"/>
    </row>
    <row r="337" spans="1:19" x14ac:dyDescent="0.25">
      <c r="A337" s="12"/>
      <c r="B337" s="13"/>
      <c r="C337" s="14"/>
      <c r="D337" s="10"/>
      <c r="E337" s="10"/>
      <c r="F337" s="10"/>
      <c r="G337" s="16" t="s">
        <v>357</v>
      </c>
      <c r="H337" s="29"/>
      <c r="I337" s="7"/>
      <c r="J337" s="7"/>
      <c r="K337" s="7"/>
      <c r="L337" s="7"/>
      <c r="M337" s="9"/>
      <c r="N337" s="24" t="str">
        <f t="shared" si="73"/>
        <v/>
      </c>
      <c r="O337" s="24" t="str">
        <f t="shared" si="74"/>
        <v/>
      </c>
      <c r="P337" s="24" t="str">
        <f t="shared" si="75"/>
        <v/>
      </c>
      <c r="Q337" s="24"/>
      <c r="R337" s="27"/>
      <c r="S337" s="6"/>
    </row>
    <row r="338" spans="1:19" x14ac:dyDescent="0.25">
      <c r="A338" s="12" t="s">
        <v>25</v>
      </c>
      <c r="B338" s="13"/>
      <c r="C338" s="14"/>
      <c r="D338" s="10" t="s">
        <v>353</v>
      </c>
      <c r="E338" s="10"/>
      <c r="F338" s="10"/>
      <c r="G338" s="16" t="s">
        <v>358</v>
      </c>
      <c r="H338" s="29">
        <v>240.68</v>
      </c>
      <c r="I338" s="7"/>
      <c r="J338" s="7"/>
      <c r="K338" s="7"/>
      <c r="L338" s="7"/>
      <c r="M338" s="9"/>
      <c r="N338" s="24">
        <f t="shared" ref="N338:N342" si="76">IF(AND(D338&lt;&gt;"",H338&lt;&gt;0),H338-I338+J338,"")</f>
        <v>240.68</v>
      </c>
      <c r="O338" s="24" t="str">
        <f t="shared" ref="O338:O342" si="77">IF(AND(E338&lt;&gt;"",K338&lt;&gt;0),K338-L338+M338,"")</f>
        <v/>
      </c>
      <c r="P338" s="24" t="str">
        <f t="shared" ref="P338:P342" si="78">IF(AND(F338&lt;&gt;"",K338&lt;&gt;0),K338-L338+M338,"")</f>
        <v/>
      </c>
      <c r="Q338" s="24"/>
      <c r="R338" s="27" t="s">
        <v>350</v>
      </c>
      <c r="S338" s="6"/>
    </row>
    <row r="339" spans="1:19" x14ac:dyDescent="0.25">
      <c r="A339" s="12" t="s">
        <v>27</v>
      </c>
      <c r="B339" s="13"/>
      <c r="C339" s="14"/>
      <c r="D339" s="10" t="s">
        <v>353</v>
      </c>
      <c r="E339" s="10"/>
      <c r="F339" s="10"/>
      <c r="G339" s="16" t="s">
        <v>347</v>
      </c>
      <c r="H339" s="29">
        <v>291.16000000000003</v>
      </c>
      <c r="I339" s="7"/>
      <c r="J339" s="7"/>
      <c r="K339" s="7"/>
      <c r="L339" s="7"/>
      <c r="M339" s="9"/>
      <c r="N339" s="24">
        <f t="shared" si="76"/>
        <v>291.16000000000003</v>
      </c>
      <c r="O339" s="24" t="str">
        <f t="shared" si="77"/>
        <v/>
      </c>
      <c r="P339" s="24" t="str">
        <f t="shared" si="78"/>
        <v/>
      </c>
      <c r="Q339" s="24"/>
      <c r="R339" s="27" t="s">
        <v>343</v>
      </c>
      <c r="S339" s="6"/>
    </row>
    <row r="340" spans="1:19" x14ac:dyDescent="0.25">
      <c r="A340" s="12" t="s">
        <v>27</v>
      </c>
      <c r="B340" s="13"/>
      <c r="C340" s="14"/>
      <c r="D340" s="10" t="s">
        <v>353</v>
      </c>
      <c r="E340" s="10"/>
      <c r="F340" s="10"/>
      <c r="G340" s="16" t="s">
        <v>359</v>
      </c>
      <c r="H340" s="29">
        <v>447.97</v>
      </c>
      <c r="I340" s="7"/>
      <c r="J340" s="7"/>
      <c r="K340" s="7"/>
      <c r="L340" s="7"/>
      <c r="M340" s="9"/>
      <c r="N340" s="24">
        <f t="shared" si="76"/>
        <v>447.97</v>
      </c>
      <c r="O340" s="24" t="str">
        <f t="shared" si="77"/>
        <v/>
      </c>
      <c r="P340" s="24" t="str">
        <f t="shared" si="78"/>
        <v/>
      </c>
      <c r="Q340" s="24"/>
      <c r="R340" s="27" t="s">
        <v>360</v>
      </c>
      <c r="S340" s="6"/>
    </row>
    <row r="341" spans="1:19" x14ac:dyDescent="0.25">
      <c r="A341" s="12"/>
      <c r="B341" s="13"/>
      <c r="C341" s="14"/>
      <c r="D341" s="10"/>
      <c r="E341" s="10"/>
      <c r="F341" s="10"/>
      <c r="G341" s="53" t="s">
        <v>362</v>
      </c>
      <c r="H341" s="29"/>
      <c r="I341" s="7"/>
      <c r="J341" s="7"/>
      <c r="K341" s="7"/>
      <c r="L341" s="7"/>
      <c r="M341" s="9"/>
      <c r="N341" s="24" t="str">
        <f t="shared" si="76"/>
        <v/>
      </c>
      <c r="O341" s="24" t="str">
        <f t="shared" si="77"/>
        <v/>
      </c>
      <c r="P341" s="24" t="str">
        <f t="shared" si="78"/>
        <v/>
      </c>
      <c r="Q341" s="24"/>
      <c r="R341" s="27"/>
      <c r="S341" s="6"/>
    </row>
    <row r="342" spans="1:19" x14ac:dyDescent="0.25">
      <c r="A342" s="12" t="s">
        <v>25</v>
      </c>
      <c r="B342" s="13"/>
      <c r="C342" s="14"/>
      <c r="D342" s="10"/>
      <c r="E342" s="10" t="s">
        <v>356</v>
      </c>
      <c r="F342" s="10"/>
      <c r="G342" s="16" t="s">
        <v>370</v>
      </c>
      <c r="H342" s="29"/>
      <c r="I342" s="7"/>
      <c r="J342" s="7"/>
      <c r="K342" s="7">
        <f>20.01+0.8</f>
        <v>20.810000000000002</v>
      </c>
      <c r="L342" s="7"/>
      <c r="M342" s="9"/>
      <c r="N342" s="24" t="str">
        <f t="shared" si="76"/>
        <v/>
      </c>
      <c r="O342" s="24">
        <f t="shared" si="77"/>
        <v>20.810000000000002</v>
      </c>
      <c r="P342" s="24" t="str">
        <f t="shared" si="78"/>
        <v/>
      </c>
      <c r="Q342" s="24"/>
      <c r="R342" s="27" t="s">
        <v>363</v>
      </c>
      <c r="S342" s="6"/>
    </row>
    <row r="343" spans="1:19" x14ac:dyDescent="0.25">
      <c r="A343" s="12" t="s">
        <v>25</v>
      </c>
      <c r="B343" s="13"/>
      <c r="C343" s="14"/>
      <c r="D343" s="10"/>
      <c r="E343" s="10" t="s">
        <v>369</v>
      </c>
      <c r="F343" s="10"/>
      <c r="G343" s="16" t="s">
        <v>373</v>
      </c>
      <c r="H343" s="29"/>
      <c r="I343" s="7"/>
      <c r="J343" s="7"/>
      <c r="K343" s="7">
        <f>(2.8+12.4*2+0.9+2.7*3)+(6.63*5)</f>
        <v>69.75</v>
      </c>
      <c r="L343" s="7"/>
      <c r="M343" s="9"/>
      <c r="N343" s="24" t="str">
        <f t="shared" ref="N343" si="79">IF(AND(D343&lt;&gt;"",H343&lt;&gt;0),H343-I343+J343,"")</f>
        <v/>
      </c>
      <c r="O343" s="24">
        <f t="shared" ref="O343" si="80">IF(AND(E343&lt;&gt;"",K343&lt;&gt;0),K343-L343+M343,"")</f>
        <v>69.75</v>
      </c>
      <c r="P343" s="24" t="str">
        <f t="shared" ref="P343" si="81">IF(AND(F343&lt;&gt;"",K343&lt;&gt;0),K343-L343+M343,"")</f>
        <v/>
      </c>
      <c r="Q343" s="24"/>
      <c r="R343" s="27" t="s">
        <v>363</v>
      </c>
      <c r="S343" s="6"/>
    </row>
    <row r="344" spans="1:19" x14ac:dyDescent="0.25">
      <c r="A344" s="12" t="s">
        <v>27</v>
      </c>
      <c r="B344" s="13"/>
      <c r="C344" s="14"/>
      <c r="D344" s="10"/>
      <c r="E344" s="10" t="s">
        <v>356</v>
      </c>
      <c r="F344" s="10"/>
      <c r="G344" s="16" t="s">
        <v>371</v>
      </c>
      <c r="H344" s="29"/>
      <c r="I344" s="7"/>
      <c r="J344" s="7"/>
      <c r="K344" s="7">
        <f>7.4*2+6.26+1</f>
        <v>22.060000000000002</v>
      </c>
      <c r="L344" s="7"/>
      <c r="M344" s="9"/>
      <c r="N344" s="24" t="str">
        <f t="shared" ref="N344" si="82">IF(AND(D344&lt;&gt;"",H344&lt;&gt;0),H344-I344+J344,"")</f>
        <v/>
      </c>
      <c r="O344" s="24">
        <f t="shared" ref="O344" si="83">IF(AND(E344&lt;&gt;"",K344&lt;&gt;0),K344-L344+M344,"")</f>
        <v>22.060000000000002</v>
      </c>
      <c r="P344" s="24" t="str">
        <f t="shared" ref="P344" si="84">IF(AND(F344&lt;&gt;"",K344&lt;&gt;0),K344-L344+M344,"")</f>
        <v/>
      </c>
      <c r="Q344" s="24"/>
      <c r="R344" s="27" t="s">
        <v>364</v>
      </c>
      <c r="S344" s="6"/>
    </row>
    <row r="345" spans="1:19" x14ac:dyDescent="0.25">
      <c r="A345" s="12" t="s">
        <v>27</v>
      </c>
      <c r="B345" s="13"/>
      <c r="C345" s="14"/>
      <c r="D345" s="10"/>
      <c r="E345" s="10" t="s">
        <v>369</v>
      </c>
      <c r="F345" s="10"/>
      <c r="G345" s="16" t="s">
        <v>374</v>
      </c>
      <c r="H345" s="29"/>
      <c r="I345" s="7"/>
      <c r="J345" s="7"/>
      <c r="K345" s="7">
        <f>(25.22*2+2.8*2)+(4.09*2+6.26+8.53*2)</f>
        <v>87.539999999999992</v>
      </c>
      <c r="L345" s="7"/>
      <c r="M345" s="9"/>
      <c r="N345" s="24" t="str">
        <f t="shared" ref="N345" si="85">IF(AND(D345&lt;&gt;"",H345&lt;&gt;0),H345-I345+J345,"")</f>
        <v/>
      </c>
      <c r="O345" s="24">
        <f t="shared" ref="O345" si="86">IF(AND(E345&lt;&gt;"",K345&lt;&gt;0),K345-L345+M345,"")</f>
        <v>87.539999999999992</v>
      </c>
      <c r="P345" s="24" t="str">
        <f t="shared" ref="P345" si="87">IF(AND(F345&lt;&gt;"",K345&lt;&gt;0),K345-L345+M345,"")</f>
        <v/>
      </c>
      <c r="Q345" s="24"/>
      <c r="R345" s="27" t="s">
        <v>364</v>
      </c>
      <c r="S345" s="6"/>
    </row>
    <row r="346" spans="1:19" x14ac:dyDescent="0.25">
      <c r="A346" s="12" t="s">
        <v>27</v>
      </c>
      <c r="B346" s="13"/>
      <c r="C346" s="14"/>
      <c r="D346" s="10"/>
      <c r="E346" s="10" t="s">
        <v>356</v>
      </c>
      <c r="F346" s="10"/>
      <c r="G346" s="16" t="s">
        <v>372</v>
      </c>
      <c r="H346" s="29"/>
      <c r="I346" s="7"/>
      <c r="J346" s="7"/>
      <c r="K346" s="7">
        <f>30.9+7.2+2+1</f>
        <v>41.1</v>
      </c>
      <c r="L346" s="7"/>
      <c r="M346" s="9"/>
      <c r="N346" s="24" t="str">
        <f t="shared" ref="N346" si="88">IF(AND(D346&lt;&gt;"",H346&lt;&gt;0),H346-I346+J346,"")</f>
        <v/>
      </c>
      <c r="O346" s="24">
        <f t="shared" ref="O346" si="89">IF(AND(E346&lt;&gt;"",K346&lt;&gt;0),K346-L346+M346,"")</f>
        <v>41.1</v>
      </c>
      <c r="P346" s="24" t="str">
        <f t="shared" ref="P346" si="90">IF(AND(F346&lt;&gt;"",K346&lt;&gt;0),K346-L346+M346,"")</f>
        <v/>
      </c>
      <c r="Q346" s="24"/>
      <c r="R346" s="27" t="s">
        <v>365</v>
      </c>
      <c r="S346" s="6"/>
    </row>
    <row r="347" spans="1:19" x14ac:dyDescent="0.25">
      <c r="A347" s="12" t="s">
        <v>27</v>
      </c>
      <c r="B347" s="13"/>
      <c r="C347" s="14"/>
      <c r="D347" s="10"/>
      <c r="E347" s="10" t="s">
        <v>369</v>
      </c>
      <c r="F347" s="10"/>
      <c r="G347" s="16" t="s">
        <v>375</v>
      </c>
      <c r="H347" s="29"/>
      <c r="I347" s="7"/>
      <c r="J347" s="7"/>
      <c r="K347" s="7">
        <f>(4.53+4.28*3)+(3.68+8.84+2.93+5.74)+(36.49+15.7*2+16.9*2)+(7.2*2)</f>
        <v>154.65</v>
      </c>
      <c r="L347" s="7"/>
      <c r="M347" s="9"/>
      <c r="N347" s="24" t="str">
        <f t="shared" ref="N347" si="91">IF(AND(D347&lt;&gt;"",H347&lt;&gt;0),H347-I347+J347,"")</f>
        <v/>
      </c>
      <c r="O347" s="24">
        <f t="shared" ref="O347" si="92">IF(AND(E347&lt;&gt;"",K347&lt;&gt;0),K347-L347+M347,"")</f>
        <v>154.65</v>
      </c>
      <c r="P347" s="24" t="str">
        <f t="shared" ref="P347" si="93">IF(AND(F347&lt;&gt;"",K347&lt;&gt;0),K347-L347+M347,"")</f>
        <v/>
      </c>
      <c r="Q347" s="24"/>
      <c r="R347" s="27" t="s">
        <v>365</v>
      </c>
      <c r="S347" s="6"/>
    </row>
    <row r="348" spans="1:19" x14ac:dyDescent="0.25">
      <c r="A348" s="12"/>
      <c r="B348" s="13"/>
      <c r="C348" s="14"/>
      <c r="D348" s="10"/>
      <c r="E348" s="10"/>
      <c r="F348" s="10"/>
      <c r="G348" s="53" t="s">
        <v>377</v>
      </c>
      <c r="H348" s="29"/>
      <c r="I348" s="7"/>
      <c r="J348" s="7"/>
      <c r="K348" s="7"/>
      <c r="L348" s="7"/>
      <c r="M348" s="9"/>
      <c r="N348" s="24" t="str">
        <f t="shared" ref="N348:N356" si="94">IF(AND(D348&lt;&gt;"",H348&lt;&gt;0),H348-I348+J348,"")</f>
        <v/>
      </c>
      <c r="O348" s="24" t="str">
        <f t="shared" ref="O348:O356" si="95">IF(AND(E348&lt;&gt;"",K348&lt;&gt;0),K348-L348+M348,"")</f>
        <v/>
      </c>
      <c r="P348" s="24" t="str">
        <f t="shared" ref="P348:P356" si="96">IF(AND(F348&lt;&gt;"",K348&lt;&gt;0),K348-L348+M348,"")</f>
        <v/>
      </c>
      <c r="Q348" s="24"/>
      <c r="R348" s="27"/>
      <c r="S348" s="6"/>
    </row>
    <row r="349" spans="1:19" x14ac:dyDescent="0.25">
      <c r="A349" s="12"/>
      <c r="B349" s="13"/>
      <c r="C349" s="14"/>
      <c r="D349" s="10"/>
      <c r="E349" s="10" t="s">
        <v>376</v>
      </c>
      <c r="F349" s="10"/>
      <c r="G349" s="16" t="s">
        <v>378</v>
      </c>
      <c r="H349" s="29"/>
      <c r="I349" s="7"/>
      <c r="J349" s="7"/>
      <c r="K349" s="7">
        <f>13.66+41.3+14.535</f>
        <v>69.49499999999999</v>
      </c>
      <c r="L349" s="7"/>
      <c r="M349" s="9"/>
      <c r="N349" s="24" t="str">
        <f t="shared" si="94"/>
        <v/>
      </c>
      <c r="O349" s="24">
        <f t="shared" si="95"/>
        <v>69.49499999999999</v>
      </c>
      <c r="P349" s="24" t="str">
        <f t="shared" si="96"/>
        <v/>
      </c>
      <c r="Q349" s="24"/>
      <c r="R349" s="27"/>
      <c r="S349" s="6"/>
    </row>
    <row r="350" spans="1:19" x14ac:dyDescent="0.25">
      <c r="A350" s="12"/>
      <c r="B350" s="13"/>
      <c r="C350" s="14"/>
      <c r="D350" s="10"/>
      <c r="E350" s="10" t="s">
        <v>376</v>
      </c>
      <c r="F350" s="10"/>
      <c r="G350" s="16" t="s">
        <v>379</v>
      </c>
      <c r="H350" s="29"/>
      <c r="I350" s="7"/>
      <c r="J350" s="7"/>
      <c r="K350" s="7">
        <f>10.05+29.575</f>
        <v>39.625</v>
      </c>
      <c r="L350" s="7"/>
      <c r="M350" s="9"/>
      <c r="N350" s="24" t="str">
        <f t="shared" si="94"/>
        <v/>
      </c>
      <c r="O350" s="24">
        <f t="shared" si="95"/>
        <v>39.625</v>
      </c>
      <c r="P350" s="24" t="str">
        <f t="shared" si="96"/>
        <v/>
      </c>
      <c r="Q350" s="24"/>
      <c r="R350" s="27"/>
      <c r="S350" s="6"/>
    </row>
    <row r="351" spans="1:19" x14ac:dyDescent="0.25">
      <c r="A351" s="12"/>
      <c r="B351" s="13"/>
      <c r="C351" s="14"/>
      <c r="D351" s="10"/>
      <c r="E351" s="10" t="s">
        <v>376</v>
      </c>
      <c r="F351" s="10"/>
      <c r="G351" s="16" t="s">
        <v>380</v>
      </c>
      <c r="H351" s="29"/>
      <c r="I351" s="7"/>
      <c r="J351" s="7"/>
      <c r="K351" s="7">
        <v>17.5</v>
      </c>
      <c r="L351" s="7"/>
      <c r="M351" s="9"/>
      <c r="N351" s="24" t="str">
        <f t="shared" si="94"/>
        <v/>
      </c>
      <c r="O351" s="24">
        <f t="shared" si="95"/>
        <v>17.5</v>
      </c>
      <c r="P351" s="24" t="str">
        <f t="shared" si="96"/>
        <v/>
      </c>
      <c r="Q351" s="24"/>
      <c r="R351" s="27"/>
      <c r="S351" s="6"/>
    </row>
    <row r="352" spans="1:19" x14ac:dyDescent="0.25">
      <c r="A352" s="12"/>
      <c r="B352" s="13"/>
      <c r="C352" s="14"/>
      <c r="D352" s="10"/>
      <c r="E352" s="10" t="s">
        <v>376</v>
      </c>
      <c r="F352" s="10"/>
      <c r="G352" s="16" t="s">
        <v>381</v>
      </c>
      <c r="H352" s="29"/>
      <c r="I352" s="7"/>
      <c r="J352" s="7"/>
      <c r="K352" s="7">
        <f>46.5+6.15+14.5</f>
        <v>67.150000000000006</v>
      </c>
      <c r="L352" s="7"/>
      <c r="M352" s="9"/>
      <c r="N352" s="24" t="str">
        <f t="shared" ref="N352:N354" si="97">IF(AND(D352&lt;&gt;"",H352&lt;&gt;0),H352-I352+J352,"")</f>
        <v/>
      </c>
      <c r="O352" s="24">
        <f t="shared" ref="O352:O354" si="98">IF(AND(E352&lt;&gt;"",K352&lt;&gt;0),K352-L352+M352,"")</f>
        <v>67.150000000000006</v>
      </c>
      <c r="P352" s="24" t="str">
        <f t="shared" ref="P352:P354" si="99">IF(AND(F352&lt;&gt;"",K352&lt;&gt;0),K352-L352+M352,"")</f>
        <v/>
      </c>
      <c r="Q352" s="24"/>
      <c r="R352" s="27"/>
      <c r="S352" s="6"/>
    </row>
    <row r="353" spans="1:19" x14ac:dyDescent="0.25">
      <c r="A353" s="12"/>
      <c r="B353" s="13"/>
      <c r="C353" s="14"/>
      <c r="D353" s="10"/>
      <c r="E353" s="10" t="s">
        <v>376</v>
      </c>
      <c r="F353" s="10"/>
      <c r="G353" s="16" t="s">
        <v>382</v>
      </c>
      <c r="H353" s="29"/>
      <c r="I353" s="7"/>
      <c r="J353" s="7"/>
      <c r="K353" s="7">
        <v>29.97</v>
      </c>
      <c r="L353" s="7"/>
      <c r="M353" s="9"/>
      <c r="N353" s="24" t="str">
        <f t="shared" si="97"/>
        <v/>
      </c>
      <c r="O353" s="24">
        <f t="shared" si="98"/>
        <v>29.97</v>
      </c>
      <c r="P353" s="24" t="str">
        <f t="shared" si="99"/>
        <v/>
      </c>
      <c r="Q353" s="24"/>
      <c r="R353" s="27"/>
      <c r="S353" s="6"/>
    </row>
    <row r="354" spans="1:19" x14ac:dyDescent="0.25">
      <c r="A354" s="12"/>
      <c r="B354" s="13"/>
      <c r="C354" s="14"/>
      <c r="D354" s="10"/>
      <c r="E354" s="10" t="s">
        <v>376</v>
      </c>
      <c r="F354" s="10"/>
      <c r="G354" s="16" t="s">
        <v>383</v>
      </c>
      <c r="H354" s="29"/>
      <c r="I354" s="7"/>
      <c r="J354" s="7"/>
      <c r="K354" s="7">
        <f>10.65+30.85+20.15+27.4</f>
        <v>89.05</v>
      </c>
      <c r="L354" s="7"/>
      <c r="M354" s="9"/>
      <c r="N354" s="24" t="str">
        <f t="shared" si="97"/>
        <v/>
      </c>
      <c r="O354" s="24">
        <f t="shared" si="98"/>
        <v>89.05</v>
      </c>
      <c r="P354" s="24" t="str">
        <f t="shared" si="99"/>
        <v/>
      </c>
      <c r="Q354" s="24"/>
      <c r="R354" s="27"/>
      <c r="S354" s="6"/>
    </row>
    <row r="355" spans="1:19" x14ac:dyDescent="0.25">
      <c r="A355" s="12"/>
      <c r="B355" s="13"/>
      <c r="C355" s="14"/>
      <c r="D355" s="10"/>
      <c r="E355" s="10"/>
      <c r="F355" s="10"/>
      <c r="G355" s="16"/>
      <c r="H355" s="29"/>
      <c r="I355" s="7"/>
      <c r="J355" s="7"/>
      <c r="K355" s="7"/>
      <c r="L355" s="7"/>
      <c r="M355" s="9"/>
      <c r="N355" s="24" t="str">
        <f t="shared" si="94"/>
        <v/>
      </c>
      <c r="O355" s="24" t="str">
        <f t="shared" si="95"/>
        <v/>
      </c>
      <c r="P355" s="24" t="str">
        <f t="shared" si="96"/>
        <v/>
      </c>
      <c r="Q355" s="24"/>
      <c r="R355" s="27"/>
      <c r="S355" s="6"/>
    </row>
    <row r="356" spans="1:19" x14ac:dyDescent="0.25">
      <c r="A356" s="12"/>
      <c r="B356" s="13"/>
      <c r="C356" s="14"/>
      <c r="D356" s="10"/>
      <c r="E356" s="10"/>
      <c r="F356" s="10"/>
      <c r="G356" s="16"/>
      <c r="H356" s="29"/>
      <c r="I356" s="7"/>
      <c r="J356" s="7"/>
      <c r="K356" s="7"/>
      <c r="L356" s="7"/>
      <c r="M356" s="9"/>
      <c r="N356" s="24" t="str">
        <f t="shared" si="94"/>
        <v/>
      </c>
      <c r="O356" s="24" t="str">
        <f t="shared" si="95"/>
        <v/>
      </c>
      <c r="P356" s="24" t="str">
        <f t="shared" si="96"/>
        <v/>
      </c>
      <c r="Q356" s="24"/>
      <c r="R356" s="27"/>
      <c r="S356" s="6"/>
    </row>
    <row r="357" spans="1:19" x14ac:dyDescent="0.25">
      <c r="A357" s="17"/>
      <c r="B357" s="18"/>
      <c r="C357" s="19"/>
      <c r="D357" s="3"/>
      <c r="E357" s="3"/>
      <c r="F357" s="3"/>
      <c r="G357" s="4" t="s">
        <v>4</v>
      </c>
      <c r="H357" s="35">
        <f>SUBTOTAL(9,H19:H356)</f>
        <v>7889.3991000000042</v>
      </c>
      <c r="I357" s="35"/>
      <c r="J357" s="35"/>
      <c r="K357" s="36"/>
      <c r="L357" s="36"/>
      <c r="M357" s="36"/>
      <c r="N357" s="35">
        <f>SUBTOTAL(9,N8:N356)</f>
        <v>8103.796500000004</v>
      </c>
      <c r="O357" s="35">
        <f>SUBTOTAL(9,O8:O356)</f>
        <v>4055.8679999999968</v>
      </c>
      <c r="P357" s="35">
        <f>SUBTOTAL(9,P8:P356)</f>
        <v>978.0899999999981</v>
      </c>
      <c r="Q357" s="35">
        <f>SUBTOTAL(9,Q8:Q356)</f>
        <v>0</v>
      </c>
      <c r="R357" s="5"/>
      <c r="S357" s="5">
        <f>SUBTOTAL(9,S12:S356)</f>
        <v>0</v>
      </c>
    </row>
    <row r="359" spans="1:19" x14ac:dyDescent="0.25">
      <c r="P359" t="s">
        <v>260</v>
      </c>
    </row>
    <row r="360" spans="1:19" x14ac:dyDescent="0.25">
      <c r="N360" t="s">
        <v>17</v>
      </c>
      <c r="O360" t="s">
        <v>2</v>
      </c>
      <c r="P360" t="s">
        <v>2</v>
      </c>
    </row>
  </sheetData>
  <autoFilter ref="A2:S356" xr:uid="{A6C30564-A8C4-49C8-A4ED-AB8B78A9E90F}"/>
  <mergeCells count="25">
    <mergeCell ref="A3:G3"/>
    <mergeCell ref="K3:M3"/>
    <mergeCell ref="N3:Q3"/>
    <mergeCell ref="G4:G7"/>
    <mergeCell ref="L4:L6"/>
    <mergeCell ref="A4:C4"/>
    <mergeCell ref="A5:A7"/>
    <mergeCell ref="B5:B7"/>
    <mergeCell ref="C5:C7"/>
    <mergeCell ref="K4:K6"/>
    <mergeCell ref="D5:D7"/>
    <mergeCell ref="E5:E7"/>
    <mergeCell ref="D4:F4"/>
    <mergeCell ref="F5:F7"/>
    <mergeCell ref="R3:R6"/>
    <mergeCell ref="H4:H6"/>
    <mergeCell ref="I4:I6"/>
    <mergeCell ref="J4:J6"/>
    <mergeCell ref="N4:N6"/>
    <mergeCell ref="O4:O6"/>
    <mergeCell ref="H3:J3"/>
    <mergeCell ref="P4:Q4"/>
    <mergeCell ref="P5:P6"/>
    <mergeCell ref="Q5:Q6"/>
    <mergeCell ref="M4:M6"/>
  </mergeCells>
  <phoneticPr fontId="9" type="noConversion"/>
  <conditionalFormatting sqref="D177:D193 D67:D78 D83:D84 D86:D100 D102:D121 D123:D146 D149:D165 D197:D200 D205:D216 D218:D223 D225:D242 D263:D267 D269:D312 D9:D29 D315:D337 D341:D342 D356 D347:E351 D355:E355">
    <cfRule type="containsText" dxfId="608" priority="669" operator="containsText" text="pk04">
      <formula>NOT(ISERROR(SEARCH("pk04",D9)))</formula>
    </cfRule>
    <cfRule type="cellIs" dxfId="607" priority="670" operator="equal">
      <formula>"pk03"</formula>
    </cfRule>
    <cfRule type="containsText" dxfId="606" priority="671" operator="containsText" text="pk02">
      <formula>NOT(ISERROR(SEARCH("pk02",D9)))</formula>
    </cfRule>
    <cfRule type="containsText" dxfId="605" priority="672" operator="containsText" text="pk01">
      <formula>NOT(ISERROR(SEARCH("pk01",D9)))</formula>
    </cfRule>
  </conditionalFormatting>
  <conditionalFormatting sqref="D243:D244">
    <cfRule type="containsText" dxfId="604" priority="621" operator="containsText" text="pk04">
      <formula>NOT(ISERROR(SEARCH("pk04",D243)))</formula>
    </cfRule>
    <cfRule type="cellIs" dxfId="603" priority="622" operator="equal">
      <formula>"pk03"</formula>
    </cfRule>
    <cfRule type="containsText" dxfId="602" priority="623" operator="containsText" text="pk02">
      <formula>NOT(ISERROR(SEARCH("pk02",D243)))</formula>
    </cfRule>
    <cfRule type="containsText" dxfId="601" priority="624" operator="containsText" text="pk01">
      <formula>NOT(ISERROR(SEARCH("pk01",D243)))</formula>
    </cfRule>
  </conditionalFormatting>
  <conditionalFormatting sqref="D217">
    <cfRule type="containsText" dxfId="600" priority="661" operator="containsText" text="pk04">
      <formula>NOT(ISERROR(SEARCH("pk04",D217)))</formula>
    </cfRule>
    <cfRule type="cellIs" dxfId="599" priority="662" operator="equal">
      <formula>"pk03"</formula>
    </cfRule>
    <cfRule type="containsText" dxfId="598" priority="663" operator="containsText" text="pk02">
      <formula>NOT(ISERROR(SEARCH("pk02",D217)))</formula>
    </cfRule>
    <cfRule type="containsText" dxfId="597" priority="664" operator="containsText" text="pk01">
      <formula>NOT(ISERROR(SEARCH("pk01",D217)))</formula>
    </cfRule>
  </conditionalFormatting>
  <conditionalFormatting sqref="D176">
    <cfRule type="containsText" dxfId="596" priority="657" operator="containsText" text="pk04">
      <formula>NOT(ISERROR(SEARCH("pk04",D176)))</formula>
    </cfRule>
    <cfRule type="cellIs" dxfId="595" priority="658" operator="equal">
      <formula>"pk03"</formula>
    </cfRule>
    <cfRule type="containsText" dxfId="594" priority="659" operator="containsText" text="pk02">
      <formula>NOT(ISERROR(SEARCH("pk02",D176)))</formula>
    </cfRule>
    <cfRule type="containsText" dxfId="593" priority="660" operator="containsText" text="pk01">
      <formula>NOT(ISERROR(SEARCH("pk01",D176)))</formula>
    </cfRule>
  </conditionalFormatting>
  <conditionalFormatting sqref="D249:D250">
    <cfRule type="containsText" dxfId="592" priority="609" operator="containsText" text="pk04">
      <formula>NOT(ISERROR(SEARCH("pk04",D249)))</formula>
    </cfRule>
    <cfRule type="cellIs" dxfId="591" priority="610" operator="equal">
      <formula>"pk03"</formula>
    </cfRule>
    <cfRule type="containsText" dxfId="590" priority="611" operator="containsText" text="pk02">
      <formula>NOT(ISERROR(SEARCH("pk02",D249)))</formula>
    </cfRule>
    <cfRule type="containsText" dxfId="589" priority="612" operator="containsText" text="pk01">
      <formula>NOT(ISERROR(SEARCH("pk01",D249)))</formula>
    </cfRule>
  </conditionalFormatting>
  <conditionalFormatting sqref="D30:D40 D42 D44:D65">
    <cfRule type="containsText" dxfId="588" priority="649" operator="containsText" text="pk04">
      <formula>NOT(ISERROR(SEARCH("pk04",D30)))</formula>
    </cfRule>
    <cfRule type="cellIs" dxfId="587" priority="650" operator="equal">
      <formula>"pk03"</formula>
    </cfRule>
    <cfRule type="containsText" dxfId="586" priority="651" operator="containsText" text="pk02">
      <formula>NOT(ISERROR(SEARCH("pk02",D30)))</formula>
    </cfRule>
    <cfRule type="containsText" dxfId="585" priority="652" operator="containsText" text="pk01">
      <formula>NOT(ISERROR(SEARCH("pk01",D30)))</formula>
    </cfRule>
  </conditionalFormatting>
  <conditionalFormatting sqref="D166:D167">
    <cfRule type="containsText" dxfId="584" priority="641" operator="containsText" text="pk04">
      <formula>NOT(ISERROR(SEARCH("pk04",D166)))</formula>
    </cfRule>
    <cfRule type="cellIs" dxfId="583" priority="642" operator="equal">
      <formula>"pk03"</formula>
    </cfRule>
    <cfRule type="containsText" dxfId="582" priority="643" operator="containsText" text="pk02">
      <formula>NOT(ISERROR(SEARCH("pk02",D166)))</formula>
    </cfRule>
    <cfRule type="containsText" dxfId="581" priority="644" operator="containsText" text="pk01">
      <formula>NOT(ISERROR(SEARCH("pk01",D166)))</formula>
    </cfRule>
  </conditionalFormatting>
  <conditionalFormatting sqref="D168:D169">
    <cfRule type="containsText" dxfId="580" priority="637" operator="containsText" text="pk04">
      <formula>NOT(ISERROR(SEARCH("pk04",D168)))</formula>
    </cfRule>
    <cfRule type="cellIs" dxfId="579" priority="638" operator="equal">
      <formula>"pk03"</formula>
    </cfRule>
    <cfRule type="containsText" dxfId="578" priority="639" operator="containsText" text="pk02">
      <formula>NOT(ISERROR(SEARCH("pk02",D168)))</formula>
    </cfRule>
    <cfRule type="containsText" dxfId="577" priority="640" operator="containsText" text="pk01">
      <formula>NOT(ISERROR(SEARCH("pk01",D168)))</formula>
    </cfRule>
  </conditionalFormatting>
  <conditionalFormatting sqref="D170:D171">
    <cfRule type="containsText" dxfId="576" priority="633" operator="containsText" text="pk04">
      <formula>NOT(ISERROR(SEARCH("pk04",D170)))</formula>
    </cfRule>
    <cfRule type="cellIs" dxfId="575" priority="634" operator="equal">
      <formula>"pk03"</formula>
    </cfRule>
    <cfRule type="containsText" dxfId="574" priority="635" operator="containsText" text="pk02">
      <formula>NOT(ISERROR(SEARCH("pk02",D170)))</formula>
    </cfRule>
    <cfRule type="containsText" dxfId="573" priority="636" operator="containsText" text="pk01">
      <formula>NOT(ISERROR(SEARCH("pk01",D170)))</formula>
    </cfRule>
  </conditionalFormatting>
  <conditionalFormatting sqref="D172:D173">
    <cfRule type="containsText" dxfId="572" priority="629" operator="containsText" text="pk04">
      <formula>NOT(ISERROR(SEARCH("pk04",D172)))</formula>
    </cfRule>
    <cfRule type="cellIs" dxfId="571" priority="630" operator="equal">
      <formula>"pk03"</formula>
    </cfRule>
    <cfRule type="containsText" dxfId="570" priority="631" operator="containsText" text="pk02">
      <formula>NOT(ISERROR(SEARCH("pk02",D172)))</formula>
    </cfRule>
    <cfRule type="containsText" dxfId="569" priority="632" operator="containsText" text="pk01">
      <formula>NOT(ISERROR(SEARCH("pk01",D172)))</formula>
    </cfRule>
  </conditionalFormatting>
  <conditionalFormatting sqref="D174:D175">
    <cfRule type="containsText" dxfId="568" priority="625" operator="containsText" text="pk04">
      <formula>NOT(ISERROR(SEARCH("pk04",D174)))</formula>
    </cfRule>
    <cfRule type="cellIs" dxfId="567" priority="626" operator="equal">
      <formula>"pk03"</formula>
    </cfRule>
    <cfRule type="containsText" dxfId="566" priority="627" operator="containsText" text="pk02">
      <formula>NOT(ISERROR(SEARCH("pk02",D174)))</formula>
    </cfRule>
    <cfRule type="containsText" dxfId="565" priority="628" operator="containsText" text="pk01">
      <formula>NOT(ISERROR(SEARCH("pk01",D174)))</formula>
    </cfRule>
  </conditionalFormatting>
  <conditionalFormatting sqref="D245:D246">
    <cfRule type="containsText" dxfId="564" priority="617" operator="containsText" text="pk04">
      <formula>NOT(ISERROR(SEARCH("pk04",D245)))</formula>
    </cfRule>
    <cfRule type="cellIs" dxfId="563" priority="618" operator="equal">
      <formula>"pk03"</formula>
    </cfRule>
    <cfRule type="containsText" dxfId="562" priority="619" operator="containsText" text="pk02">
      <formula>NOT(ISERROR(SEARCH("pk02",D245)))</formula>
    </cfRule>
    <cfRule type="containsText" dxfId="561" priority="620" operator="containsText" text="pk01">
      <formula>NOT(ISERROR(SEARCH("pk01",D245)))</formula>
    </cfRule>
  </conditionalFormatting>
  <conditionalFormatting sqref="D247:D248">
    <cfRule type="containsText" dxfId="560" priority="613" operator="containsText" text="pk04">
      <formula>NOT(ISERROR(SEARCH("pk04",D247)))</formula>
    </cfRule>
    <cfRule type="cellIs" dxfId="559" priority="614" operator="equal">
      <formula>"pk03"</formula>
    </cfRule>
    <cfRule type="containsText" dxfId="558" priority="615" operator="containsText" text="pk02">
      <formula>NOT(ISERROR(SEARCH("pk02",D247)))</formula>
    </cfRule>
    <cfRule type="containsText" dxfId="557" priority="616" operator="containsText" text="pk01">
      <formula>NOT(ISERROR(SEARCH("pk01",D247)))</formula>
    </cfRule>
  </conditionalFormatting>
  <conditionalFormatting sqref="D251:D252">
    <cfRule type="containsText" dxfId="556" priority="605" operator="containsText" text="pk04">
      <formula>NOT(ISERROR(SEARCH("pk04",D251)))</formula>
    </cfRule>
    <cfRule type="cellIs" dxfId="555" priority="606" operator="equal">
      <formula>"pk03"</formula>
    </cfRule>
    <cfRule type="containsText" dxfId="554" priority="607" operator="containsText" text="pk02">
      <formula>NOT(ISERROR(SEARCH("pk02",D251)))</formula>
    </cfRule>
    <cfRule type="containsText" dxfId="553" priority="608" operator="containsText" text="pk01">
      <formula>NOT(ISERROR(SEARCH("pk01",D251)))</formula>
    </cfRule>
  </conditionalFormatting>
  <conditionalFormatting sqref="D253:D254">
    <cfRule type="containsText" dxfId="552" priority="601" operator="containsText" text="pk04">
      <formula>NOT(ISERROR(SEARCH("pk04",D253)))</formula>
    </cfRule>
    <cfRule type="cellIs" dxfId="551" priority="602" operator="equal">
      <formula>"pk03"</formula>
    </cfRule>
    <cfRule type="containsText" dxfId="550" priority="603" operator="containsText" text="pk02">
      <formula>NOT(ISERROR(SEARCH("pk02",D253)))</formula>
    </cfRule>
    <cfRule type="containsText" dxfId="549" priority="604" operator="containsText" text="pk01">
      <formula>NOT(ISERROR(SEARCH("pk01",D253)))</formula>
    </cfRule>
  </conditionalFormatting>
  <conditionalFormatting sqref="D255:D256">
    <cfRule type="containsText" dxfId="548" priority="597" operator="containsText" text="pk04">
      <formula>NOT(ISERROR(SEARCH("pk04",D255)))</formula>
    </cfRule>
    <cfRule type="cellIs" dxfId="547" priority="598" operator="equal">
      <formula>"pk03"</formula>
    </cfRule>
    <cfRule type="containsText" dxfId="546" priority="599" operator="containsText" text="pk02">
      <formula>NOT(ISERROR(SEARCH("pk02",D255)))</formula>
    </cfRule>
    <cfRule type="containsText" dxfId="545" priority="600" operator="containsText" text="pk01">
      <formula>NOT(ISERROR(SEARCH("pk01",D255)))</formula>
    </cfRule>
  </conditionalFormatting>
  <conditionalFormatting sqref="D257:D258">
    <cfRule type="containsText" dxfId="544" priority="593" operator="containsText" text="pk04">
      <formula>NOT(ISERROR(SEARCH("pk04",D257)))</formula>
    </cfRule>
    <cfRule type="cellIs" dxfId="543" priority="594" operator="equal">
      <formula>"pk03"</formula>
    </cfRule>
    <cfRule type="containsText" dxfId="542" priority="595" operator="containsText" text="pk02">
      <formula>NOT(ISERROR(SEARCH("pk02",D257)))</formula>
    </cfRule>
    <cfRule type="containsText" dxfId="541" priority="596" operator="containsText" text="pk01">
      <formula>NOT(ISERROR(SEARCH("pk01",D257)))</formula>
    </cfRule>
  </conditionalFormatting>
  <conditionalFormatting sqref="D259:D260">
    <cfRule type="containsText" dxfId="540" priority="589" operator="containsText" text="pk04">
      <formula>NOT(ISERROR(SEARCH("pk04",D259)))</formula>
    </cfRule>
    <cfRule type="cellIs" dxfId="539" priority="590" operator="equal">
      <formula>"pk03"</formula>
    </cfRule>
    <cfRule type="containsText" dxfId="538" priority="591" operator="containsText" text="pk02">
      <formula>NOT(ISERROR(SEARCH("pk02",D259)))</formula>
    </cfRule>
    <cfRule type="containsText" dxfId="537" priority="592" operator="containsText" text="pk01">
      <formula>NOT(ISERROR(SEARCH("pk01",D259)))</formula>
    </cfRule>
  </conditionalFormatting>
  <conditionalFormatting sqref="D261:D262">
    <cfRule type="containsText" dxfId="536" priority="585" operator="containsText" text="pk04">
      <formula>NOT(ISERROR(SEARCH("pk04",D261)))</formula>
    </cfRule>
    <cfRule type="cellIs" dxfId="535" priority="586" operator="equal">
      <formula>"pk03"</formula>
    </cfRule>
    <cfRule type="containsText" dxfId="534" priority="587" operator="containsText" text="pk02">
      <formula>NOT(ISERROR(SEARCH("pk02",D261)))</formula>
    </cfRule>
    <cfRule type="containsText" dxfId="533" priority="588" operator="containsText" text="pk01">
      <formula>NOT(ISERROR(SEARCH("pk01",D261)))</formula>
    </cfRule>
  </conditionalFormatting>
  <conditionalFormatting sqref="D66">
    <cfRule type="containsText" dxfId="532" priority="581" operator="containsText" text="pk04">
      <formula>NOT(ISERROR(SEARCH("pk04",D66)))</formula>
    </cfRule>
    <cfRule type="cellIs" dxfId="531" priority="582" operator="equal">
      <formula>"pk03"</formula>
    </cfRule>
    <cfRule type="containsText" dxfId="530" priority="583" operator="containsText" text="pk02">
      <formula>NOT(ISERROR(SEARCH("pk02",D66)))</formula>
    </cfRule>
    <cfRule type="containsText" dxfId="529" priority="584" operator="containsText" text="pk01">
      <formula>NOT(ISERROR(SEARCH("pk01",D66)))</formula>
    </cfRule>
  </conditionalFormatting>
  <conditionalFormatting sqref="D79:D82">
    <cfRule type="containsText" dxfId="528" priority="577" operator="containsText" text="pk04">
      <formula>NOT(ISERROR(SEARCH("pk04",D79)))</formula>
    </cfRule>
    <cfRule type="cellIs" dxfId="527" priority="578" operator="equal">
      <formula>"pk03"</formula>
    </cfRule>
    <cfRule type="containsText" dxfId="526" priority="579" operator="containsText" text="pk02">
      <formula>NOT(ISERROR(SEARCH("pk02",D79)))</formula>
    </cfRule>
    <cfRule type="containsText" dxfId="525" priority="580" operator="containsText" text="pk01">
      <formula>NOT(ISERROR(SEARCH("pk01",D79)))</formula>
    </cfRule>
  </conditionalFormatting>
  <conditionalFormatting sqref="D85">
    <cfRule type="containsText" dxfId="524" priority="573" operator="containsText" text="pk04">
      <formula>NOT(ISERROR(SEARCH("pk04",D85)))</formula>
    </cfRule>
    <cfRule type="cellIs" dxfId="523" priority="574" operator="equal">
      <formula>"pk03"</formula>
    </cfRule>
    <cfRule type="containsText" dxfId="522" priority="575" operator="containsText" text="pk02">
      <formula>NOT(ISERROR(SEARCH("pk02",D85)))</formula>
    </cfRule>
    <cfRule type="containsText" dxfId="521" priority="576" operator="containsText" text="pk01">
      <formula>NOT(ISERROR(SEARCH("pk01",D85)))</formula>
    </cfRule>
  </conditionalFormatting>
  <conditionalFormatting sqref="D101">
    <cfRule type="containsText" dxfId="520" priority="569" operator="containsText" text="pk04">
      <formula>NOT(ISERROR(SEARCH("pk04",D101)))</formula>
    </cfRule>
    <cfRule type="cellIs" dxfId="519" priority="570" operator="equal">
      <formula>"pk03"</formula>
    </cfRule>
    <cfRule type="containsText" dxfId="518" priority="571" operator="containsText" text="pk02">
      <formula>NOT(ISERROR(SEARCH("pk02",D101)))</formula>
    </cfRule>
    <cfRule type="containsText" dxfId="517" priority="572" operator="containsText" text="pk01">
      <formula>NOT(ISERROR(SEARCH("pk01",D101)))</formula>
    </cfRule>
  </conditionalFormatting>
  <conditionalFormatting sqref="D122">
    <cfRule type="containsText" dxfId="516" priority="565" operator="containsText" text="pk04">
      <formula>NOT(ISERROR(SEARCH("pk04",D122)))</formula>
    </cfRule>
    <cfRule type="cellIs" dxfId="515" priority="566" operator="equal">
      <formula>"pk03"</formula>
    </cfRule>
    <cfRule type="containsText" dxfId="514" priority="567" operator="containsText" text="pk02">
      <formula>NOT(ISERROR(SEARCH("pk02",D122)))</formula>
    </cfRule>
    <cfRule type="containsText" dxfId="513" priority="568" operator="containsText" text="pk01">
      <formula>NOT(ISERROR(SEARCH("pk01",D122)))</formula>
    </cfRule>
  </conditionalFormatting>
  <conditionalFormatting sqref="D148">
    <cfRule type="containsText" dxfId="512" priority="557" operator="containsText" text="pk04">
      <formula>NOT(ISERROR(SEARCH("pk04",D148)))</formula>
    </cfRule>
    <cfRule type="cellIs" dxfId="511" priority="558" operator="equal">
      <formula>"pk03"</formula>
    </cfRule>
    <cfRule type="containsText" dxfId="510" priority="559" operator="containsText" text="pk02">
      <formula>NOT(ISERROR(SEARCH("pk02",D148)))</formula>
    </cfRule>
    <cfRule type="containsText" dxfId="509" priority="560" operator="containsText" text="pk01">
      <formula>NOT(ISERROR(SEARCH("pk01",D148)))</formula>
    </cfRule>
  </conditionalFormatting>
  <conditionalFormatting sqref="D147">
    <cfRule type="containsText" dxfId="508" priority="553" operator="containsText" text="pk04">
      <formula>NOT(ISERROR(SEARCH("pk04",D147)))</formula>
    </cfRule>
    <cfRule type="cellIs" dxfId="507" priority="554" operator="equal">
      <formula>"pk03"</formula>
    </cfRule>
    <cfRule type="containsText" dxfId="506" priority="555" operator="containsText" text="pk02">
      <formula>NOT(ISERROR(SEARCH("pk02",D147)))</formula>
    </cfRule>
    <cfRule type="containsText" dxfId="505" priority="556" operator="containsText" text="pk01">
      <formula>NOT(ISERROR(SEARCH("pk01",D147)))</formula>
    </cfRule>
  </conditionalFormatting>
  <conditionalFormatting sqref="D195:D196">
    <cfRule type="containsText" dxfId="504" priority="549" operator="containsText" text="pk04">
      <formula>NOT(ISERROR(SEARCH("pk04",D195)))</formula>
    </cfRule>
    <cfRule type="cellIs" dxfId="503" priority="550" operator="equal">
      <formula>"pk03"</formula>
    </cfRule>
    <cfRule type="containsText" dxfId="502" priority="551" operator="containsText" text="pk02">
      <formula>NOT(ISERROR(SEARCH("pk02",D195)))</formula>
    </cfRule>
    <cfRule type="containsText" dxfId="501" priority="552" operator="containsText" text="pk01">
      <formula>NOT(ISERROR(SEARCH("pk01",D195)))</formula>
    </cfRule>
  </conditionalFormatting>
  <conditionalFormatting sqref="D194">
    <cfRule type="containsText" dxfId="500" priority="545" operator="containsText" text="pk04">
      <formula>NOT(ISERROR(SEARCH("pk04",D194)))</formula>
    </cfRule>
    <cfRule type="cellIs" dxfId="499" priority="546" operator="equal">
      <formula>"pk03"</formula>
    </cfRule>
    <cfRule type="containsText" dxfId="498" priority="547" operator="containsText" text="pk02">
      <formula>NOT(ISERROR(SEARCH("pk02",D194)))</formula>
    </cfRule>
    <cfRule type="containsText" dxfId="497" priority="548" operator="containsText" text="pk01">
      <formula>NOT(ISERROR(SEARCH("pk01",D194)))</formula>
    </cfRule>
  </conditionalFormatting>
  <conditionalFormatting sqref="D201:D204">
    <cfRule type="containsText" dxfId="496" priority="533" operator="containsText" text="pk04">
      <formula>NOT(ISERROR(SEARCH("pk04",D201)))</formula>
    </cfRule>
    <cfRule type="cellIs" dxfId="495" priority="534" operator="equal">
      <formula>"pk03"</formula>
    </cfRule>
    <cfRule type="containsText" dxfId="494" priority="535" operator="containsText" text="pk02">
      <formula>NOT(ISERROR(SEARCH("pk02",D201)))</formula>
    </cfRule>
    <cfRule type="containsText" dxfId="493" priority="536" operator="containsText" text="pk01">
      <formula>NOT(ISERROR(SEARCH("pk01",D201)))</formula>
    </cfRule>
  </conditionalFormatting>
  <conditionalFormatting sqref="D224">
    <cfRule type="containsText" dxfId="492" priority="529" operator="containsText" text="pk04">
      <formula>NOT(ISERROR(SEARCH("pk04",D224)))</formula>
    </cfRule>
    <cfRule type="cellIs" dxfId="491" priority="530" operator="equal">
      <formula>"pk03"</formula>
    </cfRule>
    <cfRule type="containsText" dxfId="490" priority="531" operator="containsText" text="pk02">
      <formula>NOT(ISERROR(SEARCH("pk02",D224)))</formula>
    </cfRule>
    <cfRule type="containsText" dxfId="489" priority="532" operator="containsText" text="pk01">
      <formula>NOT(ISERROR(SEARCH("pk01",D224)))</formula>
    </cfRule>
  </conditionalFormatting>
  <conditionalFormatting sqref="D268">
    <cfRule type="containsText" dxfId="488" priority="525" operator="containsText" text="pk04">
      <formula>NOT(ISERROR(SEARCH("pk04",D268)))</formula>
    </cfRule>
    <cfRule type="cellIs" dxfId="487" priority="526" operator="equal">
      <formula>"pk03"</formula>
    </cfRule>
    <cfRule type="containsText" dxfId="486" priority="527" operator="containsText" text="pk02">
      <formula>NOT(ISERROR(SEARCH("pk02",D268)))</formula>
    </cfRule>
    <cfRule type="containsText" dxfId="485" priority="528" operator="containsText" text="pk01">
      <formula>NOT(ISERROR(SEARCH("pk01",D268)))</formula>
    </cfRule>
  </conditionalFormatting>
  <conditionalFormatting sqref="E9:F9">
    <cfRule type="containsText" dxfId="484" priority="521" operator="containsText" text="pk04">
      <formula>NOT(ISERROR(SEARCH("pk04",E9)))</formula>
    </cfRule>
    <cfRule type="cellIs" dxfId="483" priority="522" operator="equal">
      <formula>"pk03"</formula>
    </cfRule>
    <cfRule type="containsText" dxfId="482" priority="523" operator="containsText" text="pk02">
      <formula>NOT(ISERROR(SEARCH("pk02",E9)))</formula>
    </cfRule>
    <cfRule type="containsText" dxfId="481" priority="524" operator="containsText" text="pk01">
      <formula>NOT(ISERROR(SEARCH("pk01",E9)))</formula>
    </cfRule>
  </conditionalFormatting>
  <conditionalFormatting sqref="E29:F29">
    <cfRule type="containsText" dxfId="480" priority="517" operator="containsText" text="pk04">
      <formula>NOT(ISERROR(SEARCH("pk04",E29)))</formula>
    </cfRule>
    <cfRule type="cellIs" dxfId="479" priority="518" operator="equal">
      <formula>"pk03"</formula>
    </cfRule>
    <cfRule type="containsText" dxfId="478" priority="519" operator="containsText" text="pk02">
      <formula>NOT(ISERROR(SEARCH("pk02",E29)))</formula>
    </cfRule>
    <cfRule type="containsText" dxfId="477" priority="520" operator="containsText" text="pk01">
      <formula>NOT(ISERROR(SEARCH("pk01",E29)))</formula>
    </cfRule>
  </conditionalFormatting>
  <conditionalFormatting sqref="E30:F30">
    <cfRule type="containsText" dxfId="476" priority="513" operator="containsText" text="pk04">
      <formula>NOT(ISERROR(SEARCH("pk04",E30)))</formula>
    </cfRule>
    <cfRule type="cellIs" dxfId="475" priority="514" operator="equal">
      <formula>"pk03"</formula>
    </cfRule>
    <cfRule type="containsText" dxfId="474" priority="515" operator="containsText" text="pk02">
      <formula>NOT(ISERROR(SEARCH("pk02",E30)))</formula>
    </cfRule>
    <cfRule type="containsText" dxfId="473" priority="516" operator="containsText" text="pk01">
      <formula>NOT(ISERROR(SEARCH("pk01",E30)))</formula>
    </cfRule>
  </conditionalFormatting>
  <conditionalFormatting sqref="E31:F31">
    <cfRule type="containsText" dxfId="472" priority="509" operator="containsText" text="pk04">
      <formula>NOT(ISERROR(SEARCH("pk04",E31)))</formula>
    </cfRule>
    <cfRule type="cellIs" dxfId="471" priority="510" operator="equal">
      <formula>"pk03"</formula>
    </cfRule>
    <cfRule type="containsText" dxfId="470" priority="511" operator="containsText" text="pk02">
      <formula>NOT(ISERROR(SEARCH("pk02",E31)))</formula>
    </cfRule>
    <cfRule type="containsText" dxfId="469" priority="512" operator="containsText" text="pk01">
      <formula>NOT(ISERROR(SEARCH("pk01",E31)))</formula>
    </cfRule>
  </conditionalFormatting>
  <conditionalFormatting sqref="E32:F32">
    <cfRule type="containsText" dxfId="468" priority="505" operator="containsText" text="pk04">
      <formula>NOT(ISERROR(SEARCH("pk04",E32)))</formula>
    </cfRule>
    <cfRule type="cellIs" dxfId="467" priority="506" operator="equal">
      <formula>"pk03"</formula>
    </cfRule>
    <cfRule type="containsText" dxfId="466" priority="507" operator="containsText" text="pk02">
      <formula>NOT(ISERROR(SEARCH("pk02",E32)))</formula>
    </cfRule>
    <cfRule type="containsText" dxfId="465" priority="508" operator="containsText" text="pk01">
      <formula>NOT(ISERROR(SEARCH("pk01",E32)))</formula>
    </cfRule>
  </conditionalFormatting>
  <conditionalFormatting sqref="E33:F33">
    <cfRule type="containsText" dxfId="464" priority="501" operator="containsText" text="pk04">
      <formula>NOT(ISERROR(SEARCH("pk04",E33)))</formula>
    </cfRule>
    <cfRule type="cellIs" dxfId="463" priority="502" operator="equal">
      <formula>"pk03"</formula>
    </cfRule>
    <cfRule type="containsText" dxfId="462" priority="503" operator="containsText" text="pk02">
      <formula>NOT(ISERROR(SEARCH("pk02",E33)))</formula>
    </cfRule>
    <cfRule type="containsText" dxfId="461" priority="504" operator="containsText" text="pk01">
      <formula>NOT(ISERROR(SEARCH("pk01",E33)))</formula>
    </cfRule>
  </conditionalFormatting>
  <conditionalFormatting sqref="E34:F34">
    <cfRule type="containsText" dxfId="460" priority="497" operator="containsText" text="pk04">
      <formula>NOT(ISERROR(SEARCH("pk04",E34)))</formula>
    </cfRule>
    <cfRule type="cellIs" dxfId="459" priority="498" operator="equal">
      <formula>"pk03"</formula>
    </cfRule>
    <cfRule type="containsText" dxfId="458" priority="499" operator="containsText" text="pk02">
      <formula>NOT(ISERROR(SEARCH("pk02",E34)))</formula>
    </cfRule>
    <cfRule type="containsText" dxfId="457" priority="500" operator="containsText" text="pk01">
      <formula>NOT(ISERROR(SEARCH("pk01",E34)))</formula>
    </cfRule>
  </conditionalFormatting>
  <conditionalFormatting sqref="E35:F35">
    <cfRule type="containsText" dxfId="456" priority="493" operator="containsText" text="pk04">
      <formula>NOT(ISERROR(SEARCH("pk04",E35)))</formula>
    </cfRule>
    <cfRule type="cellIs" dxfId="455" priority="494" operator="equal">
      <formula>"pk03"</formula>
    </cfRule>
    <cfRule type="containsText" dxfId="454" priority="495" operator="containsText" text="pk02">
      <formula>NOT(ISERROR(SEARCH("pk02",E35)))</formula>
    </cfRule>
    <cfRule type="containsText" dxfId="453" priority="496" operator="containsText" text="pk01">
      <formula>NOT(ISERROR(SEARCH("pk01",E35)))</formula>
    </cfRule>
  </conditionalFormatting>
  <conditionalFormatting sqref="E36:F36">
    <cfRule type="containsText" dxfId="452" priority="489" operator="containsText" text="pk04">
      <formula>NOT(ISERROR(SEARCH("pk04",E36)))</formula>
    </cfRule>
    <cfRule type="cellIs" dxfId="451" priority="490" operator="equal">
      <formula>"pk03"</formula>
    </cfRule>
    <cfRule type="containsText" dxfId="450" priority="491" operator="containsText" text="pk02">
      <formula>NOT(ISERROR(SEARCH("pk02",E36)))</formula>
    </cfRule>
    <cfRule type="containsText" dxfId="449" priority="492" operator="containsText" text="pk01">
      <formula>NOT(ISERROR(SEARCH("pk01",E36)))</formula>
    </cfRule>
  </conditionalFormatting>
  <conditionalFormatting sqref="E38:F38">
    <cfRule type="containsText" dxfId="448" priority="485" operator="containsText" text="pk04">
      <formula>NOT(ISERROR(SEARCH("pk04",E38)))</formula>
    </cfRule>
    <cfRule type="cellIs" dxfId="447" priority="486" operator="equal">
      <formula>"pk03"</formula>
    </cfRule>
    <cfRule type="containsText" dxfId="446" priority="487" operator="containsText" text="pk02">
      <formula>NOT(ISERROR(SEARCH("pk02",E38)))</formula>
    </cfRule>
    <cfRule type="containsText" dxfId="445" priority="488" operator="containsText" text="pk01">
      <formula>NOT(ISERROR(SEARCH("pk01",E38)))</formula>
    </cfRule>
  </conditionalFormatting>
  <conditionalFormatting sqref="E39:F39">
    <cfRule type="containsText" dxfId="444" priority="481" operator="containsText" text="pk04">
      <formula>NOT(ISERROR(SEARCH("pk04",E39)))</formula>
    </cfRule>
    <cfRule type="cellIs" dxfId="443" priority="482" operator="equal">
      <formula>"pk03"</formula>
    </cfRule>
    <cfRule type="containsText" dxfId="442" priority="483" operator="containsText" text="pk02">
      <formula>NOT(ISERROR(SEARCH("pk02",E39)))</formula>
    </cfRule>
    <cfRule type="containsText" dxfId="441" priority="484" operator="containsText" text="pk01">
      <formula>NOT(ISERROR(SEARCH("pk01",E39)))</formula>
    </cfRule>
  </conditionalFormatting>
  <conditionalFormatting sqref="E40:F40">
    <cfRule type="containsText" dxfId="440" priority="477" operator="containsText" text="pk04">
      <formula>NOT(ISERROR(SEARCH("pk04",E40)))</formula>
    </cfRule>
    <cfRule type="cellIs" dxfId="439" priority="478" operator="equal">
      <formula>"pk03"</formula>
    </cfRule>
    <cfRule type="containsText" dxfId="438" priority="479" operator="containsText" text="pk02">
      <formula>NOT(ISERROR(SEARCH("pk02",E40)))</formula>
    </cfRule>
    <cfRule type="containsText" dxfId="437" priority="480" operator="containsText" text="pk01">
      <formula>NOT(ISERROR(SEARCH("pk01",E40)))</formula>
    </cfRule>
  </conditionalFormatting>
  <conditionalFormatting sqref="E42:F42">
    <cfRule type="containsText" dxfId="436" priority="473" operator="containsText" text="pk04">
      <formula>NOT(ISERROR(SEARCH("pk04",E42)))</formula>
    </cfRule>
    <cfRule type="cellIs" dxfId="435" priority="474" operator="equal">
      <formula>"pk03"</formula>
    </cfRule>
    <cfRule type="containsText" dxfId="434" priority="475" operator="containsText" text="pk02">
      <formula>NOT(ISERROR(SEARCH("pk02",E42)))</formula>
    </cfRule>
    <cfRule type="containsText" dxfId="433" priority="476" operator="containsText" text="pk01">
      <formula>NOT(ISERROR(SEARCH("pk01",E42)))</formula>
    </cfRule>
  </conditionalFormatting>
  <conditionalFormatting sqref="E44:F44">
    <cfRule type="containsText" dxfId="432" priority="469" operator="containsText" text="pk04">
      <formula>NOT(ISERROR(SEARCH("pk04",E44)))</formula>
    </cfRule>
    <cfRule type="cellIs" dxfId="431" priority="470" operator="equal">
      <formula>"pk03"</formula>
    </cfRule>
    <cfRule type="containsText" dxfId="430" priority="471" operator="containsText" text="pk02">
      <formula>NOT(ISERROR(SEARCH("pk02",E44)))</formula>
    </cfRule>
    <cfRule type="containsText" dxfId="429" priority="472" operator="containsText" text="pk01">
      <formula>NOT(ISERROR(SEARCH("pk01",E44)))</formula>
    </cfRule>
  </conditionalFormatting>
  <conditionalFormatting sqref="E45:F45">
    <cfRule type="containsText" dxfId="428" priority="465" operator="containsText" text="pk04">
      <formula>NOT(ISERROR(SEARCH("pk04",E45)))</formula>
    </cfRule>
    <cfRule type="cellIs" dxfId="427" priority="466" operator="equal">
      <formula>"pk03"</formula>
    </cfRule>
    <cfRule type="containsText" dxfId="426" priority="467" operator="containsText" text="pk02">
      <formula>NOT(ISERROR(SEARCH("pk02",E45)))</formula>
    </cfRule>
    <cfRule type="containsText" dxfId="425" priority="468" operator="containsText" text="pk01">
      <formula>NOT(ISERROR(SEARCH("pk01",E45)))</formula>
    </cfRule>
  </conditionalFormatting>
  <conditionalFormatting sqref="E46:F46">
    <cfRule type="containsText" dxfId="424" priority="461" operator="containsText" text="pk04">
      <formula>NOT(ISERROR(SEARCH("pk04",E46)))</formula>
    </cfRule>
    <cfRule type="cellIs" dxfId="423" priority="462" operator="equal">
      <formula>"pk03"</formula>
    </cfRule>
    <cfRule type="containsText" dxfId="422" priority="463" operator="containsText" text="pk02">
      <formula>NOT(ISERROR(SEARCH("pk02",E46)))</formula>
    </cfRule>
    <cfRule type="containsText" dxfId="421" priority="464" operator="containsText" text="pk01">
      <formula>NOT(ISERROR(SEARCH("pk01",E46)))</formula>
    </cfRule>
  </conditionalFormatting>
  <conditionalFormatting sqref="E47:F47">
    <cfRule type="containsText" dxfId="420" priority="457" operator="containsText" text="pk04">
      <formula>NOT(ISERROR(SEARCH("pk04",E47)))</formula>
    </cfRule>
    <cfRule type="cellIs" dxfId="419" priority="458" operator="equal">
      <formula>"pk03"</formula>
    </cfRule>
    <cfRule type="containsText" dxfId="418" priority="459" operator="containsText" text="pk02">
      <formula>NOT(ISERROR(SEARCH("pk02",E47)))</formula>
    </cfRule>
    <cfRule type="containsText" dxfId="417" priority="460" operator="containsText" text="pk01">
      <formula>NOT(ISERROR(SEARCH("pk01",E47)))</formula>
    </cfRule>
  </conditionalFormatting>
  <conditionalFormatting sqref="E48:F48">
    <cfRule type="containsText" dxfId="416" priority="453" operator="containsText" text="pk04">
      <formula>NOT(ISERROR(SEARCH("pk04",E48)))</formula>
    </cfRule>
    <cfRule type="cellIs" dxfId="415" priority="454" operator="equal">
      <formula>"pk03"</formula>
    </cfRule>
    <cfRule type="containsText" dxfId="414" priority="455" operator="containsText" text="pk02">
      <formula>NOT(ISERROR(SEARCH("pk02",E48)))</formula>
    </cfRule>
    <cfRule type="containsText" dxfId="413" priority="456" operator="containsText" text="pk01">
      <formula>NOT(ISERROR(SEARCH("pk01",E48)))</formula>
    </cfRule>
  </conditionalFormatting>
  <conditionalFormatting sqref="D41">
    <cfRule type="containsText" dxfId="412" priority="449" operator="containsText" text="pk04">
      <formula>NOT(ISERROR(SEARCH("pk04",D41)))</formula>
    </cfRule>
    <cfRule type="cellIs" dxfId="411" priority="450" operator="equal">
      <formula>"pk03"</formula>
    </cfRule>
    <cfRule type="containsText" dxfId="410" priority="451" operator="containsText" text="pk02">
      <formula>NOT(ISERROR(SEARCH("pk02",D41)))</formula>
    </cfRule>
    <cfRule type="containsText" dxfId="409" priority="452" operator="containsText" text="pk01">
      <formula>NOT(ISERROR(SEARCH("pk01",D41)))</formula>
    </cfRule>
  </conditionalFormatting>
  <conditionalFormatting sqref="E41:F41">
    <cfRule type="containsText" dxfId="408" priority="445" operator="containsText" text="pk04">
      <formula>NOT(ISERROR(SEARCH("pk04",E41)))</formula>
    </cfRule>
    <cfRule type="cellIs" dxfId="407" priority="446" operator="equal">
      <formula>"pk03"</formula>
    </cfRule>
    <cfRule type="containsText" dxfId="406" priority="447" operator="containsText" text="pk02">
      <formula>NOT(ISERROR(SEARCH("pk02",E41)))</formula>
    </cfRule>
    <cfRule type="containsText" dxfId="405" priority="448" operator="containsText" text="pk01">
      <formula>NOT(ISERROR(SEARCH("pk01",E41)))</formula>
    </cfRule>
  </conditionalFormatting>
  <conditionalFormatting sqref="E110:F110">
    <cfRule type="containsText" dxfId="404" priority="441" operator="containsText" text="pk04">
      <formula>NOT(ISERROR(SEARCH("pk04",E110)))</formula>
    </cfRule>
    <cfRule type="cellIs" dxfId="403" priority="442" operator="equal">
      <formula>"pk03"</formula>
    </cfRule>
    <cfRule type="containsText" dxfId="402" priority="443" operator="containsText" text="pk02">
      <formula>NOT(ISERROR(SEARCH("pk02",E110)))</formula>
    </cfRule>
    <cfRule type="containsText" dxfId="401" priority="444" operator="containsText" text="pk01">
      <formula>NOT(ISERROR(SEARCH("pk01",E110)))</formula>
    </cfRule>
  </conditionalFormatting>
  <conditionalFormatting sqref="E112:F112">
    <cfRule type="containsText" dxfId="400" priority="437" operator="containsText" text="pk04">
      <formula>NOT(ISERROR(SEARCH("pk04",E112)))</formula>
    </cfRule>
    <cfRule type="cellIs" dxfId="399" priority="438" operator="equal">
      <formula>"pk03"</formula>
    </cfRule>
    <cfRule type="containsText" dxfId="398" priority="439" operator="containsText" text="pk02">
      <formula>NOT(ISERROR(SEARCH("pk02",E112)))</formula>
    </cfRule>
    <cfRule type="containsText" dxfId="397" priority="440" operator="containsText" text="pk01">
      <formula>NOT(ISERROR(SEARCH("pk01",E112)))</formula>
    </cfRule>
  </conditionalFormatting>
  <conditionalFormatting sqref="E114:F114">
    <cfRule type="containsText" dxfId="396" priority="433" operator="containsText" text="pk04">
      <formula>NOT(ISERROR(SEARCH("pk04",E114)))</formula>
    </cfRule>
    <cfRule type="cellIs" dxfId="395" priority="434" operator="equal">
      <formula>"pk03"</formula>
    </cfRule>
    <cfRule type="containsText" dxfId="394" priority="435" operator="containsText" text="pk02">
      <formula>NOT(ISERROR(SEARCH("pk02",E114)))</formula>
    </cfRule>
    <cfRule type="containsText" dxfId="393" priority="436" operator="containsText" text="pk01">
      <formula>NOT(ISERROR(SEARCH("pk01",E114)))</formula>
    </cfRule>
  </conditionalFormatting>
  <conditionalFormatting sqref="E116:F116">
    <cfRule type="containsText" dxfId="392" priority="429" operator="containsText" text="pk04">
      <formula>NOT(ISERROR(SEARCH("pk04",E116)))</formula>
    </cfRule>
    <cfRule type="cellIs" dxfId="391" priority="430" operator="equal">
      <formula>"pk03"</formula>
    </cfRule>
    <cfRule type="containsText" dxfId="390" priority="431" operator="containsText" text="pk02">
      <formula>NOT(ISERROR(SEARCH("pk02",E116)))</formula>
    </cfRule>
    <cfRule type="containsText" dxfId="389" priority="432" operator="containsText" text="pk01">
      <formula>NOT(ISERROR(SEARCH("pk01",E116)))</formula>
    </cfRule>
  </conditionalFormatting>
  <conditionalFormatting sqref="E119:F119">
    <cfRule type="containsText" dxfId="388" priority="425" operator="containsText" text="pk04">
      <formula>NOT(ISERROR(SEARCH("pk04",E119)))</formula>
    </cfRule>
    <cfRule type="cellIs" dxfId="387" priority="426" operator="equal">
      <formula>"pk03"</formula>
    </cfRule>
    <cfRule type="containsText" dxfId="386" priority="427" operator="containsText" text="pk02">
      <formula>NOT(ISERROR(SEARCH("pk02",E119)))</formula>
    </cfRule>
    <cfRule type="containsText" dxfId="385" priority="428" operator="containsText" text="pk01">
      <formula>NOT(ISERROR(SEARCH("pk01",E119)))</formula>
    </cfRule>
  </conditionalFormatting>
  <conditionalFormatting sqref="E121:F121">
    <cfRule type="containsText" dxfId="384" priority="421" operator="containsText" text="pk04">
      <formula>NOT(ISERROR(SEARCH("pk04",E121)))</formula>
    </cfRule>
    <cfRule type="cellIs" dxfId="383" priority="422" operator="equal">
      <formula>"pk03"</formula>
    </cfRule>
    <cfRule type="containsText" dxfId="382" priority="423" operator="containsText" text="pk02">
      <formula>NOT(ISERROR(SEARCH("pk02",E121)))</formula>
    </cfRule>
    <cfRule type="containsText" dxfId="381" priority="424" operator="containsText" text="pk01">
      <formula>NOT(ISERROR(SEARCH("pk01",E121)))</formula>
    </cfRule>
  </conditionalFormatting>
  <conditionalFormatting sqref="E124:F124">
    <cfRule type="containsText" dxfId="380" priority="417" operator="containsText" text="pk04">
      <formula>NOT(ISERROR(SEARCH("pk04",E124)))</formula>
    </cfRule>
    <cfRule type="cellIs" dxfId="379" priority="418" operator="equal">
      <formula>"pk03"</formula>
    </cfRule>
    <cfRule type="containsText" dxfId="378" priority="419" operator="containsText" text="pk02">
      <formula>NOT(ISERROR(SEARCH("pk02",E124)))</formula>
    </cfRule>
    <cfRule type="containsText" dxfId="377" priority="420" operator="containsText" text="pk01">
      <formula>NOT(ISERROR(SEARCH("pk01",E124)))</formula>
    </cfRule>
  </conditionalFormatting>
  <conditionalFormatting sqref="E126:F126">
    <cfRule type="containsText" dxfId="376" priority="413" operator="containsText" text="pk04">
      <formula>NOT(ISERROR(SEARCH("pk04",E126)))</formula>
    </cfRule>
    <cfRule type="cellIs" dxfId="375" priority="414" operator="equal">
      <formula>"pk03"</formula>
    </cfRule>
    <cfRule type="containsText" dxfId="374" priority="415" operator="containsText" text="pk02">
      <formula>NOT(ISERROR(SEARCH("pk02",E126)))</formula>
    </cfRule>
    <cfRule type="containsText" dxfId="373" priority="416" operator="containsText" text="pk01">
      <formula>NOT(ISERROR(SEARCH("pk01",E126)))</formula>
    </cfRule>
  </conditionalFormatting>
  <conditionalFormatting sqref="E128:F128">
    <cfRule type="containsText" dxfId="372" priority="409" operator="containsText" text="pk04">
      <formula>NOT(ISERROR(SEARCH("pk04",E128)))</formula>
    </cfRule>
    <cfRule type="cellIs" dxfId="371" priority="410" operator="equal">
      <formula>"pk03"</formula>
    </cfRule>
    <cfRule type="containsText" dxfId="370" priority="411" operator="containsText" text="pk02">
      <formula>NOT(ISERROR(SEARCH("pk02",E128)))</formula>
    </cfRule>
    <cfRule type="containsText" dxfId="369" priority="412" operator="containsText" text="pk01">
      <formula>NOT(ISERROR(SEARCH("pk01",E128)))</formula>
    </cfRule>
  </conditionalFormatting>
  <conditionalFormatting sqref="E130:F130">
    <cfRule type="containsText" dxfId="368" priority="405" operator="containsText" text="pk04">
      <formula>NOT(ISERROR(SEARCH("pk04",E130)))</formula>
    </cfRule>
    <cfRule type="cellIs" dxfId="367" priority="406" operator="equal">
      <formula>"pk03"</formula>
    </cfRule>
    <cfRule type="containsText" dxfId="366" priority="407" operator="containsText" text="pk02">
      <formula>NOT(ISERROR(SEARCH("pk02",E130)))</formula>
    </cfRule>
    <cfRule type="containsText" dxfId="365" priority="408" operator="containsText" text="pk01">
      <formula>NOT(ISERROR(SEARCH("pk01",E130)))</formula>
    </cfRule>
  </conditionalFormatting>
  <conditionalFormatting sqref="E132:F132">
    <cfRule type="containsText" dxfId="364" priority="401" operator="containsText" text="pk04">
      <formula>NOT(ISERROR(SEARCH("pk04",E132)))</formula>
    </cfRule>
    <cfRule type="cellIs" dxfId="363" priority="402" operator="equal">
      <formula>"pk03"</formula>
    </cfRule>
    <cfRule type="containsText" dxfId="362" priority="403" operator="containsText" text="pk02">
      <formula>NOT(ISERROR(SEARCH("pk02",E132)))</formula>
    </cfRule>
    <cfRule type="containsText" dxfId="361" priority="404" operator="containsText" text="pk01">
      <formula>NOT(ISERROR(SEARCH("pk01",E132)))</formula>
    </cfRule>
  </conditionalFormatting>
  <conditionalFormatting sqref="E134:F134">
    <cfRule type="containsText" dxfId="360" priority="397" operator="containsText" text="pk04">
      <formula>NOT(ISERROR(SEARCH("pk04",E134)))</formula>
    </cfRule>
    <cfRule type="cellIs" dxfId="359" priority="398" operator="equal">
      <formula>"pk03"</formula>
    </cfRule>
    <cfRule type="containsText" dxfId="358" priority="399" operator="containsText" text="pk02">
      <formula>NOT(ISERROR(SEARCH("pk02",E134)))</formula>
    </cfRule>
    <cfRule type="containsText" dxfId="357" priority="400" operator="containsText" text="pk01">
      <formula>NOT(ISERROR(SEARCH("pk01",E134)))</formula>
    </cfRule>
  </conditionalFormatting>
  <conditionalFormatting sqref="E136:F136">
    <cfRule type="containsText" dxfId="356" priority="393" operator="containsText" text="pk04">
      <formula>NOT(ISERROR(SEARCH("pk04",E136)))</formula>
    </cfRule>
    <cfRule type="cellIs" dxfId="355" priority="394" operator="equal">
      <formula>"pk03"</formula>
    </cfRule>
    <cfRule type="containsText" dxfId="354" priority="395" operator="containsText" text="pk02">
      <formula>NOT(ISERROR(SEARCH("pk02",E136)))</formula>
    </cfRule>
    <cfRule type="containsText" dxfId="353" priority="396" operator="containsText" text="pk01">
      <formula>NOT(ISERROR(SEARCH("pk01",E136)))</formula>
    </cfRule>
  </conditionalFormatting>
  <conditionalFormatting sqref="E138:F138">
    <cfRule type="containsText" dxfId="352" priority="389" operator="containsText" text="pk04">
      <formula>NOT(ISERROR(SEARCH("pk04",E138)))</formula>
    </cfRule>
    <cfRule type="cellIs" dxfId="351" priority="390" operator="equal">
      <formula>"pk03"</formula>
    </cfRule>
    <cfRule type="containsText" dxfId="350" priority="391" operator="containsText" text="pk02">
      <formula>NOT(ISERROR(SEARCH("pk02",E138)))</formula>
    </cfRule>
    <cfRule type="containsText" dxfId="349" priority="392" operator="containsText" text="pk01">
      <formula>NOT(ISERROR(SEARCH("pk01",E138)))</formula>
    </cfRule>
  </conditionalFormatting>
  <conditionalFormatting sqref="E145:F146 E149:F149">
    <cfRule type="containsText" dxfId="348" priority="385" operator="containsText" text="pk04">
      <formula>NOT(ISERROR(SEARCH("pk04",E145)))</formula>
    </cfRule>
    <cfRule type="cellIs" dxfId="347" priority="386" operator="equal">
      <formula>"pk03"</formula>
    </cfRule>
    <cfRule type="containsText" dxfId="346" priority="387" operator="containsText" text="pk02">
      <formula>NOT(ISERROR(SEARCH("pk02",E145)))</formula>
    </cfRule>
    <cfRule type="containsText" dxfId="345" priority="388" operator="containsText" text="pk01">
      <formula>NOT(ISERROR(SEARCH("pk01",E145)))</formula>
    </cfRule>
  </conditionalFormatting>
  <conditionalFormatting sqref="E148:F148">
    <cfRule type="containsText" dxfId="344" priority="381" operator="containsText" text="pk04">
      <formula>NOT(ISERROR(SEARCH("pk04",E148)))</formula>
    </cfRule>
    <cfRule type="cellIs" dxfId="343" priority="382" operator="equal">
      <formula>"pk03"</formula>
    </cfRule>
    <cfRule type="containsText" dxfId="342" priority="383" operator="containsText" text="pk02">
      <formula>NOT(ISERROR(SEARCH("pk02",E148)))</formula>
    </cfRule>
    <cfRule type="containsText" dxfId="341" priority="384" operator="containsText" text="pk01">
      <formula>NOT(ISERROR(SEARCH("pk01",E148)))</formula>
    </cfRule>
  </conditionalFormatting>
  <conditionalFormatting sqref="E147:F147">
    <cfRule type="containsText" dxfId="340" priority="377" operator="containsText" text="pk04">
      <formula>NOT(ISERROR(SEARCH("pk04",E147)))</formula>
    </cfRule>
    <cfRule type="cellIs" dxfId="339" priority="378" operator="equal">
      <formula>"pk03"</formula>
    </cfRule>
    <cfRule type="containsText" dxfId="338" priority="379" operator="containsText" text="pk02">
      <formula>NOT(ISERROR(SEARCH("pk02",E147)))</formula>
    </cfRule>
    <cfRule type="containsText" dxfId="337" priority="380" operator="containsText" text="pk01">
      <formula>NOT(ISERROR(SEARCH("pk01",E147)))</formula>
    </cfRule>
  </conditionalFormatting>
  <conditionalFormatting sqref="E152:F152">
    <cfRule type="containsText" dxfId="336" priority="373" operator="containsText" text="pk04">
      <formula>NOT(ISERROR(SEARCH("pk04",E152)))</formula>
    </cfRule>
    <cfRule type="cellIs" dxfId="335" priority="374" operator="equal">
      <formula>"pk03"</formula>
    </cfRule>
    <cfRule type="containsText" dxfId="334" priority="375" operator="containsText" text="pk02">
      <formula>NOT(ISERROR(SEARCH("pk02",E152)))</formula>
    </cfRule>
    <cfRule type="containsText" dxfId="333" priority="376" operator="containsText" text="pk01">
      <formula>NOT(ISERROR(SEARCH("pk01",E152)))</formula>
    </cfRule>
  </conditionalFormatting>
  <conditionalFormatting sqref="E156:F156">
    <cfRule type="containsText" dxfId="332" priority="369" operator="containsText" text="pk04">
      <formula>NOT(ISERROR(SEARCH("pk04",E156)))</formula>
    </cfRule>
    <cfRule type="cellIs" dxfId="331" priority="370" operator="equal">
      <formula>"pk03"</formula>
    </cfRule>
    <cfRule type="containsText" dxfId="330" priority="371" operator="containsText" text="pk02">
      <formula>NOT(ISERROR(SEARCH("pk02",E156)))</formula>
    </cfRule>
    <cfRule type="containsText" dxfId="329" priority="372" operator="containsText" text="pk01">
      <formula>NOT(ISERROR(SEARCH("pk01",E156)))</formula>
    </cfRule>
  </conditionalFormatting>
  <conditionalFormatting sqref="E158:F158">
    <cfRule type="containsText" dxfId="328" priority="365" operator="containsText" text="pk04">
      <formula>NOT(ISERROR(SEARCH("pk04",E158)))</formula>
    </cfRule>
    <cfRule type="cellIs" dxfId="327" priority="366" operator="equal">
      <formula>"pk03"</formula>
    </cfRule>
    <cfRule type="containsText" dxfId="326" priority="367" operator="containsText" text="pk02">
      <formula>NOT(ISERROR(SEARCH("pk02",E158)))</formula>
    </cfRule>
    <cfRule type="containsText" dxfId="325" priority="368" operator="containsText" text="pk01">
      <formula>NOT(ISERROR(SEARCH("pk01",E158)))</formula>
    </cfRule>
  </conditionalFormatting>
  <conditionalFormatting sqref="E160:F160">
    <cfRule type="containsText" dxfId="324" priority="361" operator="containsText" text="pk04">
      <formula>NOT(ISERROR(SEARCH("pk04",E160)))</formula>
    </cfRule>
    <cfRule type="cellIs" dxfId="323" priority="362" operator="equal">
      <formula>"pk03"</formula>
    </cfRule>
    <cfRule type="containsText" dxfId="322" priority="363" operator="containsText" text="pk02">
      <formula>NOT(ISERROR(SEARCH("pk02",E160)))</formula>
    </cfRule>
    <cfRule type="containsText" dxfId="321" priority="364" operator="containsText" text="pk01">
      <formula>NOT(ISERROR(SEARCH("pk01",E160)))</formula>
    </cfRule>
  </conditionalFormatting>
  <conditionalFormatting sqref="E162:F162">
    <cfRule type="containsText" dxfId="320" priority="357" operator="containsText" text="pk04">
      <formula>NOT(ISERROR(SEARCH("pk04",E162)))</formula>
    </cfRule>
    <cfRule type="cellIs" dxfId="319" priority="358" operator="equal">
      <formula>"pk03"</formula>
    </cfRule>
    <cfRule type="containsText" dxfId="318" priority="359" operator="containsText" text="pk02">
      <formula>NOT(ISERROR(SEARCH("pk02",E162)))</formula>
    </cfRule>
    <cfRule type="containsText" dxfId="317" priority="360" operator="containsText" text="pk01">
      <formula>NOT(ISERROR(SEARCH("pk01",E162)))</formula>
    </cfRule>
  </conditionalFormatting>
  <conditionalFormatting sqref="E164:F164">
    <cfRule type="containsText" dxfId="316" priority="353" operator="containsText" text="pk04">
      <formula>NOT(ISERROR(SEARCH("pk04",E164)))</formula>
    </cfRule>
    <cfRule type="cellIs" dxfId="315" priority="354" operator="equal">
      <formula>"pk03"</formula>
    </cfRule>
    <cfRule type="containsText" dxfId="314" priority="355" operator="containsText" text="pk02">
      <formula>NOT(ISERROR(SEARCH("pk02",E164)))</formula>
    </cfRule>
    <cfRule type="containsText" dxfId="313" priority="356" operator="containsText" text="pk01">
      <formula>NOT(ISERROR(SEARCH("pk01",E164)))</formula>
    </cfRule>
  </conditionalFormatting>
  <conditionalFormatting sqref="E166:F166">
    <cfRule type="containsText" dxfId="312" priority="349" operator="containsText" text="pk04">
      <formula>NOT(ISERROR(SEARCH("pk04",E166)))</formula>
    </cfRule>
    <cfRule type="cellIs" dxfId="311" priority="350" operator="equal">
      <formula>"pk03"</formula>
    </cfRule>
    <cfRule type="containsText" dxfId="310" priority="351" operator="containsText" text="pk02">
      <formula>NOT(ISERROR(SEARCH("pk02",E166)))</formula>
    </cfRule>
    <cfRule type="containsText" dxfId="309" priority="352" operator="containsText" text="pk01">
      <formula>NOT(ISERROR(SEARCH("pk01",E166)))</formula>
    </cfRule>
  </conditionalFormatting>
  <conditionalFormatting sqref="E168:F168">
    <cfRule type="containsText" dxfId="308" priority="345" operator="containsText" text="pk04">
      <formula>NOT(ISERROR(SEARCH("pk04",E168)))</formula>
    </cfRule>
    <cfRule type="cellIs" dxfId="307" priority="346" operator="equal">
      <formula>"pk03"</formula>
    </cfRule>
    <cfRule type="containsText" dxfId="306" priority="347" operator="containsText" text="pk02">
      <formula>NOT(ISERROR(SEARCH("pk02",E168)))</formula>
    </cfRule>
    <cfRule type="containsText" dxfId="305" priority="348" operator="containsText" text="pk01">
      <formula>NOT(ISERROR(SEARCH("pk01",E168)))</formula>
    </cfRule>
  </conditionalFormatting>
  <conditionalFormatting sqref="E170:F170">
    <cfRule type="containsText" dxfId="304" priority="341" operator="containsText" text="pk04">
      <formula>NOT(ISERROR(SEARCH("pk04",E170)))</formula>
    </cfRule>
    <cfRule type="cellIs" dxfId="303" priority="342" operator="equal">
      <formula>"pk03"</formula>
    </cfRule>
    <cfRule type="containsText" dxfId="302" priority="343" operator="containsText" text="pk02">
      <formula>NOT(ISERROR(SEARCH("pk02",E170)))</formula>
    </cfRule>
    <cfRule type="containsText" dxfId="301" priority="344" operator="containsText" text="pk01">
      <formula>NOT(ISERROR(SEARCH("pk01",E170)))</formula>
    </cfRule>
  </conditionalFormatting>
  <conditionalFormatting sqref="E172:F172">
    <cfRule type="containsText" dxfId="300" priority="337" operator="containsText" text="pk04">
      <formula>NOT(ISERROR(SEARCH("pk04",E172)))</formula>
    </cfRule>
    <cfRule type="cellIs" dxfId="299" priority="338" operator="equal">
      <formula>"pk03"</formula>
    </cfRule>
    <cfRule type="containsText" dxfId="298" priority="339" operator="containsText" text="pk02">
      <formula>NOT(ISERROR(SEARCH("pk02",E172)))</formula>
    </cfRule>
    <cfRule type="containsText" dxfId="297" priority="340" operator="containsText" text="pk01">
      <formula>NOT(ISERROR(SEARCH("pk01",E172)))</formula>
    </cfRule>
  </conditionalFormatting>
  <conditionalFormatting sqref="E174:F174">
    <cfRule type="containsText" dxfId="296" priority="333" operator="containsText" text="pk04">
      <formula>NOT(ISERROR(SEARCH("pk04",E174)))</formula>
    </cfRule>
    <cfRule type="cellIs" dxfId="295" priority="334" operator="equal">
      <formula>"pk03"</formula>
    </cfRule>
    <cfRule type="containsText" dxfId="294" priority="335" operator="containsText" text="pk02">
      <formula>NOT(ISERROR(SEARCH("pk02",E174)))</formula>
    </cfRule>
    <cfRule type="containsText" dxfId="293" priority="336" operator="containsText" text="pk01">
      <formula>NOT(ISERROR(SEARCH("pk01",E174)))</formula>
    </cfRule>
  </conditionalFormatting>
  <conditionalFormatting sqref="E176:F176">
    <cfRule type="containsText" dxfId="292" priority="329" operator="containsText" text="pk04">
      <formula>NOT(ISERROR(SEARCH("pk04",E176)))</formula>
    </cfRule>
    <cfRule type="cellIs" dxfId="291" priority="330" operator="equal">
      <formula>"pk03"</formula>
    </cfRule>
    <cfRule type="containsText" dxfId="290" priority="331" operator="containsText" text="pk02">
      <formula>NOT(ISERROR(SEARCH("pk02",E176)))</formula>
    </cfRule>
    <cfRule type="containsText" dxfId="289" priority="332" operator="containsText" text="pk01">
      <formula>NOT(ISERROR(SEARCH("pk01",E176)))</formula>
    </cfRule>
  </conditionalFormatting>
  <conditionalFormatting sqref="E178:F178">
    <cfRule type="containsText" dxfId="288" priority="325" operator="containsText" text="pk04">
      <formula>NOT(ISERROR(SEARCH("pk04",E178)))</formula>
    </cfRule>
    <cfRule type="cellIs" dxfId="287" priority="326" operator="equal">
      <formula>"pk03"</formula>
    </cfRule>
    <cfRule type="containsText" dxfId="286" priority="327" operator="containsText" text="pk02">
      <formula>NOT(ISERROR(SEARCH("pk02",E178)))</formula>
    </cfRule>
    <cfRule type="containsText" dxfId="285" priority="328" operator="containsText" text="pk01">
      <formula>NOT(ISERROR(SEARCH("pk01",E178)))</formula>
    </cfRule>
  </conditionalFormatting>
  <conditionalFormatting sqref="E179:F179">
    <cfRule type="containsText" dxfId="284" priority="321" operator="containsText" text="pk04">
      <formula>NOT(ISERROR(SEARCH("pk04",E179)))</formula>
    </cfRule>
    <cfRule type="cellIs" dxfId="283" priority="322" operator="equal">
      <formula>"pk03"</formula>
    </cfRule>
    <cfRule type="containsText" dxfId="282" priority="323" operator="containsText" text="pk02">
      <formula>NOT(ISERROR(SEARCH("pk02",E179)))</formula>
    </cfRule>
    <cfRule type="containsText" dxfId="281" priority="324" operator="containsText" text="pk01">
      <formula>NOT(ISERROR(SEARCH("pk01",E179)))</formula>
    </cfRule>
  </conditionalFormatting>
  <conditionalFormatting sqref="E181:F181">
    <cfRule type="containsText" dxfId="280" priority="317" operator="containsText" text="pk04">
      <formula>NOT(ISERROR(SEARCH("pk04",E181)))</formula>
    </cfRule>
    <cfRule type="cellIs" dxfId="279" priority="318" operator="equal">
      <formula>"pk03"</formula>
    </cfRule>
    <cfRule type="containsText" dxfId="278" priority="319" operator="containsText" text="pk02">
      <formula>NOT(ISERROR(SEARCH("pk02",E181)))</formula>
    </cfRule>
    <cfRule type="containsText" dxfId="277" priority="320" operator="containsText" text="pk01">
      <formula>NOT(ISERROR(SEARCH("pk01",E181)))</formula>
    </cfRule>
  </conditionalFormatting>
  <conditionalFormatting sqref="E183:F183">
    <cfRule type="containsText" dxfId="276" priority="313" operator="containsText" text="pk04">
      <formula>NOT(ISERROR(SEARCH("pk04",E183)))</formula>
    </cfRule>
    <cfRule type="cellIs" dxfId="275" priority="314" operator="equal">
      <formula>"pk03"</formula>
    </cfRule>
    <cfRule type="containsText" dxfId="274" priority="315" operator="containsText" text="pk02">
      <formula>NOT(ISERROR(SEARCH("pk02",E183)))</formula>
    </cfRule>
    <cfRule type="containsText" dxfId="273" priority="316" operator="containsText" text="pk01">
      <formula>NOT(ISERROR(SEARCH("pk01",E183)))</formula>
    </cfRule>
  </conditionalFormatting>
  <conditionalFormatting sqref="E185:F185">
    <cfRule type="containsText" dxfId="272" priority="309" operator="containsText" text="pk04">
      <formula>NOT(ISERROR(SEARCH("pk04",E185)))</formula>
    </cfRule>
    <cfRule type="cellIs" dxfId="271" priority="310" operator="equal">
      <formula>"pk03"</formula>
    </cfRule>
    <cfRule type="containsText" dxfId="270" priority="311" operator="containsText" text="pk02">
      <formula>NOT(ISERROR(SEARCH("pk02",E185)))</formula>
    </cfRule>
    <cfRule type="containsText" dxfId="269" priority="312" operator="containsText" text="pk01">
      <formula>NOT(ISERROR(SEARCH("pk01",E185)))</formula>
    </cfRule>
  </conditionalFormatting>
  <conditionalFormatting sqref="E187:F187">
    <cfRule type="containsText" dxfId="268" priority="305" operator="containsText" text="pk04">
      <formula>NOT(ISERROR(SEARCH("pk04",E187)))</formula>
    </cfRule>
    <cfRule type="cellIs" dxfId="267" priority="306" operator="equal">
      <formula>"pk03"</formula>
    </cfRule>
    <cfRule type="containsText" dxfId="266" priority="307" operator="containsText" text="pk02">
      <formula>NOT(ISERROR(SEARCH("pk02",E187)))</formula>
    </cfRule>
    <cfRule type="containsText" dxfId="265" priority="308" operator="containsText" text="pk01">
      <formula>NOT(ISERROR(SEARCH("pk01",E187)))</formula>
    </cfRule>
  </conditionalFormatting>
  <conditionalFormatting sqref="E198:F198">
    <cfRule type="containsText" dxfId="264" priority="301" operator="containsText" text="pk04">
      <formula>NOT(ISERROR(SEARCH("pk04",E198)))</formula>
    </cfRule>
    <cfRule type="cellIs" dxfId="263" priority="302" operator="equal">
      <formula>"pk03"</formula>
    </cfRule>
    <cfRule type="containsText" dxfId="262" priority="303" operator="containsText" text="pk02">
      <formula>NOT(ISERROR(SEARCH("pk02",E198)))</formula>
    </cfRule>
    <cfRule type="containsText" dxfId="261" priority="304" operator="containsText" text="pk01">
      <formula>NOT(ISERROR(SEARCH("pk01",E198)))</formula>
    </cfRule>
  </conditionalFormatting>
  <conditionalFormatting sqref="E199:F199">
    <cfRule type="containsText" dxfId="260" priority="297" operator="containsText" text="pk04">
      <formula>NOT(ISERROR(SEARCH("pk04",E199)))</formula>
    </cfRule>
    <cfRule type="cellIs" dxfId="259" priority="298" operator="equal">
      <formula>"pk03"</formula>
    </cfRule>
    <cfRule type="containsText" dxfId="258" priority="299" operator="containsText" text="pk02">
      <formula>NOT(ISERROR(SEARCH("pk02",E199)))</formula>
    </cfRule>
    <cfRule type="containsText" dxfId="257" priority="300" operator="containsText" text="pk01">
      <formula>NOT(ISERROR(SEARCH("pk01",E199)))</formula>
    </cfRule>
  </conditionalFormatting>
  <conditionalFormatting sqref="E200:F200">
    <cfRule type="containsText" dxfId="256" priority="293" operator="containsText" text="pk04">
      <formula>NOT(ISERROR(SEARCH("pk04",E200)))</formula>
    </cfRule>
    <cfRule type="cellIs" dxfId="255" priority="294" operator="equal">
      <formula>"pk03"</formula>
    </cfRule>
    <cfRule type="containsText" dxfId="254" priority="295" operator="containsText" text="pk02">
      <formula>NOT(ISERROR(SEARCH("pk02",E200)))</formula>
    </cfRule>
    <cfRule type="containsText" dxfId="253" priority="296" operator="containsText" text="pk01">
      <formula>NOT(ISERROR(SEARCH("pk01",E200)))</formula>
    </cfRule>
  </conditionalFormatting>
  <conditionalFormatting sqref="E201:F201">
    <cfRule type="containsText" dxfId="252" priority="289" operator="containsText" text="pk04">
      <formula>NOT(ISERROR(SEARCH("pk04",E201)))</formula>
    </cfRule>
    <cfRule type="cellIs" dxfId="251" priority="290" operator="equal">
      <formula>"pk03"</formula>
    </cfRule>
    <cfRule type="containsText" dxfId="250" priority="291" operator="containsText" text="pk02">
      <formula>NOT(ISERROR(SEARCH("pk02",E201)))</formula>
    </cfRule>
    <cfRule type="containsText" dxfId="249" priority="292" operator="containsText" text="pk01">
      <formula>NOT(ISERROR(SEARCH("pk01",E201)))</formula>
    </cfRule>
  </conditionalFormatting>
  <conditionalFormatting sqref="E202:F202">
    <cfRule type="containsText" dxfId="248" priority="285" operator="containsText" text="pk04">
      <formula>NOT(ISERROR(SEARCH("pk04",E202)))</formula>
    </cfRule>
    <cfRule type="cellIs" dxfId="247" priority="286" operator="equal">
      <formula>"pk03"</formula>
    </cfRule>
    <cfRule type="containsText" dxfId="246" priority="287" operator="containsText" text="pk02">
      <formula>NOT(ISERROR(SEARCH("pk02",E202)))</formula>
    </cfRule>
    <cfRule type="containsText" dxfId="245" priority="288" operator="containsText" text="pk01">
      <formula>NOT(ISERROR(SEARCH("pk01",E202)))</formula>
    </cfRule>
  </conditionalFormatting>
  <conditionalFormatting sqref="E203:F204">
    <cfRule type="containsText" dxfId="244" priority="281" operator="containsText" text="pk04">
      <formula>NOT(ISERROR(SEARCH("pk04",E203)))</formula>
    </cfRule>
    <cfRule type="cellIs" dxfId="243" priority="282" operator="equal">
      <formula>"pk03"</formula>
    </cfRule>
    <cfRule type="containsText" dxfId="242" priority="283" operator="containsText" text="pk02">
      <formula>NOT(ISERROR(SEARCH("pk02",E203)))</formula>
    </cfRule>
    <cfRule type="containsText" dxfId="241" priority="284" operator="containsText" text="pk01">
      <formula>NOT(ISERROR(SEARCH("pk01",E203)))</formula>
    </cfRule>
  </conditionalFormatting>
  <conditionalFormatting sqref="E225:F225">
    <cfRule type="containsText" dxfId="240" priority="277" operator="containsText" text="pk04">
      <formula>NOT(ISERROR(SEARCH("pk04",E225)))</formula>
    </cfRule>
    <cfRule type="cellIs" dxfId="239" priority="278" operator="equal">
      <formula>"pk03"</formula>
    </cfRule>
    <cfRule type="containsText" dxfId="238" priority="279" operator="containsText" text="pk02">
      <formula>NOT(ISERROR(SEARCH("pk02",E225)))</formula>
    </cfRule>
    <cfRule type="containsText" dxfId="237" priority="280" operator="containsText" text="pk01">
      <formula>NOT(ISERROR(SEARCH("pk01",E225)))</formula>
    </cfRule>
  </conditionalFormatting>
  <conditionalFormatting sqref="E224:F224">
    <cfRule type="containsText" dxfId="236" priority="273" operator="containsText" text="pk04">
      <formula>NOT(ISERROR(SEARCH("pk04",E224)))</formula>
    </cfRule>
    <cfRule type="cellIs" dxfId="235" priority="274" operator="equal">
      <formula>"pk03"</formula>
    </cfRule>
    <cfRule type="containsText" dxfId="234" priority="275" operator="containsText" text="pk02">
      <formula>NOT(ISERROR(SEARCH("pk02",E224)))</formula>
    </cfRule>
    <cfRule type="containsText" dxfId="233" priority="276" operator="containsText" text="pk01">
      <formula>NOT(ISERROR(SEARCH("pk01",E224)))</formula>
    </cfRule>
  </conditionalFormatting>
  <conditionalFormatting sqref="E227:F228">
    <cfRule type="containsText" dxfId="232" priority="269" operator="containsText" text="pk04">
      <formula>NOT(ISERROR(SEARCH("pk04",E227)))</formula>
    </cfRule>
    <cfRule type="cellIs" dxfId="231" priority="270" operator="equal">
      <formula>"pk03"</formula>
    </cfRule>
    <cfRule type="containsText" dxfId="230" priority="271" operator="containsText" text="pk02">
      <formula>NOT(ISERROR(SEARCH("pk02",E227)))</formula>
    </cfRule>
    <cfRule type="containsText" dxfId="229" priority="272" operator="containsText" text="pk01">
      <formula>NOT(ISERROR(SEARCH("pk01",E227)))</formula>
    </cfRule>
  </conditionalFormatting>
  <conditionalFormatting sqref="E232:F232">
    <cfRule type="containsText" dxfId="228" priority="265" operator="containsText" text="pk04">
      <formula>NOT(ISERROR(SEARCH("pk04",E232)))</formula>
    </cfRule>
    <cfRule type="cellIs" dxfId="227" priority="266" operator="equal">
      <formula>"pk03"</formula>
    </cfRule>
    <cfRule type="containsText" dxfId="226" priority="267" operator="containsText" text="pk02">
      <formula>NOT(ISERROR(SEARCH("pk02",E232)))</formula>
    </cfRule>
    <cfRule type="containsText" dxfId="225" priority="268" operator="containsText" text="pk01">
      <formula>NOT(ISERROR(SEARCH("pk01",E232)))</formula>
    </cfRule>
  </conditionalFormatting>
  <conditionalFormatting sqref="E234:F234">
    <cfRule type="containsText" dxfId="224" priority="261" operator="containsText" text="pk04">
      <formula>NOT(ISERROR(SEARCH("pk04",E234)))</formula>
    </cfRule>
    <cfRule type="cellIs" dxfId="223" priority="262" operator="equal">
      <formula>"pk03"</formula>
    </cfRule>
    <cfRule type="containsText" dxfId="222" priority="263" operator="containsText" text="pk02">
      <formula>NOT(ISERROR(SEARCH("pk02",E234)))</formula>
    </cfRule>
    <cfRule type="containsText" dxfId="221" priority="264" operator="containsText" text="pk01">
      <formula>NOT(ISERROR(SEARCH("pk01",E234)))</formula>
    </cfRule>
  </conditionalFormatting>
  <conditionalFormatting sqref="E236:F236">
    <cfRule type="containsText" dxfId="220" priority="257" operator="containsText" text="pk04">
      <formula>NOT(ISERROR(SEARCH("pk04",E236)))</formula>
    </cfRule>
    <cfRule type="cellIs" dxfId="219" priority="258" operator="equal">
      <formula>"pk03"</formula>
    </cfRule>
    <cfRule type="containsText" dxfId="218" priority="259" operator="containsText" text="pk02">
      <formula>NOT(ISERROR(SEARCH("pk02",E236)))</formula>
    </cfRule>
    <cfRule type="containsText" dxfId="217" priority="260" operator="containsText" text="pk01">
      <formula>NOT(ISERROR(SEARCH("pk01",E236)))</formula>
    </cfRule>
  </conditionalFormatting>
  <conditionalFormatting sqref="E238:F238">
    <cfRule type="containsText" dxfId="216" priority="253" operator="containsText" text="pk04">
      <formula>NOT(ISERROR(SEARCH("pk04",E238)))</formula>
    </cfRule>
    <cfRule type="cellIs" dxfId="215" priority="254" operator="equal">
      <formula>"pk03"</formula>
    </cfRule>
    <cfRule type="containsText" dxfId="214" priority="255" operator="containsText" text="pk02">
      <formula>NOT(ISERROR(SEARCH("pk02",E238)))</formula>
    </cfRule>
    <cfRule type="containsText" dxfId="213" priority="256" operator="containsText" text="pk01">
      <formula>NOT(ISERROR(SEARCH("pk01",E238)))</formula>
    </cfRule>
  </conditionalFormatting>
  <conditionalFormatting sqref="E240:F240">
    <cfRule type="containsText" dxfId="212" priority="249" operator="containsText" text="pk04">
      <formula>NOT(ISERROR(SEARCH("pk04",E240)))</formula>
    </cfRule>
    <cfRule type="cellIs" dxfId="211" priority="250" operator="equal">
      <formula>"pk03"</formula>
    </cfRule>
    <cfRule type="containsText" dxfId="210" priority="251" operator="containsText" text="pk02">
      <formula>NOT(ISERROR(SEARCH("pk02",E240)))</formula>
    </cfRule>
    <cfRule type="containsText" dxfId="209" priority="252" operator="containsText" text="pk01">
      <formula>NOT(ISERROR(SEARCH("pk01",E240)))</formula>
    </cfRule>
  </conditionalFormatting>
  <conditionalFormatting sqref="E242:F242">
    <cfRule type="containsText" dxfId="208" priority="245" operator="containsText" text="pk04">
      <formula>NOT(ISERROR(SEARCH("pk04",E242)))</formula>
    </cfRule>
    <cfRule type="cellIs" dxfId="207" priority="246" operator="equal">
      <formula>"pk03"</formula>
    </cfRule>
    <cfRule type="containsText" dxfId="206" priority="247" operator="containsText" text="pk02">
      <formula>NOT(ISERROR(SEARCH("pk02",E242)))</formula>
    </cfRule>
    <cfRule type="containsText" dxfId="205" priority="248" operator="containsText" text="pk01">
      <formula>NOT(ISERROR(SEARCH("pk01",E242)))</formula>
    </cfRule>
  </conditionalFormatting>
  <conditionalFormatting sqref="E243:F243">
    <cfRule type="containsText" dxfId="204" priority="241" operator="containsText" text="pk04">
      <formula>NOT(ISERROR(SEARCH("pk04",E243)))</formula>
    </cfRule>
    <cfRule type="cellIs" dxfId="203" priority="242" operator="equal">
      <formula>"pk03"</formula>
    </cfRule>
    <cfRule type="containsText" dxfId="202" priority="243" operator="containsText" text="pk02">
      <formula>NOT(ISERROR(SEARCH("pk02",E243)))</formula>
    </cfRule>
    <cfRule type="containsText" dxfId="201" priority="244" operator="containsText" text="pk01">
      <formula>NOT(ISERROR(SEARCH("pk01",E243)))</formula>
    </cfRule>
  </conditionalFormatting>
  <conditionalFormatting sqref="E245:F245">
    <cfRule type="containsText" dxfId="200" priority="237" operator="containsText" text="pk04">
      <formula>NOT(ISERROR(SEARCH("pk04",E245)))</formula>
    </cfRule>
    <cfRule type="cellIs" dxfId="199" priority="238" operator="equal">
      <formula>"pk03"</formula>
    </cfRule>
    <cfRule type="containsText" dxfId="198" priority="239" operator="containsText" text="pk02">
      <formula>NOT(ISERROR(SEARCH("pk02",E245)))</formula>
    </cfRule>
    <cfRule type="containsText" dxfId="197" priority="240" operator="containsText" text="pk01">
      <formula>NOT(ISERROR(SEARCH("pk01",E245)))</formula>
    </cfRule>
  </conditionalFormatting>
  <conditionalFormatting sqref="E247:F247">
    <cfRule type="containsText" dxfId="196" priority="233" operator="containsText" text="pk04">
      <formula>NOT(ISERROR(SEARCH("pk04",E247)))</formula>
    </cfRule>
    <cfRule type="cellIs" dxfId="195" priority="234" operator="equal">
      <formula>"pk03"</formula>
    </cfRule>
    <cfRule type="containsText" dxfId="194" priority="235" operator="containsText" text="pk02">
      <formula>NOT(ISERROR(SEARCH("pk02",E247)))</formula>
    </cfRule>
    <cfRule type="containsText" dxfId="193" priority="236" operator="containsText" text="pk01">
      <formula>NOT(ISERROR(SEARCH("pk01",E247)))</formula>
    </cfRule>
  </conditionalFormatting>
  <conditionalFormatting sqref="E249:F249">
    <cfRule type="containsText" dxfId="192" priority="229" operator="containsText" text="pk04">
      <formula>NOT(ISERROR(SEARCH("pk04",E249)))</formula>
    </cfRule>
    <cfRule type="cellIs" dxfId="191" priority="230" operator="equal">
      <formula>"pk03"</formula>
    </cfRule>
    <cfRule type="containsText" dxfId="190" priority="231" operator="containsText" text="pk02">
      <formula>NOT(ISERROR(SEARCH("pk02",E249)))</formula>
    </cfRule>
    <cfRule type="containsText" dxfId="189" priority="232" operator="containsText" text="pk01">
      <formula>NOT(ISERROR(SEARCH("pk01",E249)))</formula>
    </cfRule>
  </conditionalFormatting>
  <conditionalFormatting sqref="E251:F251">
    <cfRule type="containsText" dxfId="188" priority="225" operator="containsText" text="pk04">
      <formula>NOT(ISERROR(SEARCH("pk04",E251)))</formula>
    </cfRule>
    <cfRule type="cellIs" dxfId="187" priority="226" operator="equal">
      <formula>"pk03"</formula>
    </cfRule>
    <cfRule type="containsText" dxfId="186" priority="227" operator="containsText" text="pk02">
      <formula>NOT(ISERROR(SEARCH("pk02",E251)))</formula>
    </cfRule>
    <cfRule type="containsText" dxfId="185" priority="228" operator="containsText" text="pk01">
      <formula>NOT(ISERROR(SEARCH("pk01",E251)))</formula>
    </cfRule>
  </conditionalFormatting>
  <conditionalFormatting sqref="E253:F253">
    <cfRule type="containsText" dxfId="184" priority="221" operator="containsText" text="pk04">
      <formula>NOT(ISERROR(SEARCH("pk04",E253)))</formula>
    </cfRule>
    <cfRule type="cellIs" dxfId="183" priority="222" operator="equal">
      <formula>"pk03"</formula>
    </cfRule>
    <cfRule type="containsText" dxfId="182" priority="223" operator="containsText" text="pk02">
      <formula>NOT(ISERROR(SEARCH("pk02",E253)))</formula>
    </cfRule>
    <cfRule type="containsText" dxfId="181" priority="224" operator="containsText" text="pk01">
      <formula>NOT(ISERROR(SEARCH("pk01",E253)))</formula>
    </cfRule>
  </conditionalFormatting>
  <conditionalFormatting sqref="E255:F255">
    <cfRule type="containsText" dxfId="180" priority="217" operator="containsText" text="pk04">
      <formula>NOT(ISERROR(SEARCH("pk04",E255)))</formula>
    </cfRule>
    <cfRule type="cellIs" dxfId="179" priority="218" operator="equal">
      <formula>"pk03"</formula>
    </cfRule>
    <cfRule type="containsText" dxfId="178" priority="219" operator="containsText" text="pk02">
      <formula>NOT(ISERROR(SEARCH("pk02",E255)))</formula>
    </cfRule>
    <cfRule type="containsText" dxfId="177" priority="220" operator="containsText" text="pk01">
      <formula>NOT(ISERROR(SEARCH("pk01",E255)))</formula>
    </cfRule>
  </conditionalFormatting>
  <conditionalFormatting sqref="E257:F257">
    <cfRule type="containsText" dxfId="176" priority="213" operator="containsText" text="pk04">
      <formula>NOT(ISERROR(SEARCH("pk04",E257)))</formula>
    </cfRule>
    <cfRule type="cellIs" dxfId="175" priority="214" operator="equal">
      <formula>"pk03"</formula>
    </cfRule>
    <cfRule type="containsText" dxfId="174" priority="215" operator="containsText" text="pk02">
      <formula>NOT(ISERROR(SEARCH("pk02",E257)))</formula>
    </cfRule>
    <cfRule type="containsText" dxfId="173" priority="216" operator="containsText" text="pk01">
      <formula>NOT(ISERROR(SEARCH("pk01",E257)))</formula>
    </cfRule>
  </conditionalFormatting>
  <conditionalFormatting sqref="E259:F259">
    <cfRule type="containsText" dxfId="172" priority="209" operator="containsText" text="pk04">
      <formula>NOT(ISERROR(SEARCH("pk04",E259)))</formula>
    </cfRule>
    <cfRule type="cellIs" dxfId="171" priority="210" operator="equal">
      <formula>"pk03"</formula>
    </cfRule>
    <cfRule type="containsText" dxfId="170" priority="211" operator="containsText" text="pk02">
      <formula>NOT(ISERROR(SEARCH("pk02",E259)))</formula>
    </cfRule>
    <cfRule type="containsText" dxfId="169" priority="212" operator="containsText" text="pk01">
      <formula>NOT(ISERROR(SEARCH("pk01",E259)))</formula>
    </cfRule>
  </conditionalFormatting>
  <conditionalFormatting sqref="E261:F261">
    <cfRule type="containsText" dxfId="168" priority="205" operator="containsText" text="pk04">
      <formula>NOT(ISERROR(SEARCH("pk04",E261)))</formula>
    </cfRule>
    <cfRule type="cellIs" dxfId="167" priority="206" operator="equal">
      <formula>"pk03"</formula>
    </cfRule>
    <cfRule type="containsText" dxfId="166" priority="207" operator="containsText" text="pk02">
      <formula>NOT(ISERROR(SEARCH("pk02",E261)))</formula>
    </cfRule>
    <cfRule type="containsText" dxfId="165" priority="208" operator="containsText" text="pk01">
      <formula>NOT(ISERROR(SEARCH("pk01",E261)))</formula>
    </cfRule>
  </conditionalFormatting>
  <conditionalFormatting sqref="E269:F269">
    <cfRule type="containsText" dxfId="164" priority="201" operator="containsText" text="pk04">
      <formula>NOT(ISERROR(SEARCH("pk04",E269)))</formula>
    </cfRule>
    <cfRule type="cellIs" dxfId="163" priority="202" operator="equal">
      <formula>"pk03"</formula>
    </cfRule>
    <cfRule type="containsText" dxfId="162" priority="203" operator="containsText" text="pk02">
      <formula>NOT(ISERROR(SEARCH("pk02",E269)))</formula>
    </cfRule>
    <cfRule type="containsText" dxfId="161" priority="204" operator="containsText" text="pk01">
      <formula>NOT(ISERROR(SEARCH("pk01",E269)))</formula>
    </cfRule>
  </conditionalFormatting>
  <conditionalFormatting sqref="E268:F268">
    <cfRule type="containsText" dxfId="160" priority="197" operator="containsText" text="pk04">
      <formula>NOT(ISERROR(SEARCH("pk04",E268)))</formula>
    </cfRule>
    <cfRule type="cellIs" dxfId="159" priority="198" operator="equal">
      <formula>"pk03"</formula>
    </cfRule>
    <cfRule type="containsText" dxfId="158" priority="199" operator="containsText" text="pk02">
      <formula>NOT(ISERROR(SEARCH("pk02",E268)))</formula>
    </cfRule>
    <cfRule type="containsText" dxfId="157" priority="200" operator="containsText" text="pk01">
      <formula>NOT(ISERROR(SEARCH("pk01",E268)))</formula>
    </cfRule>
  </conditionalFormatting>
  <conditionalFormatting sqref="E271:F272">
    <cfRule type="containsText" dxfId="156" priority="193" operator="containsText" text="pk04">
      <formula>NOT(ISERROR(SEARCH("pk04",E271)))</formula>
    </cfRule>
    <cfRule type="cellIs" dxfId="155" priority="194" operator="equal">
      <formula>"pk03"</formula>
    </cfRule>
    <cfRule type="containsText" dxfId="154" priority="195" operator="containsText" text="pk02">
      <formula>NOT(ISERROR(SEARCH("pk02",E271)))</formula>
    </cfRule>
    <cfRule type="containsText" dxfId="153" priority="196" operator="containsText" text="pk01">
      <formula>NOT(ISERROR(SEARCH("pk01",E271)))</formula>
    </cfRule>
  </conditionalFormatting>
  <conditionalFormatting sqref="E276:F276">
    <cfRule type="containsText" dxfId="152" priority="189" operator="containsText" text="pk04">
      <formula>NOT(ISERROR(SEARCH("pk04",E276)))</formula>
    </cfRule>
    <cfRule type="cellIs" dxfId="151" priority="190" operator="equal">
      <formula>"pk03"</formula>
    </cfRule>
    <cfRule type="containsText" dxfId="150" priority="191" operator="containsText" text="pk02">
      <formula>NOT(ISERROR(SEARCH("pk02",E276)))</formula>
    </cfRule>
    <cfRule type="containsText" dxfId="149" priority="192" operator="containsText" text="pk01">
      <formula>NOT(ISERROR(SEARCH("pk01",E276)))</formula>
    </cfRule>
  </conditionalFormatting>
  <conditionalFormatting sqref="E278:F278">
    <cfRule type="containsText" dxfId="148" priority="185" operator="containsText" text="pk04">
      <formula>NOT(ISERROR(SEARCH("pk04",E278)))</formula>
    </cfRule>
    <cfRule type="cellIs" dxfId="147" priority="186" operator="equal">
      <formula>"pk03"</formula>
    </cfRule>
    <cfRule type="containsText" dxfId="146" priority="187" operator="containsText" text="pk02">
      <formula>NOT(ISERROR(SEARCH("pk02",E278)))</formula>
    </cfRule>
    <cfRule type="containsText" dxfId="145" priority="188" operator="containsText" text="pk01">
      <formula>NOT(ISERROR(SEARCH("pk01",E278)))</formula>
    </cfRule>
  </conditionalFormatting>
  <conditionalFormatting sqref="E280:F280">
    <cfRule type="containsText" dxfId="144" priority="181" operator="containsText" text="pk04">
      <formula>NOT(ISERROR(SEARCH("pk04",E280)))</formula>
    </cfRule>
    <cfRule type="cellIs" dxfId="143" priority="182" operator="equal">
      <formula>"pk03"</formula>
    </cfRule>
    <cfRule type="containsText" dxfId="142" priority="183" operator="containsText" text="pk02">
      <formula>NOT(ISERROR(SEARCH("pk02",E280)))</formula>
    </cfRule>
    <cfRule type="containsText" dxfId="141" priority="184" operator="containsText" text="pk01">
      <formula>NOT(ISERROR(SEARCH("pk01",E280)))</formula>
    </cfRule>
  </conditionalFormatting>
  <conditionalFormatting sqref="E282:F282">
    <cfRule type="containsText" dxfId="140" priority="177" operator="containsText" text="pk04">
      <formula>NOT(ISERROR(SEARCH("pk04",E282)))</formula>
    </cfRule>
    <cfRule type="cellIs" dxfId="139" priority="178" operator="equal">
      <formula>"pk03"</formula>
    </cfRule>
    <cfRule type="containsText" dxfId="138" priority="179" operator="containsText" text="pk02">
      <formula>NOT(ISERROR(SEARCH("pk02",E282)))</formula>
    </cfRule>
    <cfRule type="containsText" dxfId="137" priority="180" operator="containsText" text="pk01">
      <formula>NOT(ISERROR(SEARCH("pk01",E282)))</formula>
    </cfRule>
  </conditionalFormatting>
  <conditionalFormatting sqref="E284:F284">
    <cfRule type="containsText" dxfId="136" priority="173" operator="containsText" text="pk04">
      <formula>NOT(ISERROR(SEARCH("pk04",E284)))</formula>
    </cfRule>
    <cfRule type="cellIs" dxfId="135" priority="174" operator="equal">
      <formula>"pk03"</formula>
    </cfRule>
    <cfRule type="containsText" dxfId="134" priority="175" operator="containsText" text="pk02">
      <formula>NOT(ISERROR(SEARCH("pk02",E284)))</formula>
    </cfRule>
    <cfRule type="containsText" dxfId="133" priority="176" operator="containsText" text="pk01">
      <formula>NOT(ISERROR(SEARCH("pk01",E284)))</formula>
    </cfRule>
  </conditionalFormatting>
  <conditionalFormatting sqref="E286:F286">
    <cfRule type="containsText" dxfId="132" priority="169" operator="containsText" text="pk04">
      <formula>NOT(ISERROR(SEARCH("pk04",E286)))</formula>
    </cfRule>
    <cfRule type="cellIs" dxfId="131" priority="170" operator="equal">
      <formula>"pk03"</formula>
    </cfRule>
    <cfRule type="containsText" dxfId="130" priority="171" operator="containsText" text="pk02">
      <formula>NOT(ISERROR(SEARCH("pk02",E286)))</formula>
    </cfRule>
    <cfRule type="containsText" dxfId="129" priority="172" operator="containsText" text="pk01">
      <formula>NOT(ISERROR(SEARCH("pk01",E286)))</formula>
    </cfRule>
  </conditionalFormatting>
  <conditionalFormatting sqref="E288:F288">
    <cfRule type="containsText" dxfId="128" priority="165" operator="containsText" text="pk04">
      <formula>NOT(ISERROR(SEARCH("pk04",E288)))</formula>
    </cfRule>
    <cfRule type="cellIs" dxfId="127" priority="166" operator="equal">
      <formula>"pk03"</formula>
    </cfRule>
    <cfRule type="containsText" dxfId="126" priority="167" operator="containsText" text="pk02">
      <formula>NOT(ISERROR(SEARCH("pk02",E288)))</formula>
    </cfRule>
    <cfRule type="containsText" dxfId="125" priority="168" operator="containsText" text="pk01">
      <formula>NOT(ISERROR(SEARCH("pk01",E288)))</formula>
    </cfRule>
  </conditionalFormatting>
  <conditionalFormatting sqref="E290:F290">
    <cfRule type="containsText" dxfId="124" priority="161" operator="containsText" text="pk04">
      <formula>NOT(ISERROR(SEARCH("pk04",E290)))</formula>
    </cfRule>
    <cfRule type="cellIs" dxfId="123" priority="162" operator="equal">
      <formula>"pk03"</formula>
    </cfRule>
    <cfRule type="containsText" dxfId="122" priority="163" operator="containsText" text="pk02">
      <formula>NOT(ISERROR(SEARCH("pk02",E290)))</formula>
    </cfRule>
    <cfRule type="containsText" dxfId="121" priority="164" operator="containsText" text="pk01">
      <formula>NOT(ISERROR(SEARCH("pk01",E290)))</formula>
    </cfRule>
  </conditionalFormatting>
  <conditionalFormatting sqref="E292:F292">
    <cfRule type="containsText" dxfId="120" priority="157" operator="containsText" text="pk04">
      <formula>NOT(ISERROR(SEARCH("pk04",E292)))</formula>
    </cfRule>
    <cfRule type="cellIs" dxfId="119" priority="158" operator="equal">
      <formula>"pk03"</formula>
    </cfRule>
    <cfRule type="containsText" dxfId="118" priority="159" operator="containsText" text="pk02">
      <formula>NOT(ISERROR(SEARCH("pk02",E292)))</formula>
    </cfRule>
    <cfRule type="containsText" dxfId="117" priority="160" operator="containsText" text="pk01">
      <formula>NOT(ISERROR(SEARCH("pk01",E292)))</formula>
    </cfRule>
  </conditionalFormatting>
  <conditionalFormatting sqref="E294:F294">
    <cfRule type="containsText" dxfId="116" priority="153" operator="containsText" text="pk04">
      <formula>NOT(ISERROR(SEARCH("pk04",E294)))</formula>
    </cfRule>
    <cfRule type="cellIs" dxfId="115" priority="154" operator="equal">
      <formula>"pk03"</formula>
    </cfRule>
    <cfRule type="containsText" dxfId="114" priority="155" operator="containsText" text="pk02">
      <formula>NOT(ISERROR(SEARCH("pk02",E294)))</formula>
    </cfRule>
    <cfRule type="containsText" dxfId="113" priority="156" operator="containsText" text="pk01">
      <formula>NOT(ISERROR(SEARCH("pk01",E294)))</formula>
    </cfRule>
  </conditionalFormatting>
  <conditionalFormatting sqref="E296:F296">
    <cfRule type="containsText" dxfId="112" priority="149" operator="containsText" text="pk04">
      <formula>NOT(ISERROR(SEARCH("pk04",E296)))</formula>
    </cfRule>
    <cfRule type="cellIs" dxfId="111" priority="150" operator="equal">
      <formula>"pk03"</formula>
    </cfRule>
    <cfRule type="containsText" dxfId="110" priority="151" operator="containsText" text="pk02">
      <formula>NOT(ISERROR(SEARCH("pk02",E296)))</formula>
    </cfRule>
    <cfRule type="containsText" dxfId="109" priority="152" operator="containsText" text="pk01">
      <formula>NOT(ISERROR(SEARCH("pk01",E296)))</formula>
    </cfRule>
  </conditionalFormatting>
  <conditionalFormatting sqref="E298:F298">
    <cfRule type="containsText" dxfId="108" priority="145" operator="containsText" text="pk04">
      <formula>NOT(ISERROR(SEARCH("pk04",E298)))</formula>
    </cfRule>
    <cfRule type="cellIs" dxfId="107" priority="146" operator="equal">
      <formula>"pk03"</formula>
    </cfRule>
    <cfRule type="containsText" dxfId="106" priority="147" operator="containsText" text="pk02">
      <formula>NOT(ISERROR(SEARCH("pk02",E298)))</formula>
    </cfRule>
    <cfRule type="containsText" dxfId="105" priority="148" operator="containsText" text="pk01">
      <formula>NOT(ISERROR(SEARCH("pk01",E298)))</formula>
    </cfRule>
  </conditionalFormatting>
  <conditionalFormatting sqref="E299:F299">
    <cfRule type="containsText" dxfId="104" priority="141" operator="containsText" text="pk04">
      <formula>NOT(ISERROR(SEARCH("pk04",E299)))</formula>
    </cfRule>
    <cfRule type="cellIs" dxfId="103" priority="142" operator="equal">
      <formula>"pk03"</formula>
    </cfRule>
    <cfRule type="containsText" dxfId="102" priority="143" operator="containsText" text="pk02">
      <formula>NOT(ISERROR(SEARCH("pk02",E299)))</formula>
    </cfRule>
    <cfRule type="containsText" dxfId="101" priority="144" operator="containsText" text="pk01">
      <formula>NOT(ISERROR(SEARCH("pk01",E299)))</formula>
    </cfRule>
  </conditionalFormatting>
  <conditionalFormatting sqref="E301:F301">
    <cfRule type="containsText" dxfId="100" priority="137" operator="containsText" text="pk04">
      <formula>NOT(ISERROR(SEARCH("pk04",E301)))</formula>
    </cfRule>
    <cfRule type="cellIs" dxfId="99" priority="138" operator="equal">
      <formula>"pk03"</formula>
    </cfRule>
    <cfRule type="containsText" dxfId="98" priority="139" operator="containsText" text="pk02">
      <formula>NOT(ISERROR(SEARCH("pk02",E301)))</formula>
    </cfRule>
    <cfRule type="containsText" dxfId="97" priority="140" operator="containsText" text="pk01">
      <formula>NOT(ISERROR(SEARCH("pk01",E301)))</formula>
    </cfRule>
  </conditionalFormatting>
  <conditionalFormatting sqref="E303:F303">
    <cfRule type="containsText" dxfId="96" priority="133" operator="containsText" text="pk04">
      <formula>NOT(ISERROR(SEARCH("pk04",E303)))</formula>
    </cfRule>
    <cfRule type="cellIs" dxfId="95" priority="134" operator="equal">
      <formula>"pk03"</formula>
    </cfRule>
    <cfRule type="containsText" dxfId="94" priority="135" operator="containsText" text="pk02">
      <formula>NOT(ISERROR(SEARCH("pk02",E303)))</formula>
    </cfRule>
    <cfRule type="containsText" dxfId="93" priority="136" operator="containsText" text="pk01">
      <formula>NOT(ISERROR(SEARCH("pk01",E303)))</formula>
    </cfRule>
  </conditionalFormatting>
  <conditionalFormatting sqref="E305:F305">
    <cfRule type="containsText" dxfId="92" priority="129" operator="containsText" text="pk04">
      <formula>NOT(ISERROR(SEARCH("pk04",E305)))</formula>
    </cfRule>
    <cfRule type="cellIs" dxfId="91" priority="130" operator="equal">
      <formula>"pk03"</formula>
    </cfRule>
    <cfRule type="containsText" dxfId="90" priority="131" operator="containsText" text="pk02">
      <formula>NOT(ISERROR(SEARCH("pk02",E305)))</formula>
    </cfRule>
    <cfRule type="containsText" dxfId="89" priority="132" operator="containsText" text="pk01">
      <formula>NOT(ISERROR(SEARCH("pk01",E305)))</formula>
    </cfRule>
  </conditionalFormatting>
  <conditionalFormatting sqref="E310:F310">
    <cfRule type="containsText" dxfId="88" priority="125" operator="containsText" text="pk04">
      <formula>NOT(ISERROR(SEARCH("pk04",E310)))</formula>
    </cfRule>
    <cfRule type="cellIs" dxfId="87" priority="126" operator="equal">
      <formula>"pk03"</formula>
    </cfRule>
    <cfRule type="containsText" dxfId="86" priority="127" operator="containsText" text="pk02">
      <formula>NOT(ISERROR(SEARCH("pk02",E310)))</formula>
    </cfRule>
    <cfRule type="containsText" dxfId="85" priority="128" operator="containsText" text="pk01">
      <formula>NOT(ISERROR(SEARCH("pk01",E310)))</formula>
    </cfRule>
  </conditionalFormatting>
  <conditionalFormatting sqref="E311:F312">
    <cfRule type="containsText" dxfId="84" priority="121" operator="containsText" text="pk04">
      <formula>NOT(ISERROR(SEARCH("pk04",E311)))</formula>
    </cfRule>
    <cfRule type="cellIs" dxfId="83" priority="122" operator="equal">
      <formula>"pk03"</formula>
    </cfRule>
    <cfRule type="containsText" dxfId="82" priority="123" operator="containsText" text="pk02">
      <formula>NOT(ISERROR(SEARCH("pk02",E311)))</formula>
    </cfRule>
    <cfRule type="containsText" dxfId="81" priority="124" operator="containsText" text="pk01">
      <formula>NOT(ISERROR(SEARCH("pk01",E311)))</formula>
    </cfRule>
  </conditionalFormatting>
  <conditionalFormatting sqref="D43">
    <cfRule type="containsText" dxfId="80" priority="117" operator="containsText" text="pk04">
      <formula>NOT(ISERROR(SEARCH("pk04",D43)))</formula>
    </cfRule>
    <cfRule type="cellIs" dxfId="79" priority="118" operator="equal">
      <formula>"pk03"</formula>
    </cfRule>
    <cfRule type="containsText" dxfId="78" priority="119" operator="containsText" text="pk02">
      <formula>NOT(ISERROR(SEARCH("pk02",D43)))</formula>
    </cfRule>
    <cfRule type="containsText" dxfId="77" priority="120" operator="containsText" text="pk01">
      <formula>NOT(ISERROR(SEARCH("pk01",D43)))</formula>
    </cfRule>
  </conditionalFormatting>
  <conditionalFormatting sqref="E43:F43">
    <cfRule type="containsText" dxfId="76" priority="113" operator="containsText" text="pk04">
      <formula>NOT(ISERROR(SEARCH("pk04",E43)))</formula>
    </cfRule>
    <cfRule type="cellIs" dxfId="75" priority="114" operator="equal">
      <formula>"pk03"</formula>
    </cfRule>
    <cfRule type="containsText" dxfId="74" priority="115" operator="containsText" text="pk02">
      <formula>NOT(ISERROR(SEARCH("pk02",E43)))</formula>
    </cfRule>
    <cfRule type="containsText" dxfId="73" priority="116" operator="containsText" text="pk01">
      <formula>NOT(ISERROR(SEARCH("pk01",E43)))</formula>
    </cfRule>
  </conditionalFormatting>
  <conditionalFormatting sqref="D313:D314">
    <cfRule type="containsText" dxfId="72" priority="109" operator="containsText" text="pk04">
      <formula>NOT(ISERROR(SEARCH("pk04",D313)))</formula>
    </cfRule>
    <cfRule type="cellIs" dxfId="71" priority="110" operator="equal">
      <formula>"pk03"</formula>
    </cfRule>
    <cfRule type="containsText" dxfId="70" priority="111" operator="containsText" text="pk02">
      <formula>NOT(ISERROR(SEARCH("pk02",D313)))</formula>
    </cfRule>
    <cfRule type="containsText" dxfId="69" priority="112" operator="containsText" text="pk01">
      <formula>NOT(ISERROR(SEARCH("pk01",D313)))</formula>
    </cfRule>
  </conditionalFormatting>
  <conditionalFormatting sqref="D338">
    <cfRule type="containsText" dxfId="68" priority="93" operator="containsText" text="pk04">
      <formula>NOT(ISERROR(SEARCH("pk04",D338)))</formula>
    </cfRule>
    <cfRule type="cellIs" dxfId="67" priority="94" operator="equal">
      <formula>"pk03"</formula>
    </cfRule>
    <cfRule type="containsText" dxfId="66" priority="95" operator="containsText" text="pk02">
      <formula>NOT(ISERROR(SEARCH("pk02",D338)))</formula>
    </cfRule>
    <cfRule type="containsText" dxfId="65" priority="96" operator="containsText" text="pk01">
      <formula>NOT(ISERROR(SEARCH("pk01",D338)))</formula>
    </cfRule>
  </conditionalFormatting>
  <conditionalFormatting sqref="D340">
    <cfRule type="containsText" dxfId="64" priority="81" operator="containsText" text="pk04">
      <formula>NOT(ISERROR(SEARCH("pk04",D340)))</formula>
    </cfRule>
    <cfRule type="cellIs" dxfId="63" priority="82" operator="equal">
      <formula>"pk03"</formula>
    </cfRule>
    <cfRule type="containsText" dxfId="62" priority="83" operator="containsText" text="pk02">
      <formula>NOT(ISERROR(SEARCH("pk02",D340)))</formula>
    </cfRule>
    <cfRule type="containsText" dxfId="61" priority="84" operator="containsText" text="pk01">
      <formula>NOT(ISERROR(SEARCH("pk01",D340)))</formula>
    </cfRule>
  </conditionalFormatting>
  <conditionalFormatting sqref="D339">
    <cfRule type="containsText" dxfId="60" priority="85" operator="containsText" text="pk04">
      <formula>NOT(ISERROR(SEARCH("pk04",D339)))</formula>
    </cfRule>
    <cfRule type="cellIs" dxfId="59" priority="86" operator="equal">
      <formula>"pk03"</formula>
    </cfRule>
    <cfRule type="containsText" dxfId="58" priority="87" operator="containsText" text="pk02">
      <formula>NOT(ISERROR(SEARCH("pk02",D339)))</formula>
    </cfRule>
    <cfRule type="containsText" dxfId="57" priority="88" operator="containsText" text="pk01">
      <formula>NOT(ISERROR(SEARCH("pk01",D339)))</formula>
    </cfRule>
  </conditionalFormatting>
  <conditionalFormatting sqref="D344">
    <cfRule type="containsText" dxfId="56" priority="73" operator="containsText" text="pk04">
      <formula>NOT(ISERROR(SEARCH("pk04",D344)))</formula>
    </cfRule>
    <cfRule type="cellIs" dxfId="55" priority="74" operator="equal">
      <formula>"pk03"</formula>
    </cfRule>
    <cfRule type="containsText" dxfId="54" priority="75" operator="containsText" text="pk02">
      <formula>NOT(ISERROR(SEARCH("pk02",D344)))</formula>
    </cfRule>
    <cfRule type="containsText" dxfId="53" priority="76" operator="containsText" text="pk01">
      <formula>NOT(ISERROR(SEARCH("pk01",D344)))</formula>
    </cfRule>
  </conditionalFormatting>
  <conditionalFormatting sqref="D343">
    <cfRule type="containsText" dxfId="52" priority="69" operator="containsText" text="pk04">
      <formula>NOT(ISERROR(SEARCH("pk04",D343)))</formula>
    </cfRule>
    <cfRule type="cellIs" dxfId="51" priority="70" operator="equal">
      <formula>"pk03"</formula>
    </cfRule>
    <cfRule type="containsText" dxfId="50" priority="71" operator="containsText" text="pk02">
      <formula>NOT(ISERROR(SEARCH("pk02",D343)))</formula>
    </cfRule>
    <cfRule type="containsText" dxfId="49" priority="72" operator="containsText" text="pk01">
      <formula>NOT(ISERROR(SEARCH("pk01",D343)))</formula>
    </cfRule>
  </conditionalFormatting>
  <conditionalFormatting sqref="D346">
    <cfRule type="containsText" dxfId="48" priority="65" operator="containsText" text="pk04">
      <formula>NOT(ISERROR(SEARCH("pk04",D346)))</formula>
    </cfRule>
    <cfRule type="cellIs" dxfId="47" priority="66" operator="equal">
      <formula>"pk03"</formula>
    </cfRule>
    <cfRule type="containsText" dxfId="46" priority="67" operator="containsText" text="pk02">
      <formula>NOT(ISERROR(SEARCH("pk02",D346)))</formula>
    </cfRule>
    <cfRule type="containsText" dxfId="45" priority="68" operator="containsText" text="pk01">
      <formula>NOT(ISERROR(SEARCH("pk01",D346)))</formula>
    </cfRule>
  </conditionalFormatting>
  <conditionalFormatting sqref="D345">
    <cfRule type="containsText" dxfId="44" priority="57" operator="containsText" text="pk04">
      <formula>NOT(ISERROR(SEARCH("pk04",D345)))</formula>
    </cfRule>
    <cfRule type="cellIs" dxfId="43" priority="58" operator="equal">
      <formula>"pk03"</formula>
    </cfRule>
    <cfRule type="containsText" dxfId="42" priority="59" operator="containsText" text="pk02">
      <formula>NOT(ISERROR(SEARCH("pk02",D345)))</formula>
    </cfRule>
    <cfRule type="containsText" dxfId="41" priority="60" operator="containsText" text="pk01">
      <formula>NOT(ISERROR(SEARCH("pk01",D345)))</formula>
    </cfRule>
  </conditionalFormatting>
  <conditionalFormatting sqref="E342">
    <cfRule type="containsText" dxfId="40" priority="53" operator="containsText" text="pk04">
      <formula>NOT(ISERROR(SEARCH("pk04",E342)))</formula>
    </cfRule>
    <cfRule type="cellIs" dxfId="39" priority="54" operator="equal">
      <formula>"pk03"</formula>
    </cfRule>
    <cfRule type="containsText" dxfId="38" priority="55" operator="containsText" text="pk02">
      <formula>NOT(ISERROR(SEARCH("pk02",E342)))</formula>
    </cfRule>
    <cfRule type="containsText" dxfId="37" priority="56" operator="containsText" text="pk01">
      <formula>NOT(ISERROR(SEARCH("pk01",E342)))</formula>
    </cfRule>
  </conditionalFormatting>
  <conditionalFormatting sqref="E344">
    <cfRule type="containsText" dxfId="36" priority="49" operator="containsText" text="pk04">
      <formula>NOT(ISERROR(SEARCH("pk04",E344)))</formula>
    </cfRule>
    <cfRule type="cellIs" dxfId="35" priority="50" operator="equal">
      <formula>"pk03"</formula>
    </cfRule>
    <cfRule type="containsText" dxfId="34" priority="51" operator="containsText" text="pk02">
      <formula>NOT(ISERROR(SEARCH("pk02",E344)))</formula>
    </cfRule>
    <cfRule type="containsText" dxfId="33" priority="52" operator="containsText" text="pk01">
      <formula>NOT(ISERROR(SEARCH("pk01",E344)))</formula>
    </cfRule>
  </conditionalFormatting>
  <conditionalFormatting sqref="E343">
    <cfRule type="containsText" dxfId="32" priority="45" operator="containsText" text="pk04">
      <formula>NOT(ISERROR(SEARCH("pk04",E343)))</formula>
    </cfRule>
    <cfRule type="cellIs" dxfId="31" priority="46" operator="equal">
      <formula>"pk03"</formula>
    </cfRule>
    <cfRule type="containsText" dxfId="30" priority="47" operator="containsText" text="pk02">
      <formula>NOT(ISERROR(SEARCH("pk02",E343)))</formula>
    </cfRule>
    <cfRule type="containsText" dxfId="29" priority="48" operator="containsText" text="pk01">
      <formula>NOT(ISERROR(SEARCH("pk01",E343)))</formula>
    </cfRule>
  </conditionalFormatting>
  <conditionalFormatting sqref="E346">
    <cfRule type="containsText" dxfId="28" priority="41" operator="containsText" text="pk04">
      <formula>NOT(ISERROR(SEARCH("pk04",E346)))</formula>
    </cfRule>
    <cfRule type="cellIs" dxfId="27" priority="42" operator="equal">
      <formula>"pk03"</formula>
    </cfRule>
    <cfRule type="containsText" dxfId="26" priority="43" operator="containsText" text="pk02">
      <formula>NOT(ISERROR(SEARCH("pk02",E346)))</formula>
    </cfRule>
    <cfRule type="containsText" dxfId="25" priority="44" operator="containsText" text="pk01">
      <formula>NOT(ISERROR(SEARCH("pk01",E346)))</formula>
    </cfRule>
  </conditionalFormatting>
  <conditionalFormatting sqref="E345">
    <cfRule type="containsText" dxfId="24" priority="33" operator="containsText" text="pk04">
      <formula>NOT(ISERROR(SEARCH("pk04",E345)))</formula>
    </cfRule>
    <cfRule type="cellIs" dxfId="23" priority="34" operator="equal">
      <formula>"pk03"</formula>
    </cfRule>
    <cfRule type="containsText" dxfId="22" priority="35" operator="containsText" text="pk02">
      <formula>NOT(ISERROR(SEARCH("pk02",E345)))</formula>
    </cfRule>
    <cfRule type="containsText" dxfId="21" priority="36" operator="containsText" text="pk01">
      <formula>NOT(ISERROR(SEARCH("pk01",E345)))</formula>
    </cfRule>
  </conditionalFormatting>
  <conditionalFormatting sqref="D352:E354">
    <cfRule type="containsText" dxfId="20" priority="29" operator="containsText" text="pk04">
      <formula>NOT(ISERROR(SEARCH("pk04",D352)))</formula>
    </cfRule>
    <cfRule type="cellIs" dxfId="19" priority="30" operator="equal">
      <formula>"pk03"</formula>
    </cfRule>
    <cfRule type="containsText" dxfId="18" priority="31" operator="containsText" text="pk02">
      <formula>NOT(ISERROR(SEARCH("pk02",D352)))</formula>
    </cfRule>
    <cfRule type="containsText" dxfId="17" priority="32" operator="containsText" text="pk01">
      <formula>NOT(ISERROR(SEARCH("pk01",D352)))</formula>
    </cfRule>
  </conditionalFormatting>
  <conditionalFormatting sqref="E330">
    <cfRule type="containsText" dxfId="16" priority="25" operator="containsText" text="pk04">
      <formula>NOT(ISERROR(SEARCH("pk04",E330)))</formula>
    </cfRule>
    <cfRule type="cellIs" dxfId="15" priority="26" operator="equal">
      <formula>"pk03"</formula>
    </cfRule>
    <cfRule type="containsText" dxfId="14" priority="27" operator="containsText" text="pk02">
      <formula>NOT(ISERROR(SEARCH("pk02",E330)))</formula>
    </cfRule>
    <cfRule type="containsText" dxfId="13" priority="28" operator="containsText" text="pk01">
      <formula>NOT(ISERROR(SEARCH("pk01",E330)))</formula>
    </cfRule>
  </conditionalFormatting>
  <conditionalFormatting sqref="E331:E336">
    <cfRule type="containsText" dxfId="12" priority="1" operator="containsText" text="pk04">
      <formula>NOT(ISERROR(SEARCH("pk04",E331)))</formula>
    </cfRule>
    <cfRule type="cellIs" dxfId="11" priority="2" operator="equal">
      <formula>"pk03"</formula>
    </cfRule>
    <cfRule type="containsText" dxfId="10" priority="3" operator="containsText" text="pk02">
      <formula>NOT(ISERROR(SEARCH("pk02",E331)))</formula>
    </cfRule>
    <cfRule type="containsText" dxfId="9" priority="4" operator="containsText" text="pk01">
      <formula>NOT(ISERROR(SEARCH("pk01",E331)))</formula>
    </cfRule>
  </conditionalFormatting>
  <pageMargins left="0.43307086614173229" right="0.23622047244094491" top="1.1417322834645669" bottom="0.74803149606299213" header="0.31496062992125984" footer="0.31496062992125984"/>
  <pageSetup paperSize="9" scale="89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4016-4250-41BD-B9D6-B6569276CF09}">
  <sheetPr>
    <tabColor rgb="FF0070C0"/>
    <pageSetUpPr fitToPage="1"/>
  </sheetPr>
  <dimension ref="A1:AR113"/>
  <sheetViews>
    <sheetView tabSelected="1" topLeftCell="A47" zoomScale="115" zoomScaleNormal="115" workbookViewId="0">
      <pane xSplit="9" topLeftCell="T1" activePane="topRight" state="frozen"/>
      <selection pane="topRight" activeCell="AI75" sqref="AI75"/>
    </sheetView>
  </sheetViews>
  <sheetFormatPr defaultRowHeight="15" x14ac:dyDescent="0.25"/>
  <cols>
    <col min="1" max="1" width="1.28515625" customWidth="1"/>
    <col min="2" max="2" width="4" customWidth="1"/>
    <col min="3" max="3" width="4.28515625" customWidth="1"/>
    <col min="4" max="4" width="6.7109375" customWidth="1"/>
    <col min="5" max="5" width="7.7109375" customWidth="1"/>
    <col min="6" max="6" width="50.7109375" customWidth="1"/>
    <col min="7" max="7" width="7.7109375" customWidth="1"/>
    <col min="8" max="8" width="11.7109375" customWidth="1"/>
    <col min="9" max="9" width="12" customWidth="1"/>
    <col min="10" max="30" width="5.7109375" customWidth="1"/>
    <col min="31" max="31" width="7" customWidth="1"/>
    <col min="32" max="42" width="5.7109375" customWidth="1"/>
    <col min="43" max="43" width="6.7109375" customWidth="1"/>
  </cols>
  <sheetData>
    <row r="1" spans="1:9" x14ac:dyDescent="0.25">
      <c r="A1" s="2"/>
      <c r="B1" s="2"/>
      <c r="C1" s="2"/>
      <c r="D1" s="2"/>
      <c r="E1" s="2"/>
      <c r="F1" s="2"/>
    </row>
    <row r="2" spans="1:9" x14ac:dyDescent="0.25">
      <c r="B2" s="11" t="s">
        <v>31</v>
      </c>
      <c r="C2" s="11"/>
    </row>
    <row r="3" spans="1:9" x14ac:dyDescent="0.25">
      <c r="B3" s="85" t="s">
        <v>15</v>
      </c>
      <c r="C3" s="87"/>
      <c r="D3" s="85" t="s">
        <v>16</v>
      </c>
      <c r="E3" s="86"/>
      <c r="F3" s="86"/>
      <c r="G3" s="87"/>
      <c r="H3" s="94" t="s">
        <v>258</v>
      </c>
      <c r="I3" s="94" t="s">
        <v>259</v>
      </c>
    </row>
    <row r="4" spans="1:9" x14ac:dyDescent="0.25">
      <c r="B4" s="88"/>
      <c r="C4" s="90"/>
      <c r="D4" s="88"/>
      <c r="E4" s="89"/>
      <c r="F4" s="89"/>
      <c r="G4" s="90"/>
      <c r="H4" s="95"/>
      <c r="I4" s="95"/>
    </row>
    <row r="5" spans="1:9" x14ac:dyDescent="0.25">
      <c r="B5" s="91"/>
      <c r="C5" s="93"/>
      <c r="D5" s="91"/>
      <c r="E5" s="92"/>
      <c r="F5" s="92"/>
      <c r="G5" s="93"/>
      <c r="H5" s="96"/>
      <c r="I5" s="96"/>
    </row>
    <row r="6" spans="1:9" x14ac:dyDescent="0.25">
      <c r="B6" s="83" t="s">
        <v>165</v>
      </c>
      <c r="C6" s="84"/>
      <c r="D6" s="32" t="s">
        <v>193</v>
      </c>
      <c r="E6" s="33"/>
      <c r="F6" s="33"/>
      <c r="G6" s="26"/>
      <c r="H6" s="30">
        <v>171.47</v>
      </c>
      <c r="I6" s="30">
        <v>40.43</v>
      </c>
    </row>
    <row r="7" spans="1:9" x14ac:dyDescent="0.25">
      <c r="B7" s="83" t="s">
        <v>271</v>
      </c>
      <c r="C7" s="84"/>
      <c r="D7" s="32" t="s">
        <v>272</v>
      </c>
      <c r="E7" s="33"/>
      <c r="F7" s="33"/>
      <c r="G7" s="26"/>
      <c r="H7" s="30">
        <v>3.83</v>
      </c>
      <c r="I7" s="30">
        <v>3.6</v>
      </c>
    </row>
    <row r="8" spans="1:9" x14ac:dyDescent="0.25">
      <c r="B8" s="83" t="s">
        <v>166</v>
      </c>
      <c r="C8" s="84"/>
      <c r="D8" s="32" t="s">
        <v>194</v>
      </c>
      <c r="E8" s="34"/>
      <c r="F8" s="34"/>
      <c r="G8" s="26"/>
      <c r="H8" s="30">
        <v>266.63</v>
      </c>
      <c r="I8" s="30">
        <v>114.58</v>
      </c>
    </row>
    <row r="9" spans="1:9" x14ac:dyDescent="0.25">
      <c r="B9" s="83" t="s">
        <v>167</v>
      </c>
      <c r="C9" s="84"/>
      <c r="D9" s="25" t="s">
        <v>195</v>
      </c>
      <c r="E9" s="34"/>
      <c r="F9" s="34"/>
      <c r="G9" s="26"/>
      <c r="H9" s="30">
        <v>64.760000000000005</v>
      </c>
      <c r="I9" s="30">
        <v>32.270000000000003</v>
      </c>
    </row>
    <row r="10" spans="1:9" x14ac:dyDescent="0.25">
      <c r="B10" s="83" t="s">
        <v>168</v>
      </c>
      <c r="C10" s="84"/>
      <c r="D10" s="25" t="s">
        <v>196</v>
      </c>
      <c r="E10" s="34"/>
      <c r="F10" s="34"/>
      <c r="G10" s="26"/>
      <c r="H10" s="30">
        <v>110.42</v>
      </c>
      <c r="I10" s="30">
        <v>20.23</v>
      </c>
    </row>
    <row r="11" spans="1:9" x14ac:dyDescent="0.25">
      <c r="B11" s="83" t="s">
        <v>243</v>
      </c>
      <c r="C11" s="84"/>
      <c r="D11" s="25" t="s">
        <v>244</v>
      </c>
      <c r="E11" s="34"/>
      <c r="F11" s="34"/>
      <c r="G11" s="26"/>
      <c r="H11" s="30">
        <v>30</v>
      </c>
      <c r="I11" s="30"/>
    </row>
    <row r="12" spans="1:9" x14ac:dyDescent="0.25">
      <c r="B12" s="83" t="s">
        <v>169</v>
      </c>
      <c r="C12" s="84"/>
      <c r="D12" s="25" t="s">
        <v>197</v>
      </c>
      <c r="E12" s="34"/>
      <c r="F12" s="34"/>
      <c r="G12" s="26"/>
      <c r="H12" s="30">
        <v>890.4</v>
      </c>
      <c r="I12" s="30">
        <v>613.32000000000005</v>
      </c>
    </row>
    <row r="13" spans="1:9" x14ac:dyDescent="0.25">
      <c r="B13" s="83" t="s">
        <v>180</v>
      </c>
      <c r="C13" s="84"/>
      <c r="D13" s="25" t="s">
        <v>198</v>
      </c>
      <c r="E13" s="34"/>
      <c r="F13" s="34"/>
      <c r="G13" s="26"/>
      <c r="H13" s="30">
        <v>51.7</v>
      </c>
      <c r="I13" s="30">
        <v>16.600000000000001</v>
      </c>
    </row>
    <row r="14" spans="1:9" x14ac:dyDescent="0.25">
      <c r="B14" s="83" t="s">
        <v>170</v>
      </c>
      <c r="C14" s="84"/>
      <c r="D14" s="25" t="s">
        <v>199</v>
      </c>
      <c r="E14" s="34"/>
      <c r="F14" s="34"/>
      <c r="G14" s="26"/>
      <c r="H14" s="30">
        <v>14.82</v>
      </c>
      <c r="I14" s="30"/>
    </row>
    <row r="15" spans="1:9" x14ac:dyDescent="0.25">
      <c r="B15" s="83" t="s">
        <v>171</v>
      </c>
      <c r="C15" s="84"/>
      <c r="D15" s="25" t="s">
        <v>200</v>
      </c>
      <c r="E15" s="34"/>
      <c r="F15" s="34"/>
      <c r="G15" s="26"/>
      <c r="H15" s="30">
        <v>86.53</v>
      </c>
      <c r="I15" s="30"/>
    </row>
    <row r="16" spans="1:9" x14ac:dyDescent="0.25">
      <c r="B16" s="83" t="s">
        <v>172</v>
      </c>
      <c r="C16" s="84"/>
      <c r="D16" s="25" t="s">
        <v>201</v>
      </c>
      <c r="E16" s="34"/>
      <c r="F16" s="34"/>
      <c r="G16" s="26"/>
      <c r="H16" s="30">
        <v>16.239999999999998</v>
      </c>
      <c r="I16" s="30">
        <v>10.28</v>
      </c>
    </row>
    <row r="17" spans="2:9" x14ac:dyDescent="0.25">
      <c r="B17" s="83" t="s">
        <v>173</v>
      </c>
      <c r="C17" s="84"/>
      <c r="D17" s="42" t="s">
        <v>202</v>
      </c>
      <c r="E17" s="34"/>
      <c r="F17" s="34"/>
      <c r="G17" s="26"/>
      <c r="H17" s="30">
        <v>278.18</v>
      </c>
      <c r="I17" s="30">
        <v>139.26</v>
      </c>
    </row>
    <row r="18" spans="2:9" x14ac:dyDescent="0.25">
      <c r="B18" s="83" t="s">
        <v>174</v>
      </c>
      <c r="C18" s="84"/>
      <c r="D18" s="25" t="s">
        <v>203</v>
      </c>
      <c r="E18" s="34"/>
      <c r="F18" s="34"/>
      <c r="G18" s="26"/>
      <c r="H18" s="30">
        <v>36.15</v>
      </c>
      <c r="I18" s="30">
        <v>21.52</v>
      </c>
    </row>
    <row r="19" spans="2:9" x14ac:dyDescent="0.25">
      <c r="B19" s="83" t="s">
        <v>175</v>
      </c>
      <c r="C19" s="84"/>
      <c r="D19" s="25" t="s">
        <v>204</v>
      </c>
      <c r="E19" s="34"/>
      <c r="F19" s="34"/>
      <c r="G19" s="26"/>
      <c r="H19" s="30">
        <v>250.18</v>
      </c>
      <c r="I19" s="30">
        <v>232.74</v>
      </c>
    </row>
    <row r="20" spans="2:9" x14ac:dyDescent="0.25">
      <c r="B20" s="83" t="s">
        <v>295</v>
      </c>
      <c r="C20" s="84"/>
      <c r="D20" s="25" t="s">
        <v>296</v>
      </c>
      <c r="E20" s="34"/>
      <c r="F20" s="34"/>
      <c r="G20" s="26"/>
      <c r="H20" s="30">
        <v>5.24</v>
      </c>
      <c r="I20" s="30">
        <v>10.68</v>
      </c>
    </row>
    <row r="21" spans="2:9" x14ac:dyDescent="0.25">
      <c r="B21" s="83" t="s">
        <v>176</v>
      </c>
      <c r="C21" s="84"/>
      <c r="D21" s="42" t="s">
        <v>205</v>
      </c>
      <c r="E21" s="34"/>
      <c r="F21" s="34"/>
      <c r="G21" s="26"/>
      <c r="H21" s="30">
        <v>67.400000000000006</v>
      </c>
      <c r="I21" s="30"/>
    </row>
    <row r="22" spans="2:9" x14ac:dyDescent="0.25">
      <c r="B22" s="83" t="s">
        <v>317</v>
      </c>
      <c r="C22" s="84"/>
      <c r="D22" s="42" t="s">
        <v>318</v>
      </c>
      <c r="E22" s="34"/>
      <c r="F22" s="34"/>
      <c r="G22" s="26"/>
      <c r="H22" s="30">
        <v>12.96</v>
      </c>
      <c r="I22" s="30"/>
    </row>
    <row r="23" spans="2:9" x14ac:dyDescent="0.25">
      <c r="B23" s="83" t="s">
        <v>177</v>
      </c>
      <c r="C23" s="84"/>
      <c r="D23" s="42" t="s">
        <v>206</v>
      </c>
      <c r="E23" s="34"/>
      <c r="F23" s="34"/>
      <c r="G23" s="26"/>
      <c r="H23" s="30">
        <v>182.94</v>
      </c>
      <c r="I23" s="30"/>
    </row>
    <row r="24" spans="2:9" x14ac:dyDescent="0.25">
      <c r="B24" s="83" t="s">
        <v>179</v>
      </c>
      <c r="C24" s="84"/>
      <c r="D24" s="42" t="s">
        <v>207</v>
      </c>
      <c r="E24" s="34"/>
      <c r="F24" s="34"/>
      <c r="G24" s="26"/>
      <c r="H24" s="30">
        <v>35.64</v>
      </c>
      <c r="I24" s="30"/>
    </row>
    <row r="25" spans="2:9" x14ac:dyDescent="0.25">
      <c r="B25" s="83" t="s">
        <v>178</v>
      </c>
      <c r="C25" s="84"/>
      <c r="D25" s="42" t="s">
        <v>208</v>
      </c>
      <c r="E25" s="34"/>
      <c r="F25" s="34"/>
      <c r="G25" s="26"/>
      <c r="H25" s="30">
        <v>73.13</v>
      </c>
      <c r="I25" s="30"/>
    </row>
    <row r="26" spans="2:9" x14ac:dyDescent="0.25">
      <c r="B26" s="83" t="s">
        <v>181</v>
      </c>
      <c r="C26" s="84"/>
      <c r="D26" s="25" t="s">
        <v>209</v>
      </c>
      <c r="E26" s="34"/>
      <c r="F26" s="34"/>
      <c r="G26" s="26"/>
      <c r="H26" s="30">
        <v>386.53</v>
      </c>
      <c r="I26" s="30">
        <v>324.17</v>
      </c>
    </row>
    <row r="27" spans="2:9" x14ac:dyDescent="0.25">
      <c r="B27" s="83" t="s">
        <v>182</v>
      </c>
      <c r="C27" s="84"/>
      <c r="D27" s="25" t="s">
        <v>210</v>
      </c>
      <c r="E27" s="34"/>
      <c r="F27" s="34"/>
      <c r="G27" s="26"/>
      <c r="H27" s="30">
        <v>1053.33</v>
      </c>
      <c r="I27" s="30">
        <v>863.63</v>
      </c>
    </row>
    <row r="28" spans="2:9" x14ac:dyDescent="0.25">
      <c r="B28" s="83" t="s">
        <v>183</v>
      </c>
      <c r="C28" s="84"/>
      <c r="D28" s="25" t="s">
        <v>211</v>
      </c>
      <c r="E28" s="34"/>
      <c r="F28" s="34"/>
      <c r="G28" s="26"/>
      <c r="H28" s="30">
        <v>163.30000000000001</v>
      </c>
      <c r="I28" s="30">
        <v>120.55</v>
      </c>
    </row>
    <row r="29" spans="2:9" x14ac:dyDescent="0.25">
      <c r="B29" s="83" t="s">
        <v>184</v>
      </c>
      <c r="C29" s="84"/>
      <c r="D29" s="25" t="s">
        <v>212</v>
      </c>
      <c r="E29" s="34"/>
      <c r="F29" s="34"/>
      <c r="G29" s="26"/>
      <c r="H29" s="30">
        <v>13</v>
      </c>
      <c r="I29" s="30">
        <v>24.39</v>
      </c>
    </row>
    <row r="30" spans="2:9" x14ac:dyDescent="0.25">
      <c r="B30" s="83" t="s">
        <v>185</v>
      </c>
      <c r="C30" s="84"/>
      <c r="D30" s="42" t="s">
        <v>213</v>
      </c>
      <c r="E30" s="34"/>
      <c r="F30" s="34"/>
      <c r="G30" s="26"/>
      <c r="H30" s="30">
        <v>5.14</v>
      </c>
      <c r="I30" s="30">
        <v>11.8</v>
      </c>
    </row>
    <row r="31" spans="2:9" x14ac:dyDescent="0.25">
      <c r="B31" s="83" t="s">
        <v>186</v>
      </c>
      <c r="C31" s="84"/>
      <c r="D31" s="25" t="s">
        <v>214</v>
      </c>
      <c r="E31" s="34"/>
      <c r="F31" s="34"/>
      <c r="G31" s="26"/>
      <c r="H31" s="30">
        <v>35</v>
      </c>
      <c r="I31" s="30">
        <v>21.1</v>
      </c>
    </row>
    <row r="32" spans="2:9" x14ac:dyDescent="0.25">
      <c r="B32" s="83" t="s">
        <v>187</v>
      </c>
      <c r="C32" s="84"/>
      <c r="D32" s="42" t="s">
        <v>215</v>
      </c>
      <c r="E32" s="34"/>
      <c r="F32" s="34"/>
      <c r="G32" s="26"/>
      <c r="H32" s="30">
        <v>3.96</v>
      </c>
      <c r="I32" s="30">
        <v>4.79</v>
      </c>
    </row>
    <row r="33" spans="2:9" x14ac:dyDescent="0.25">
      <c r="B33" s="83" t="s">
        <v>188</v>
      </c>
      <c r="C33" s="84"/>
      <c r="D33" s="25" t="s">
        <v>216</v>
      </c>
      <c r="E33" s="34"/>
      <c r="F33" s="34"/>
      <c r="G33" s="26"/>
      <c r="H33" s="30">
        <v>11.24</v>
      </c>
      <c r="I33" s="30">
        <v>12.7</v>
      </c>
    </row>
    <row r="34" spans="2:9" x14ac:dyDescent="0.25">
      <c r="B34" s="83" t="s">
        <v>189</v>
      </c>
      <c r="C34" s="84"/>
      <c r="D34" s="25" t="s">
        <v>217</v>
      </c>
      <c r="E34" s="34"/>
      <c r="F34" s="34"/>
      <c r="G34" s="26"/>
      <c r="H34" s="30">
        <v>8.1199999999999992</v>
      </c>
      <c r="I34" s="30">
        <v>10.85</v>
      </c>
    </row>
    <row r="35" spans="2:9" x14ac:dyDescent="0.25">
      <c r="B35" s="83" t="s">
        <v>190</v>
      </c>
      <c r="C35" s="84"/>
      <c r="D35" s="25" t="s">
        <v>218</v>
      </c>
      <c r="E35" s="34"/>
      <c r="F35" s="34"/>
      <c r="G35" s="26"/>
      <c r="H35" s="30">
        <v>8.4700000000000006</v>
      </c>
      <c r="I35" s="30">
        <v>19.14</v>
      </c>
    </row>
    <row r="36" spans="2:9" x14ac:dyDescent="0.25">
      <c r="B36" s="83" t="s">
        <v>191</v>
      </c>
      <c r="C36" s="84"/>
      <c r="D36" s="25" t="s">
        <v>219</v>
      </c>
      <c r="E36" s="34"/>
      <c r="F36" s="34"/>
      <c r="G36" s="26"/>
      <c r="H36" s="30">
        <v>9.8000000000000007</v>
      </c>
      <c r="I36" s="30">
        <v>12.84</v>
      </c>
    </row>
    <row r="37" spans="2:9" x14ac:dyDescent="0.25">
      <c r="B37" s="83" t="s">
        <v>192</v>
      </c>
      <c r="C37" s="84"/>
      <c r="D37" s="25" t="s">
        <v>220</v>
      </c>
      <c r="E37" s="34"/>
      <c r="F37" s="34"/>
      <c r="G37" s="26"/>
      <c r="H37" s="30">
        <v>63.9</v>
      </c>
      <c r="I37" s="30">
        <v>54.3</v>
      </c>
    </row>
    <row r="38" spans="2:9" x14ac:dyDescent="0.25">
      <c r="B38" s="83" t="s">
        <v>252</v>
      </c>
      <c r="C38" s="84"/>
      <c r="D38" s="42" t="s">
        <v>397</v>
      </c>
      <c r="E38" s="34"/>
      <c r="F38" s="34"/>
      <c r="G38" s="26"/>
      <c r="H38" s="30">
        <v>35</v>
      </c>
      <c r="I38" s="30">
        <v>21.1</v>
      </c>
    </row>
    <row r="39" spans="2:9" x14ac:dyDescent="0.25">
      <c r="B39" s="83" t="s">
        <v>253</v>
      </c>
      <c r="C39" s="84"/>
      <c r="D39" s="42" t="s">
        <v>354</v>
      </c>
      <c r="E39" s="34"/>
      <c r="F39" s="34"/>
      <c r="G39" s="26"/>
      <c r="H39" s="30">
        <v>2268.16</v>
      </c>
      <c r="I39" s="30"/>
    </row>
    <row r="40" spans="2:9" x14ac:dyDescent="0.25">
      <c r="B40" s="83" t="s">
        <v>352</v>
      </c>
      <c r="C40" s="84"/>
      <c r="D40" s="42" t="s">
        <v>355</v>
      </c>
      <c r="E40" s="34"/>
      <c r="F40" s="34"/>
      <c r="G40" s="26"/>
      <c r="H40" s="30">
        <v>979.81</v>
      </c>
      <c r="I40" s="30"/>
    </row>
    <row r="41" spans="2:9" x14ac:dyDescent="0.25">
      <c r="B41" s="83" t="s">
        <v>361</v>
      </c>
      <c r="C41" s="84"/>
      <c r="D41" s="42" t="s">
        <v>367</v>
      </c>
      <c r="E41" s="34"/>
      <c r="F41" s="34"/>
      <c r="G41" s="26"/>
      <c r="H41" s="30"/>
      <c r="I41" s="30">
        <v>83.97</v>
      </c>
    </row>
    <row r="42" spans="2:9" x14ac:dyDescent="0.25">
      <c r="B42" s="83" t="s">
        <v>366</v>
      </c>
      <c r="C42" s="84"/>
      <c r="D42" s="42" t="s">
        <v>368</v>
      </c>
      <c r="E42" s="34"/>
      <c r="F42" s="34"/>
      <c r="G42" s="26"/>
      <c r="H42" s="30"/>
      <c r="I42" s="30">
        <v>311.94</v>
      </c>
    </row>
    <row r="43" spans="2:9" x14ac:dyDescent="0.25">
      <c r="B43" s="83" t="s">
        <v>393</v>
      </c>
      <c r="C43" s="84"/>
      <c r="D43" s="42" t="s">
        <v>394</v>
      </c>
      <c r="E43" s="34"/>
      <c r="F43" s="34"/>
      <c r="G43" s="26"/>
      <c r="H43" s="30"/>
      <c r="I43" s="30">
        <v>588.24</v>
      </c>
    </row>
    <row r="44" spans="2:9" x14ac:dyDescent="0.25">
      <c r="B44" s="83" t="s">
        <v>274</v>
      </c>
      <c r="C44" s="84"/>
      <c r="D44" s="25" t="s">
        <v>332</v>
      </c>
      <c r="E44" s="34"/>
      <c r="F44" s="34"/>
      <c r="G44" s="26"/>
      <c r="H44" s="30"/>
      <c r="I44" s="30"/>
    </row>
    <row r="45" spans="2:9" x14ac:dyDescent="0.25">
      <c r="B45" s="83" t="s">
        <v>275</v>
      </c>
      <c r="C45" s="84"/>
      <c r="D45" s="25" t="s">
        <v>29</v>
      </c>
      <c r="E45" s="34"/>
      <c r="F45" s="34"/>
      <c r="G45" s="26"/>
      <c r="H45" s="30"/>
      <c r="I45" s="30">
        <v>978.09</v>
      </c>
    </row>
    <row r="46" spans="2:9" x14ac:dyDescent="0.25">
      <c r="B46" s="83" t="s">
        <v>236</v>
      </c>
      <c r="C46" s="84"/>
      <c r="D46" s="25" t="s">
        <v>333</v>
      </c>
      <c r="E46" s="34"/>
      <c r="F46" s="34"/>
      <c r="G46" s="26"/>
      <c r="H46" s="30">
        <v>10.54</v>
      </c>
      <c r="I46" s="30">
        <v>18.079999999999998</v>
      </c>
    </row>
    <row r="47" spans="2:9" x14ac:dyDescent="0.25">
      <c r="B47" s="83" t="s">
        <v>376</v>
      </c>
      <c r="C47" s="84"/>
      <c r="D47" s="42" t="s">
        <v>384</v>
      </c>
      <c r="E47" s="34"/>
      <c r="F47" s="34"/>
      <c r="G47" s="26"/>
      <c r="H47" s="30"/>
      <c r="I47" s="30">
        <v>312.79000000000002</v>
      </c>
    </row>
    <row r="48" spans="2:9" x14ac:dyDescent="0.25">
      <c r="B48" s="83"/>
      <c r="C48" s="84"/>
      <c r="D48" s="25"/>
      <c r="E48" s="33"/>
      <c r="F48" s="33"/>
      <c r="G48" s="26"/>
      <c r="H48" s="30"/>
      <c r="I48" s="30"/>
    </row>
    <row r="51" spans="2:44" x14ac:dyDescent="0.25">
      <c r="B51" s="11" t="s">
        <v>261</v>
      </c>
      <c r="C51" s="11"/>
    </row>
    <row r="52" spans="2:44" ht="15" customHeight="1" x14ac:dyDescent="0.25">
      <c r="B52" s="94" t="s">
        <v>262</v>
      </c>
      <c r="C52" s="86" t="s">
        <v>16</v>
      </c>
      <c r="D52" s="86"/>
      <c r="E52" s="86"/>
      <c r="F52" s="86"/>
      <c r="G52" s="87"/>
      <c r="H52" s="94" t="s">
        <v>258</v>
      </c>
      <c r="I52" s="94" t="s">
        <v>259</v>
      </c>
      <c r="J52" s="94" t="s">
        <v>165</v>
      </c>
      <c r="K52" s="94" t="s">
        <v>271</v>
      </c>
      <c r="L52" s="94" t="s">
        <v>166</v>
      </c>
      <c r="M52" s="94" t="s">
        <v>167</v>
      </c>
      <c r="N52" s="94" t="s">
        <v>168</v>
      </c>
      <c r="O52" s="94" t="s">
        <v>243</v>
      </c>
      <c r="P52" s="94" t="s">
        <v>169</v>
      </c>
      <c r="Q52" s="94" t="s">
        <v>180</v>
      </c>
      <c r="R52" s="94" t="s">
        <v>170</v>
      </c>
      <c r="S52" s="94" t="s">
        <v>171</v>
      </c>
      <c r="T52" s="94" t="s">
        <v>172</v>
      </c>
      <c r="U52" s="94" t="s">
        <v>173</v>
      </c>
      <c r="V52" s="94" t="s">
        <v>174</v>
      </c>
      <c r="W52" s="94" t="s">
        <v>175</v>
      </c>
      <c r="X52" s="94" t="s">
        <v>295</v>
      </c>
      <c r="Y52" s="94" t="s">
        <v>176</v>
      </c>
      <c r="Z52" s="94" t="s">
        <v>317</v>
      </c>
      <c r="AA52" s="94" t="s">
        <v>177</v>
      </c>
      <c r="AB52" s="94" t="s">
        <v>179</v>
      </c>
      <c r="AC52" s="94" t="s">
        <v>178</v>
      </c>
      <c r="AD52" s="94" t="s">
        <v>181</v>
      </c>
      <c r="AE52" s="94" t="s">
        <v>182</v>
      </c>
      <c r="AF52" s="94" t="s">
        <v>183</v>
      </c>
      <c r="AG52" s="94" t="s">
        <v>184</v>
      </c>
      <c r="AH52" s="94" t="s">
        <v>185</v>
      </c>
      <c r="AI52" s="94" t="s">
        <v>186</v>
      </c>
      <c r="AJ52" s="94" t="s">
        <v>187</v>
      </c>
      <c r="AK52" s="94" t="s">
        <v>188</v>
      </c>
      <c r="AL52" s="94" t="s">
        <v>189</v>
      </c>
      <c r="AM52" s="94" t="s">
        <v>190</v>
      </c>
      <c r="AN52" s="94" t="s">
        <v>191</v>
      </c>
      <c r="AO52" s="94" t="s">
        <v>192</v>
      </c>
      <c r="AP52" s="94" t="s">
        <v>252</v>
      </c>
      <c r="AQ52" s="94" t="s">
        <v>253</v>
      </c>
    </row>
    <row r="53" spans="2:44" x14ac:dyDescent="0.25">
      <c r="B53" s="95"/>
      <c r="C53" s="97"/>
      <c r="D53" s="97"/>
      <c r="E53" s="97"/>
      <c r="F53" s="97"/>
      <c r="G53" s="90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</row>
    <row r="54" spans="2:44" x14ac:dyDescent="0.25">
      <c r="B54" s="96"/>
      <c r="C54" s="92"/>
      <c r="D54" s="92"/>
      <c r="E54" s="92"/>
      <c r="F54" s="92"/>
      <c r="G54" s="93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</row>
    <row r="55" spans="2:44" x14ac:dyDescent="0.25">
      <c r="B55" s="43">
        <v>1</v>
      </c>
      <c r="C55" s="46" t="s">
        <v>276</v>
      </c>
      <c r="D55" s="47"/>
      <c r="E55" s="47"/>
      <c r="F55" s="47"/>
      <c r="G55" s="48" t="s">
        <v>263</v>
      </c>
      <c r="H55" s="44">
        <f>IF(SUM(J55:AR55)&gt;0,SUM(J55:AR55),"")</f>
        <v>451.73</v>
      </c>
      <c r="I55" s="45"/>
      <c r="J55" s="40">
        <f>podlaha.p1</f>
        <v>171.47</v>
      </c>
      <c r="K55" s="40">
        <f>podlaha.p1a</f>
        <v>3.83</v>
      </c>
      <c r="L55" s="40">
        <f>podlaha.p2</f>
        <v>266.63</v>
      </c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>
        <f>podlaha.p25</f>
        <v>9.8000000000000007</v>
      </c>
      <c r="AO55" s="40"/>
      <c r="AP55" s="40"/>
      <c r="AQ55" s="40"/>
      <c r="AR55" s="41"/>
    </row>
    <row r="56" spans="2:44" x14ac:dyDescent="0.25">
      <c r="B56" s="43">
        <v>2</v>
      </c>
      <c r="C56" s="46"/>
      <c r="D56" s="47" t="s">
        <v>278</v>
      </c>
      <c r="E56" s="47"/>
      <c r="F56" s="47"/>
      <c r="G56" s="48"/>
      <c r="H56" s="44"/>
      <c r="I56" s="44">
        <f>IF(SUM(J56:AR56)&gt;0,SUM(J56:AR56),"")</f>
        <v>171.45000000000002</v>
      </c>
      <c r="J56" s="40">
        <f>sokl.p1</f>
        <v>40.43</v>
      </c>
      <c r="K56" s="40">
        <f>sokl.p1a</f>
        <v>3.6</v>
      </c>
      <c r="L56" s="40">
        <f>sokl.p2</f>
        <v>114.58</v>
      </c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>
        <f>sokl.p25</f>
        <v>12.84</v>
      </c>
      <c r="AO56" s="40"/>
      <c r="AP56" s="40"/>
      <c r="AQ56" s="40"/>
      <c r="AR56" s="41"/>
    </row>
    <row r="57" spans="2:44" x14ac:dyDescent="0.25">
      <c r="B57" s="43">
        <v>3</v>
      </c>
      <c r="C57" s="46" t="s">
        <v>283</v>
      </c>
      <c r="D57" s="47"/>
      <c r="E57" s="47"/>
      <c r="F57" s="47"/>
      <c r="G57" s="48" t="s">
        <v>280</v>
      </c>
      <c r="H57" s="44">
        <f>IF(SUM(J57:AR57)&gt;0,SUM(J57:AR57),"")</f>
        <v>64.760000000000005</v>
      </c>
      <c r="I57" s="44"/>
      <c r="J57" s="40"/>
      <c r="K57" s="40"/>
      <c r="L57" s="40"/>
      <c r="M57" s="40">
        <f>podlaha.p3</f>
        <v>64.760000000000005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1"/>
    </row>
    <row r="58" spans="2:44" x14ac:dyDescent="0.25">
      <c r="B58" s="43">
        <v>4</v>
      </c>
      <c r="C58" s="46"/>
      <c r="D58" s="47" t="s">
        <v>278</v>
      </c>
      <c r="E58" s="47"/>
      <c r="F58" s="47"/>
      <c r="G58" s="48"/>
      <c r="H58" s="44"/>
      <c r="I58" s="44">
        <f>IF(SUM(J58:AR58)&gt;0,SUM(J58:AR58),"")</f>
        <v>32.270000000000003</v>
      </c>
      <c r="J58" s="40"/>
      <c r="K58" s="40"/>
      <c r="L58" s="40"/>
      <c r="M58" s="40">
        <f>sokl.p3</f>
        <v>32.270000000000003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1"/>
    </row>
    <row r="59" spans="2:44" x14ac:dyDescent="0.25">
      <c r="B59" s="43">
        <v>5</v>
      </c>
      <c r="C59" s="46" t="s">
        <v>284</v>
      </c>
      <c r="D59" s="47"/>
      <c r="E59" s="47"/>
      <c r="F59" s="47"/>
      <c r="G59" s="48" t="s">
        <v>280</v>
      </c>
      <c r="H59" s="44">
        <f>IF(SUM(J59:AR59)&gt;0,SUM(J59:AR59),"")</f>
        <v>1200.1099999999999</v>
      </c>
      <c r="I59" s="44"/>
      <c r="J59" s="40"/>
      <c r="K59" s="40"/>
      <c r="L59" s="40"/>
      <c r="M59" s="40"/>
      <c r="N59" s="40">
        <f>podlaha.p4</f>
        <v>110.42</v>
      </c>
      <c r="O59" s="40">
        <f>podlaha.p4a</f>
        <v>30</v>
      </c>
      <c r="P59" s="40">
        <f>podlaha.p5</f>
        <v>890.4</v>
      </c>
      <c r="Q59" s="40">
        <f>podlaha.p5a</f>
        <v>51.7</v>
      </c>
      <c r="R59" s="40">
        <f>podlaha.p6</f>
        <v>14.82</v>
      </c>
      <c r="S59" s="40">
        <f>podlaha.p7</f>
        <v>86.53</v>
      </c>
      <c r="T59" s="40">
        <f>podlaha.p8</f>
        <v>16.239999999999998</v>
      </c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1"/>
    </row>
    <row r="60" spans="2:44" x14ac:dyDescent="0.25">
      <c r="B60" s="43">
        <v>6</v>
      </c>
      <c r="C60" s="46"/>
      <c r="D60" s="47" t="s">
        <v>278</v>
      </c>
      <c r="E60" s="47"/>
      <c r="F60" s="47"/>
      <c r="G60" s="48"/>
      <c r="H60" s="44"/>
      <c r="I60" s="44">
        <f>IF(SUM(J60:AR60)&gt;0,SUM(J60:AR60),"")</f>
        <v>660.43000000000006</v>
      </c>
      <c r="J60" s="40"/>
      <c r="K60" s="40"/>
      <c r="L60" s="40"/>
      <c r="M60" s="40"/>
      <c r="N60" s="40">
        <f>sokl.p4</f>
        <v>20.23</v>
      </c>
      <c r="O60" s="40">
        <f>sokl.p4a</f>
        <v>0</v>
      </c>
      <c r="P60" s="40">
        <f>sokl.p5</f>
        <v>613.32000000000005</v>
      </c>
      <c r="Q60" s="40">
        <f>sokl.p5a</f>
        <v>16.600000000000001</v>
      </c>
      <c r="R60" s="40">
        <f>sokl.p6</f>
        <v>0</v>
      </c>
      <c r="S60" s="40">
        <f>sokl.p7</f>
        <v>0</v>
      </c>
      <c r="T60" s="40">
        <f>sokl.p8</f>
        <v>10.28</v>
      </c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1"/>
    </row>
    <row r="61" spans="2:44" x14ac:dyDescent="0.25">
      <c r="B61" s="43">
        <v>7</v>
      </c>
      <c r="C61" s="46" t="s">
        <v>290</v>
      </c>
      <c r="D61" s="47"/>
      <c r="E61" s="47"/>
      <c r="F61" s="47"/>
      <c r="G61" s="48" t="s">
        <v>280</v>
      </c>
      <c r="H61" s="44">
        <f>IF(SUM(J61:AR61)&gt;0,SUM(J61:AR61),"")</f>
        <v>278.18</v>
      </c>
      <c r="I61" s="44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>
        <f>podlaha.p9</f>
        <v>278.18</v>
      </c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1"/>
    </row>
    <row r="62" spans="2:44" x14ac:dyDescent="0.25">
      <c r="B62" s="43">
        <v>8</v>
      </c>
      <c r="C62" s="46"/>
      <c r="D62" s="47" t="s">
        <v>278</v>
      </c>
      <c r="E62" s="47"/>
      <c r="F62" s="47"/>
      <c r="G62" s="48"/>
      <c r="H62" s="44"/>
      <c r="I62" s="44">
        <f>IF(SUM(J62:AR62)&gt;0,SUM(J62:AR62),"")</f>
        <v>139.26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>
        <f>sokl.p9</f>
        <v>139.26</v>
      </c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1"/>
    </row>
    <row r="63" spans="2:44" x14ac:dyDescent="0.25">
      <c r="B63" s="43">
        <v>9</v>
      </c>
      <c r="C63" s="46" t="s">
        <v>292</v>
      </c>
      <c r="D63" s="47"/>
      <c r="E63" s="47"/>
      <c r="F63" s="47"/>
      <c r="G63" s="48" t="s">
        <v>293</v>
      </c>
      <c r="H63" s="44">
        <f>IF(SUM(J63:AR63)&gt;0,SUM(J63:AR63),"")</f>
        <v>658.4</v>
      </c>
      <c r="I63" s="44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>
        <f>podlaha.p10</f>
        <v>36.15</v>
      </c>
      <c r="W63" s="40">
        <f>podlaha.p11</f>
        <v>250.18</v>
      </c>
      <c r="X63" s="40"/>
      <c r="Y63" s="40">
        <f>podlaha.p12</f>
        <v>67.400000000000006</v>
      </c>
      <c r="Z63" s="40">
        <f>podlaha.p12a</f>
        <v>12.96</v>
      </c>
      <c r="AA63" s="40">
        <f>podlaha.p13</f>
        <v>182.94</v>
      </c>
      <c r="AB63" s="40">
        <f>podlaha.p13a</f>
        <v>35.64</v>
      </c>
      <c r="AC63" s="40">
        <f>podlaha.p14</f>
        <v>73.13</v>
      </c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1"/>
    </row>
    <row r="64" spans="2:44" x14ac:dyDescent="0.25">
      <c r="B64" s="43">
        <v>10</v>
      </c>
      <c r="C64" s="46"/>
      <c r="D64" s="47" t="s">
        <v>278</v>
      </c>
      <c r="E64" s="47"/>
      <c r="F64" s="47"/>
      <c r="G64" s="48"/>
      <c r="H64" s="44"/>
      <c r="I64" s="44">
        <f>IF(SUM(J64:AR64)&gt;0,SUM(J64:AR64),"")</f>
        <v>254.26000000000002</v>
      </c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>
        <f>sokl.p10</f>
        <v>21.52</v>
      </c>
      <c r="W64" s="40">
        <f>sokl.p11</f>
        <v>232.74</v>
      </c>
      <c r="X64" s="40"/>
      <c r="Y64" s="40">
        <f>sokl.p12</f>
        <v>0</v>
      </c>
      <c r="Z64" s="40">
        <f>sokl.p12a</f>
        <v>0</v>
      </c>
      <c r="AA64" s="40">
        <f>sokl.p13</f>
        <v>0</v>
      </c>
      <c r="AB64" s="40">
        <f>sokl.p13a</f>
        <v>0</v>
      </c>
      <c r="AC64" s="40">
        <f>sokl.p14</f>
        <v>0</v>
      </c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1"/>
    </row>
    <row r="65" spans="2:44" x14ac:dyDescent="0.25">
      <c r="B65" s="43">
        <v>11</v>
      </c>
      <c r="C65" s="46" t="s">
        <v>298</v>
      </c>
      <c r="D65" s="47"/>
      <c r="E65" s="47"/>
      <c r="F65" s="47"/>
      <c r="G65" s="48" t="s">
        <v>293</v>
      </c>
      <c r="H65" s="44">
        <f>IF(SUM(J65:AR65)&gt;0,SUM(J65:AR65),"")</f>
        <v>5.24</v>
      </c>
      <c r="I65" s="44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>
        <f>podlaha.p11a</f>
        <v>5.24</v>
      </c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1"/>
    </row>
    <row r="66" spans="2:44" x14ac:dyDescent="0.25">
      <c r="B66" s="43">
        <v>12</v>
      </c>
      <c r="C66" s="46"/>
      <c r="D66" s="47" t="s">
        <v>278</v>
      </c>
      <c r="E66" s="47"/>
      <c r="F66" s="47"/>
      <c r="G66" s="48"/>
      <c r="H66" s="44"/>
      <c r="I66" s="44">
        <f>IF(SUM(J66:AR66)&gt;0,SUM(J66:AR66),"")</f>
        <v>10.68</v>
      </c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>
        <f>sokl.p11a</f>
        <v>10.68</v>
      </c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1"/>
    </row>
    <row r="67" spans="2:44" x14ac:dyDescent="0.25">
      <c r="B67" s="43">
        <v>13</v>
      </c>
      <c r="C67" s="46" t="s">
        <v>302</v>
      </c>
      <c r="D67" s="47"/>
      <c r="E67" s="47"/>
      <c r="F67" s="47"/>
      <c r="G67" s="48" t="s">
        <v>303</v>
      </c>
      <c r="H67" s="44">
        <f t="shared" ref="H67" si="0">IF(SUM(J67:AR67)&gt;0,SUM(J67:AR67),"")</f>
        <v>1439.86</v>
      </c>
      <c r="I67" s="44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>
        <f>podlaha.p15</f>
        <v>386.53</v>
      </c>
      <c r="AE67" s="40">
        <f>podlaha.p16</f>
        <v>1053.33</v>
      </c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1"/>
    </row>
    <row r="68" spans="2:44" x14ac:dyDescent="0.25">
      <c r="B68" s="43">
        <v>14</v>
      </c>
      <c r="C68" s="46"/>
      <c r="D68" s="47" t="s">
        <v>278</v>
      </c>
      <c r="E68" s="47"/>
      <c r="F68" s="47"/>
      <c r="G68" s="48"/>
      <c r="H68" s="44"/>
      <c r="I68" s="44">
        <f>IF(SUM(J68:AR68)&gt;0,SUM(J68:AR68),"")</f>
        <v>1187.8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>
        <f>sokl.p15</f>
        <v>324.17</v>
      </c>
      <c r="AE68" s="40">
        <f>sokl.p16</f>
        <v>863.63</v>
      </c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1"/>
    </row>
    <row r="69" spans="2:44" x14ac:dyDescent="0.25">
      <c r="B69" s="43">
        <v>15</v>
      </c>
      <c r="C69" s="46" t="s">
        <v>305</v>
      </c>
      <c r="D69" s="47"/>
      <c r="E69" s="47"/>
      <c r="F69" s="47"/>
      <c r="G69" s="48"/>
      <c r="H69" s="44">
        <f>IF(SUM(J69:AR69)&gt;0,SUM(J69:AR69),"")</f>
        <v>163.30000000000001</v>
      </c>
      <c r="I69" s="44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>
        <f>podlaha.p17</f>
        <v>163.30000000000001</v>
      </c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1"/>
    </row>
    <row r="70" spans="2:44" x14ac:dyDescent="0.25">
      <c r="B70" s="43">
        <v>16</v>
      </c>
      <c r="C70" s="46"/>
      <c r="D70" s="47" t="s">
        <v>278</v>
      </c>
      <c r="E70" s="47"/>
      <c r="F70" s="47"/>
      <c r="G70" s="48"/>
      <c r="H70" s="44"/>
      <c r="I70" s="44">
        <f>IF(SUM(J70:AR70)&gt;0,SUM(J70:AR70),"")</f>
        <v>120.55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>
        <f>sokl.p17</f>
        <v>120.55</v>
      </c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1"/>
    </row>
    <row r="71" spans="2:44" x14ac:dyDescent="0.25">
      <c r="B71" s="43">
        <v>17</v>
      </c>
      <c r="C71" s="49" t="s">
        <v>334</v>
      </c>
      <c r="D71" s="50"/>
      <c r="E71" s="50"/>
      <c r="F71" s="50"/>
      <c r="G71" s="51" t="s">
        <v>263</v>
      </c>
      <c r="H71" s="44">
        <f t="shared" ref="H71:H81" si="1">IF(SUM(J71:AR71)&gt;0,SUM(J71:AR71),"")</f>
        <v>13</v>
      </c>
      <c r="I71" s="44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>
        <f>podlaha.p18</f>
        <v>13</v>
      </c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1"/>
    </row>
    <row r="72" spans="2:44" x14ac:dyDescent="0.25">
      <c r="B72" s="43">
        <v>18</v>
      </c>
      <c r="C72" s="49"/>
      <c r="D72" s="50" t="s">
        <v>307</v>
      </c>
      <c r="E72" s="50"/>
      <c r="F72" s="50"/>
      <c r="G72" s="51"/>
      <c r="H72" s="44"/>
      <c r="I72" s="44">
        <f>IF(SUM(J72:AR72)&gt;0,SUM(J72:AR72),"")</f>
        <v>24.39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>
        <f>sokl.p18</f>
        <v>24.39</v>
      </c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1"/>
    </row>
    <row r="73" spans="2:44" x14ac:dyDescent="0.25">
      <c r="B73" s="43">
        <v>19</v>
      </c>
      <c r="C73" s="46" t="s">
        <v>335</v>
      </c>
      <c r="D73" s="47"/>
      <c r="E73" s="47"/>
      <c r="F73" s="47"/>
      <c r="G73" s="48"/>
      <c r="H73" s="44">
        <f t="shared" si="1"/>
        <v>5.14</v>
      </c>
      <c r="I73" s="44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>
        <f>podlaha.p19</f>
        <v>5.14</v>
      </c>
      <c r="AI73" s="40"/>
      <c r="AJ73" s="40"/>
      <c r="AK73" s="40"/>
      <c r="AL73" s="40"/>
      <c r="AM73" s="40"/>
      <c r="AN73" s="40"/>
      <c r="AO73" s="40"/>
      <c r="AP73" s="40"/>
      <c r="AQ73" s="40"/>
      <c r="AR73" s="41"/>
    </row>
    <row r="74" spans="2:44" x14ac:dyDescent="0.25">
      <c r="B74" s="43">
        <v>20</v>
      </c>
      <c r="C74" s="46"/>
      <c r="D74" s="47" t="s">
        <v>278</v>
      </c>
      <c r="E74" s="47"/>
      <c r="F74" s="47"/>
      <c r="G74" s="48"/>
      <c r="H74" s="44"/>
      <c r="I74" s="44">
        <f>IF(SUM(J74:AR74)&gt;0,SUM(J74:AR74),"")</f>
        <v>11.8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>
        <f>sokl.p19</f>
        <v>11.8</v>
      </c>
      <c r="AI74" s="40"/>
      <c r="AJ74" s="40"/>
      <c r="AK74" s="40"/>
      <c r="AL74" s="40"/>
      <c r="AM74" s="40"/>
      <c r="AN74" s="40"/>
      <c r="AO74" s="40"/>
      <c r="AP74" s="40"/>
      <c r="AQ74" s="40"/>
      <c r="AR74" s="41"/>
    </row>
    <row r="75" spans="2:44" x14ac:dyDescent="0.25">
      <c r="B75" s="43">
        <v>21</v>
      </c>
      <c r="C75" s="46" t="s">
        <v>312</v>
      </c>
      <c r="D75" s="47"/>
      <c r="E75" s="47"/>
      <c r="F75" s="47"/>
      <c r="G75" s="48" t="s">
        <v>286</v>
      </c>
      <c r="H75" s="44">
        <f t="shared" si="1"/>
        <v>35</v>
      </c>
      <c r="I75" s="44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>
        <f>podlaha.p20</f>
        <v>35</v>
      </c>
      <c r="AJ75" s="40"/>
      <c r="AK75" s="40"/>
      <c r="AL75" s="40"/>
      <c r="AM75" s="40"/>
      <c r="AN75" s="40"/>
      <c r="AO75" s="40"/>
      <c r="AP75" s="40"/>
      <c r="AQ75" s="40"/>
      <c r="AR75" s="41"/>
    </row>
    <row r="76" spans="2:44" x14ac:dyDescent="0.25">
      <c r="B76" s="43">
        <v>22</v>
      </c>
      <c r="C76" s="46"/>
      <c r="D76" s="47" t="s">
        <v>278</v>
      </c>
      <c r="E76" s="47"/>
      <c r="F76" s="47"/>
      <c r="G76" s="48"/>
      <c r="H76" s="44"/>
      <c r="I76" s="44">
        <f>IF(SUM(J76:AR76)&gt;0,SUM(J76:AR76),"")</f>
        <v>21.1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>
        <f>sokl.p20</f>
        <v>21.1</v>
      </c>
      <c r="AJ76" s="40"/>
      <c r="AK76" s="40"/>
      <c r="AL76" s="40"/>
      <c r="AM76" s="40"/>
      <c r="AN76" s="40"/>
      <c r="AO76" s="40"/>
      <c r="AP76" s="40"/>
      <c r="AQ76" s="40"/>
      <c r="AR76" s="41"/>
    </row>
    <row r="77" spans="2:44" x14ac:dyDescent="0.25">
      <c r="B77" s="43">
        <v>23</v>
      </c>
      <c r="C77" s="46" t="s">
        <v>314</v>
      </c>
      <c r="D77" s="47"/>
      <c r="E77" s="47"/>
      <c r="F77" s="47"/>
      <c r="G77" s="48" t="s">
        <v>286</v>
      </c>
      <c r="H77" s="44">
        <f t="shared" si="1"/>
        <v>31.79</v>
      </c>
      <c r="I77" s="44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>
        <f>podlaha.p21</f>
        <v>3.96</v>
      </c>
      <c r="AK77" s="40">
        <f>podlaha.p22</f>
        <v>11.24</v>
      </c>
      <c r="AL77" s="40">
        <f>podlaha.p23</f>
        <v>8.1199999999999992</v>
      </c>
      <c r="AM77" s="40">
        <f>podlaha.p24</f>
        <v>8.4700000000000006</v>
      </c>
      <c r="AN77" s="40"/>
      <c r="AO77" s="40"/>
      <c r="AP77" s="40"/>
      <c r="AQ77" s="40"/>
      <c r="AR77" s="41"/>
    </row>
    <row r="78" spans="2:44" x14ac:dyDescent="0.25">
      <c r="B78" s="43">
        <v>24</v>
      </c>
      <c r="C78" s="46"/>
      <c r="D78" s="47" t="s">
        <v>278</v>
      </c>
      <c r="E78" s="47"/>
      <c r="F78" s="47"/>
      <c r="G78" s="48"/>
      <c r="H78" s="44"/>
      <c r="I78" s="44">
        <f>IF(SUM(J78:AR78)&gt;0,SUM(J78:AR78),"")</f>
        <v>47.48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>
        <f>sokl.p21</f>
        <v>4.79</v>
      </c>
      <c r="AK78" s="40">
        <f>sokl.p22</f>
        <v>12.7</v>
      </c>
      <c r="AL78" s="40">
        <f>sokl.p23</f>
        <v>10.85</v>
      </c>
      <c r="AM78" s="40">
        <f>sokl.p24</f>
        <v>19.14</v>
      </c>
      <c r="AN78" s="40"/>
      <c r="AO78" s="40"/>
      <c r="AP78" s="40"/>
      <c r="AQ78" s="40"/>
      <c r="AR78" s="41"/>
    </row>
    <row r="79" spans="2:44" x14ac:dyDescent="0.25">
      <c r="B79" s="43">
        <v>241</v>
      </c>
      <c r="C79" s="46" t="s">
        <v>336</v>
      </c>
      <c r="D79" s="47"/>
      <c r="E79" s="47"/>
      <c r="F79" s="47"/>
      <c r="G79" s="48" t="s">
        <v>286</v>
      </c>
      <c r="H79" s="44">
        <f t="shared" si="1"/>
        <v>63.9</v>
      </c>
      <c r="I79" s="44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>
        <f>podlaha.p26</f>
        <v>63.9</v>
      </c>
      <c r="AP79" s="40"/>
      <c r="AQ79" s="40"/>
      <c r="AR79" s="41"/>
    </row>
    <row r="80" spans="2:44" x14ac:dyDescent="0.25">
      <c r="B80" s="43">
        <v>242</v>
      </c>
      <c r="C80" s="46"/>
      <c r="D80" s="47" t="s">
        <v>337</v>
      </c>
      <c r="E80" s="47"/>
      <c r="F80" s="47"/>
      <c r="G80" s="48"/>
      <c r="H80" s="44"/>
      <c r="I80" s="44">
        <f>IF(SUM(J80:AR80)&gt;0,SUM(J80:AR80),"")</f>
        <v>54.3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>
        <f>sokl.p26</f>
        <v>54.3</v>
      </c>
      <c r="AP80" s="40"/>
      <c r="AQ80" s="40"/>
      <c r="AR80" s="41"/>
    </row>
    <row r="81" spans="2:44" x14ac:dyDescent="0.25">
      <c r="B81" s="43">
        <v>25</v>
      </c>
      <c r="C81" s="46" t="s">
        <v>288</v>
      </c>
      <c r="D81" s="47"/>
      <c r="E81" s="47"/>
      <c r="F81" s="47"/>
      <c r="G81" s="48" t="s">
        <v>286</v>
      </c>
      <c r="H81" s="44">
        <f t="shared" si="1"/>
        <v>780.83999999999992</v>
      </c>
      <c r="I81" s="44"/>
      <c r="J81" s="40"/>
      <c r="K81" s="40"/>
      <c r="L81" s="40"/>
      <c r="M81" s="40"/>
      <c r="N81" s="40"/>
      <c r="O81" s="40"/>
      <c r="P81" s="40"/>
      <c r="Q81" s="40"/>
      <c r="R81" s="40">
        <f>podlaha.p6</f>
        <v>14.82</v>
      </c>
      <c r="S81" s="40">
        <f>podlaha.p7</f>
        <v>86.53</v>
      </c>
      <c r="T81" s="40">
        <f>podlaha.p8</f>
        <v>16.239999999999998</v>
      </c>
      <c r="U81" s="40">
        <f>podlaha.p9</f>
        <v>278.18</v>
      </c>
      <c r="V81" s="40"/>
      <c r="W81" s="40"/>
      <c r="X81" s="40"/>
      <c r="Y81" s="40">
        <f>podlaha.p12</f>
        <v>67.400000000000006</v>
      </c>
      <c r="Z81" s="40">
        <f>podlaha.p12a</f>
        <v>12.96</v>
      </c>
      <c r="AA81" s="40">
        <f>podlaha.p13</f>
        <v>182.94</v>
      </c>
      <c r="AB81" s="40">
        <f>podlaha.p13a</f>
        <v>35.64</v>
      </c>
      <c r="AC81" s="40">
        <f>podlaha.p14</f>
        <v>73.13</v>
      </c>
      <c r="AD81" s="40"/>
      <c r="AE81" s="40"/>
      <c r="AF81" s="40"/>
      <c r="AG81" s="40">
        <f>podlaha.p18</f>
        <v>13</v>
      </c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1"/>
    </row>
    <row r="82" spans="2:44" x14ac:dyDescent="0.25">
      <c r="B82" s="43">
        <v>26</v>
      </c>
      <c r="C82" s="46"/>
      <c r="D82" s="52" t="s">
        <v>287</v>
      </c>
      <c r="E82" s="47"/>
      <c r="F82" s="47"/>
      <c r="G82" s="48"/>
      <c r="H82" s="44"/>
      <c r="I82" s="44">
        <f>I45</f>
        <v>978.09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</row>
    <row r="83" spans="2:44" x14ac:dyDescent="0.25">
      <c r="B83" s="43">
        <v>27</v>
      </c>
      <c r="C83" s="46" t="s">
        <v>277</v>
      </c>
      <c r="D83" s="47"/>
      <c r="E83" s="47"/>
      <c r="F83" s="47"/>
      <c r="G83" s="48" t="s">
        <v>315</v>
      </c>
      <c r="H83" s="44">
        <f t="shared" ref="H83:H112" si="2">IF(SUM(J83:AR83)&gt;0,SUM(J83:AR83),"")</f>
        <v>8.4700000000000006</v>
      </c>
      <c r="I83" s="44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>
        <f>podlaha.p24</f>
        <v>8.4700000000000006</v>
      </c>
      <c r="AN83" s="40"/>
      <c r="AO83" s="40"/>
      <c r="AP83" s="40"/>
      <c r="AQ83" s="40"/>
      <c r="AR83" s="41"/>
    </row>
    <row r="84" spans="2:44" x14ac:dyDescent="0.25">
      <c r="B84" s="43">
        <v>28</v>
      </c>
      <c r="C84" s="46"/>
      <c r="D84" s="47"/>
      <c r="E84" s="47"/>
      <c r="F84" s="47"/>
      <c r="G84" s="48" t="s">
        <v>264</v>
      </c>
      <c r="H84" s="44">
        <f t="shared" si="2"/>
        <v>512.66</v>
      </c>
      <c r="I84" s="45"/>
      <c r="J84" s="40">
        <f>podlaha.p1</f>
        <v>171.47</v>
      </c>
      <c r="K84" s="40"/>
      <c r="L84" s="40">
        <f>podlaha.p2</f>
        <v>266.63</v>
      </c>
      <c r="M84" s="40">
        <f>podlaha.p3</f>
        <v>64.760000000000005</v>
      </c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>
        <f>podlaha.p25</f>
        <v>9.8000000000000007</v>
      </c>
      <c r="AO84" s="40"/>
      <c r="AP84" s="40"/>
      <c r="AQ84" s="40"/>
      <c r="AR84" s="41"/>
    </row>
    <row r="85" spans="2:44" x14ac:dyDescent="0.25">
      <c r="B85" s="43">
        <v>29</v>
      </c>
      <c r="C85" s="46"/>
      <c r="D85" s="47"/>
      <c r="E85" s="47"/>
      <c r="F85" s="47"/>
      <c r="G85" s="48" t="s">
        <v>304</v>
      </c>
      <c r="H85" s="44">
        <f t="shared" si="2"/>
        <v>1439.86</v>
      </c>
      <c r="I85" s="45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>
        <f>podlaha.p15</f>
        <v>386.53</v>
      </c>
      <c r="AE85" s="40">
        <f>podlaha.p16</f>
        <v>1053.33</v>
      </c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1"/>
    </row>
    <row r="86" spans="2:44" x14ac:dyDescent="0.25">
      <c r="B86" s="43">
        <v>30</v>
      </c>
      <c r="C86" s="46"/>
      <c r="D86" s="47"/>
      <c r="E86" s="47"/>
      <c r="F86" s="47"/>
      <c r="G86" s="48" t="s">
        <v>281</v>
      </c>
      <c r="H86" s="44">
        <f t="shared" si="2"/>
        <v>1426.59</v>
      </c>
      <c r="I86" s="45"/>
      <c r="J86" s="40"/>
      <c r="K86" s="40"/>
      <c r="L86" s="40"/>
      <c r="M86" s="40"/>
      <c r="N86" s="40">
        <f>podlaha.p4</f>
        <v>110.42</v>
      </c>
      <c r="O86" s="40">
        <f>podlaha.p4a</f>
        <v>30</v>
      </c>
      <c r="P86" s="40">
        <f>podlaha.p5</f>
        <v>890.4</v>
      </c>
      <c r="Q86" s="40"/>
      <c r="R86" s="40">
        <f>podlaha.p6</f>
        <v>14.82</v>
      </c>
      <c r="S86" s="40">
        <f>podlaha.p7</f>
        <v>86.53</v>
      </c>
      <c r="T86" s="40">
        <f>podlaha.p8</f>
        <v>16.239999999999998</v>
      </c>
      <c r="U86" s="40">
        <f>podlaha.p9</f>
        <v>278.18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</row>
    <row r="87" spans="2:44" x14ac:dyDescent="0.25">
      <c r="B87" s="43">
        <v>31</v>
      </c>
      <c r="C87" s="46"/>
      <c r="D87" s="47"/>
      <c r="E87" s="47"/>
      <c r="F87" s="47"/>
      <c r="G87" s="48" t="s">
        <v>299</v>
      </c>
      <c r="H87" s="44">
        <f t="shared" si="2"/>
        <v>323.47000000000003</v>
      </c>
      <c r="I87" s="45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>
        <f>podlaha.p12</f>
        <v>67.400000000000006</v>
      </c>
      <c r="Z87" s="40"/>
      <c r="AA87" s="40">
        <f>podlaha.p13</f>
        <v>182.94</v>
      </c>
      <c r="AB87" s="40"/>
      <c r="AC87" s="40">
        <f>podlaha.p14</f>
        <v>73.13</v>
      </c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1"/>
    </row>
    <row r="88" spans="2:44" x14ac:dyDescent="0.25">
      <c r="B88" s="43">
        <v>32</v>
      </c>
      <c r="C88" s="46"/>
      <c r="D88" s="47"/>
      <c r="E88" s="47"/>
      <c r="F88" s="47"/>
      <c r="G88" s="48" t="s">
        <v>291</v>
      </c>
      <c r="H88" s="44">
        <f t="shared" si="2"/>
        <v>291.57</v>
      </c>
      <c r="I88" s="45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>
        <f>podlaha.p10</f>
        <v>36.15</v>
      </c>
      <c r="W88" s="40">
        <f>podlaha.p11</f>
        <v>250.18</v>
      </c>
      <c r="X88" s="40">
        <f>podlaha.p11a</f>
        <v>5.24</v>
      </c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</row>
    <row r="89" spans="2:44" x14ac:dyDescent="0.25">
      <c r="B89" s="43">
        <v>33</v>
      </c>
      <c r="C89" s="46"/>
      <c r="D89" s="47"/>
      <c r="E89" s="47"/>
      <c r="F89" s="47"/>
      <c r="G89" s="48" t="s">
        <v>308</v>
      </c>
      <c r="H89" s="44">
        <f t="shared" si="2"/>
        <v>36.32</v>
      </c>
      <c r="I89" s="45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>
        <f>podlaha.p18</f>
        <v>13</v>
      </c>
      <c r="AH89" s="40"/>
      <c r="AI89" s="40"/>
      <c r="AJ89" s="40">
        <f>podlaha.p21</f>
        <v>3.96</v>
      </c>
      <c r="AK89" s="40">
        <f>podlaha.p22</f>
        <v>11.24</v>
      </c>
      <c r="AL89" s="40">
        <f>podlaha.p23</f>
        <v>8.1199999999999992</v>
      </c>
      <c r="AM89" s="40"/>
      <c r="AN89" s="40"/>
      <c r="AO89" s="40"/>
      <c r="AP89" s="40"/>
      <c r="AQ89" s="40"/>
      <c r="AR89" s="41"/>
    </row>
    <row r="90" spans="2:44" x14ac:dyDescent="0.25">
      <c r="B90" s="43">
        <v>34</v>
      </c>
      <c r="C90" s="46"/>
      <c r="D90" s="47"/>
      <c r="E90" s="47"/>
      <c r="F90" s="47"/>
      <c r="G90" s="48" t="s">
        <v>279</v>
      </c>
      <c r="H90" s="44">
        <f t="shared" si="2"/>
        <v>167.13000000000002</v>
      </c>
      <c r="I90" s="45"/>
      <c r="J90" s="40"/>
      <c r="K90" s="40">
        <f>podlaha.p1a</f>
        <v>3.83</v>
      </c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>
        <f>podlaha.p17</f>
        <v>163.30000000000001</v>
      </c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1"/>
    </row>
    <row r="91" spans="2:44" x14ac:dyDescent="0.25">
      <c r="B91" s="43">
        <v>35</v>
      </c>
      <c r="C91" s="46"/>
      <c r="D91" s="47"/>
      <c r="E91" s="47"/>
      <c r="F91" s="47"/>
      <c r="G91" s="48" t="s">
        <v>285</v>
      </c>
      <c r="H91" s="44">
        <f t="shared" si="2"/>
        <v>51.7</v>
      </c>
      <c r="I91" s="45"/>
      <c r="J91" s="40"/>
      <c r="K91" s="40"/>
      <c r="L91" s="40"/>
      <c r="M91" s="40"/>
      <c r="N91" s="40"/>
      <c r="O91" s="40"/>
      <c r="P91" s="40"/>
      <c r="Q91" s="40">
        <f>podlaha.p5a</f>
        <v>51.7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</row>
    <row r="92" spans="2:44" x14ac:dyDescent="0.25">
      <c r="B92" s="43">
        <v>36</v>
      </c>
      <c r="C92" s="46" t="s">
        <v>300</v>
      </c>
      <c r="D92" s="47"/>
      <c r="E92" s="47"/>
      <c r="F92" s="47"/>
      <c r="G92" s="48" t="s">
        <v>301</v>
      </c>
      <c r="H92" s="44">
        <f t="shared" si="2"/>
        <v>48.6</v>
      </c>
      <c r="I92" s="45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>
        <f>podlaha.p12a</f>
        <v>12.96</v>
      </c>
      <c r="AA92" s="40"/>
      <c r="AB92" s="40">
        <f>podlaha.p13a</f>
        <v>35.64</v>
      </c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1"/>
    </row>
    <row r="93" spans="2:44" x14ac:dyDescent="0.25">
      <c r="B93" s="43">
        <v>37</v>
      </c>
      <c r="C93" s="46" t="s">
        <v>311</v>
      </c>
      <c r="D93" s="47"/>
      <c r="E93" s="47"/>
      <c r="F93" s="47"/>
      <c r="G93" s="48" t="s">
        <v>282</v>
      </c>
      <c r="H93" s="44">
        <f t="shared" si="2"/>
        <v>5.14</v>
      </c>
      <c r="I93" s="45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>
        <f>podlaha.p19</f>
        <v>5.14</v>
      </c>
      <c r="AI93" s="40"/>
      <c r="AJ93" s="40"/>
      <c r="AK93" s="40"/>
      <c r="AL93" s="40"/>
      <c r="AM93" s="40"/>
      <c r="AN93" s="40"/>
      <c r="AO93" s="40"/>
      <c r="AP93" s="40"/>
      <c r="AQ93" s="40"/>
      <c r="AR93" s="41"/>
    </row>
    <row r="94" spans="2:44" x14ac:dyDescent="0.25">
      <c r="B94" s="43">
        <v>38</v>
      </c>
      <c r="C94" s="46" t="s">
        <v>265</v>
      </c>
      <c r="D94" s="47"/>
      <c r="E94" s="47"/>
      <c r="F94" s="47"/>
      <c r="G94" s="48" t="s">
        <v>266</v>
      </c>
      <c r="H94" s="44">
        <f t="shared" si="2"/>
        <v>3376.58</v>
      </c>
      <c r="I94" s="45"/>
      <c r="J94" s="40">
        <f>podlaha.p1</f>
        <v>171.47</v>
      </c>
      <c r="K94" s="40"/>
      <c r="L94" s="40">
        <f>podlaha.p2</f>
        <v>266.63</v>
      </c>
      <c r="M94" s="40">
        <f>podlaha.p3</f>
        <v>64.760000000000005</v>
      </c>
      <c r="N94" s="40">
        <f>podlaha.p4</f>
        <v>110.42</v>
      </c>
      <c r="O94" s="40">
        <f>podlaha.p4a</f>
        <v>30</v>
      </c>
      <c r="P94" s="40">
        <f>podlaha.p5</f>
        <v>890.4</v>
      </c>
      <c r="Q94" s="40"/>
      <c r="R94" s="40">
        <f>podlaha.p6</f>
        <v>14.82</v>
      </c>
      <c r="S94" s="40">
        <f>podlaha.p7</f>
        <v>86.53</v>
      </c>
      <c r="T94" s="40"/>
      <c r="U94" s="40"/>
      <c r="V94" s="40">
        <f>podlaha.p10</f>
        <v>36.15</v>
      </c>
      <c r="W94" s="40"/>
      <c r="X94" s="40"/>
      <c r="Y94" s="40">
        <f>podlaha.p12</f>
        <v>67.400000000000006</v>
      </c>
      <c r="Z94" s="40"/>
      <c r="AA94" s="40">
        <f>podlaha.p13</f>
        <v>182.94</v>
      </c>
      <c r="AB94" s="40"/>
      <c r="AC94" s="40"/>
      <c r="AD94" s="40">
        <f>podlaha.p15</f>
        <v>386.53</v>
      </c>
      <c r="AE94" s="40">
        <f>podlaha.p16</f>
        <v>1053.33</v>
      </c>
      <c r="AF94" s="40"/>
      <c r="AG94" s="40"/>
      <c r="AH94" s="40"/>
      <c r="AI94" s="40"/>
      <c r="AJ94" s="40">
        <f>podlaha.p21</f>
        <v>3.96</v>
      </c>
      <c r="AK94" s="40">
        <f>podlaha.p22</f>
        <v>11.24</v>
      </c>
      <c r="AL94" s="40"/>
      <c r="AM94" s="40"/>
      <c r="AN94" s="40"/>
      <c r="AO94" s="40"/>
      <c r="AP94" s="40"/>
      <c r="AQ94" s="40"/>
      <c r="AR94" s="41"/>
    </row>
    <row r="95" spans="2:44" x14ac:dyDescent="0.25">
      <c r="B95" s="43">
        <v>39</v>
      </c>
      <c r="C95" s="46" t="s">
        <v>267</v>
      </c>
      <c r="D95" s="47"/>
      <c r="E95" s="47"/>
      <c r="F95" s="47"/>
      <c r="G95" s="48" t="s">
        <v>268</v>
      </c>
      <c r="H95" s="44">
        <f t="shared" si="2"/>
        <v>4311.51</v>
      </c>
      <c r="I95" s="45"/>
      <c r="J95" s="40">
        <f>podlaha.p1</f>
        <v>171.47</v>
      </c>
      <c r="K95" s="40">
        <f>podlaha.p1a</f>
        <v>3.83</v>
      </c>
      <c r="L95" s="40">
        <f>podlaha.p2</f>
        <v>266.63</v>
      </c>
      <c r="M95" s="40">
        <f>podlaha.p3</f>
        <v>64.760000000000005</v>
      </c>
      <c r="N95" s="40">
        <f>podlaha.p4</f>
        <v>110.42</v>
      </c>
      <c r="O95" s="40">
        <f>podlaha.p4a</f>
        <v>30</v>
      </c>
      <c r="P95" s="40">
        <f>podlaha.p5</f>
        <v>890.4</v>
      </c>
      <c r="Q95" s="40">
        <f>podlaha.p5a</f>
        <v>51.7</v>
      </c>
      <c r="R95" s="40">
        <f>podlaha.p6</f>
        <v>14.82</v>
      </c>
      <c r="S95" s="40">
        <f>podlaha.p7</f>
        <v>86.53</v>
      </c>
      <c r="T95" s="40">
        <f>podlaha.p8</f>
        <v>16.239999999999998</v>
      </c>
      <c r="U95" s="40">
        <f>podlaha.p9</f>
        <v>278.18</v>
      </c>
      <c r="V95" s="40">
        <f>podlaha.p10</f>
        <v>36.15</v>
      </c>
      <c r="W95" s="40">
        <f>podlaha.p11</f>
        <v>250.18</v>
      </c>
      <c r="X95" s="40">
        <f>podlaha.p11a</f>
        <v>5.24</v>
      </c>
      <c r="Y95" s="40">
        <f>podlaha.p12</f>
        <v>67.400000000000006</v>
      </c>
      <c r="Z95" s="40">
        <f>podlaha.p12a</f>
        <v>12.96</v>
      </c>
      <c r="AA95" s="40">
        <f>podlaha.p13</f>
        <v>182.94</v>
      </c>
      <c r="AB95" s="40">
        <f>podlaha.p13a</f>
        <v>35.64</v>
      </c>
      <c r="AC95" s="40">
        <f>podlaha.p14</f>
        <v>73.13</v>
      </c>
      <c r="AD95" s="40">
        <f>podlaha.p15</f>
        <v>386.53</v>
      </c>
      <c r="AE95" s="40">
        <f>podlaha.p16</f>
        <v>1053.33</v>
      </c>
      <c r="AF95" s="40">
        <f>podlaha.p17</f>
        <v>163.30000000000001</v>
      </c>
      <c r="AG95" s="40">
        <f>podlaha.p18</f>
        <v>13</v>
      </c>
      <c r="AH95" s="40">
        <f>podlaha.p19</f>
        <v>5.14</v>
      </c>
      <c r="AI95" s="40"/>
      <c r="AJ95" s="40">
        <f>podlaha.p21</f>
        <v>3.96</v>
      </c>
      <c r="AK95" s="40">
        <f>podlaha.p22</f>
        <v>11.24</v>
      </c>
      <c r="AL95" s="40">
        <f>podlaha.p23</f>
        <v>8.1199999999999992</v>
      </c>
      <c r="AM95" s="40">
        <f>podlaha.p24</f>
        <v>8.4700000000000006</v>
      </c>
      <c r="AN95" s="40">
        <f>podlaha.p25</f>
        <v>9.8000000000000007</v>
      </c>
      <c r="AO95" s="40"/>
      <c r="AP95" s="40"/>
      <c r="AQ95" s="40"/>
      <c r="AR95" s="41"/>
    </row>
    <row r="96" spans="2:44" x14ac:dyDescent="0.25">
      <c r="B96" s="43">
        <v>40</v>
      </c>
      <c r="C96" s="46" t="s">
        <v>269</v>
      </c>
      <c r="D96" s="47"/>
      <c r="E96" s="47"/>
      <c r="F96" s="47"/>
      <c r="G96" s="48" t="s">
        <v>266</v>
      </c>
      <c r="H96" s="44">
        <f t="shared" si="2"/>
        <v>4297.8999999999996</v>
      </c>
      <c r="I96" s="45"/>
      <c r="J96" s="40">
        <f>podlaha.p1</f>
        <v>171.47</v>
      </c>
      <c r="K96" s="40">
        <f>podlaha.p1a</f>
        <v>3.83</v>
      </c>
      <c r="L96" s="40">
        <f>podlaha.p2</f>
        <v>266.63</v>
      </c>
      <c r="M96" s="40">
        <f>podlaha.p3</f>
        <v>64.760000000000005</v>
      </c>
      <c r="N96" s="40">
        <f>podlaha.p4</f>
        <v>110.42</v>
      </c>
      <c r="O96" s="40">
        <f>podlaha.p4a</f>
        <v>30</v>
      </c>
      <c r="P96" s="40">
        <f>podlaha.p5</f>
        <v>890.4</v>
      </c>
      <c r="Q96" s="40">
        <f>podlaha.p5a</f>
        <v>51.7</v>
      </c>
      <c r="R96" s="40">
        <f>podlaha.p6</f>
        <v>14.82</v>
      </c>
      <c r="S96" s="40">
        <f>podlaha.p7</f>
        <v>86.53</v>
      </c>
      <c r="T96" s="40">
        <f>podlaha.p8</f>
        <v>16.239999999999998</v>
      </c>
      <c r="U96" s="40">
        <f>podlaha.p9</f>
        <v>278.18</v>
      </c>
      <c r="V96" s="40">
        <f>podlaha.p10</f>
        <v>36.15</v>
      </c>
      <c r="W96" s="40">
        <f>podlaha.p11</f>
        <v>250.18</v>
      </c>
      <c r="X96" s="40">
        <f>podlaha.p11a</f>
        <v>5.24</v>
      </c>
      <c r="Y96" s="40">
        <f>podlaha.p12</f>
        <v>67.400000000000006</v>
      </c>
      <c r="Z96" s="40">
        <f>podlaha.p12a</f>
        <v>12.96</v>
      </c>
      <c r="AA96" s="40">
        <f>podlaha.p13</f>
        <v>182.94</v>
      </c>
      <c r="AB96" s="40">
        <f>podlaha.p13a</f>
        <v>35.64</v>
      </c>
      <c r="AC96" s="40">
        <f>podlaha.p14</f>
        <v>73.13</v>
      </c>
      <c r="AD96" s="40">
        <f>podlaha.p15</f>
        <v>386.53</v>
      </c>
      <c r="AE96" s="40">
        <f>podlaha.p16</f>
        <v>1053.33</v>
      </c>
      <c r="AF96" s="40">
        <f>podlaha.p17</f>
        <v>163.30000000000001</v>
      </c>
      <c r="AG96" s="40">
        <f>podlaha.p18</f>
        <v>13</v>
      </c>
      <c r="AH96" s="40"/>
      <c r="AI96" s="40"/>
      <c r="AJ96" s="40">
        <f>podlaha.p21</f>
        <v>3.96</v>
      </c>
      <c r="AK96" s="40">
        <f>podlaha.p22</f>
        <v>11.24</v>
      </c>
      <c r="AL96" s="40">
        <f>podlaha.p23</f>
        <v>8.1199999999999992</v>
      </c>
      <c r="AM96" s="40"/>
      <c r="AN96" s="40">
        <f>podlaha.p25</f>
        <v>9.8000000000000007</v>
      </c>
      <c r="AO96" s="40"/>
      <c r="AP96" s="40"/>
      <c r="AQ96" s="40"/>
      <c r="AR96" s="41"/>
    </row>
    <row r="97" spans="2:44" x14ac:dyDescent="0.25">
      <c r="B97" s="43">
        <v>41</v>
      </c>
      <c r="C97" s="46" t="s">
        <v>316</v>
      </c>
      <c r="D97" s="47"/>
      <c r="E97" s="47"/>
      <c r="F97" s="47"/>
      <c r="G97" s="48" t="s">
        <v>263</v>
      </c>
      <c r="H97" s="44">
        <f t="shared" si="2"/>
        <v>1295.26</v>
      </c>
      <c r="I97" s="45"/>
      <c r="J97" s="40"/>
      <c r="K97" s="40"/>
      <c r="L97" s="40">
        <f>podlaha.p2</f>
        <v>266.63</v>
      </c>
      <c r="M97" s="40"/>
      <c r="N97" s="40"/>
      <c r="O97" s="40"/>
      <c r="P97" s="40">
        <f>podlaha.p5</f>
        <v>890.4</v>
      </c>
      <c r="Q97" s="40">
        <f>podlaha.p5a</f>
        <v>51.7</v>
      </c>
      <c r="R97" s="40"/>
      <c r="S97" s="40">
        <f>podlaha.p7</f>
        <v>86.53</v>
      </c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1"/>
    </row>
    <row r="98" spans="2:44" x14ac:dyDescent="0.25">
      <c r="B98" s="43">
        <v>42</v>
      </c>
      <c r="C98" s="46"/>
      <c r="D98" s="47"/>
      <c r="E98" s="47"/>
      <c r="F98" s="47"/>
      <c r="G98" s="48" t="s">
        <v>266</v>
      </c>
      <c r="H98" s="44">
        <f t="shared" si="2"/>
        <v>1283.1499999999999</v>
      </c>
      <c r="I98" s="45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>
        <f>podlaha.p13</f>
        <v>182.94</v>
      </c>
      <c r="AB98" s="40">
        <f>podlaha.p13a</f>
        <v>35.64</v>
      </c>
      <c r="AC98" s="40"/>
      <c r="AD98" s="40"/>
      <c r="AE98" s="40">
        <f>podlaha.p16</f>
        <v>1053.33</v>
      </c>
      <c r="AF98" s="40"/>
      <c r="AG98" s="40"/>
      <c r="AH98" s="40"/>
      <c r="AI98" s="40"/>
      <c r="AJ98" s="40"/>
      <c r="AK98" s="40">
        <f>podlaha.p22</f>
        <v>11.24</v>
      </c>
      <c r="AL98" s="40"/>
      <c r="AM98" s="40"/>
      <c r="AN98" s="40"/>
      <c r="AO98" s="40"/>
      <c r="AP98" s="40"/>
      <c r="AQ98" s="40"/>
      <c r="AR98" s="41"/>
    </row>
    <row r="99" spans="2:44" x14ac:dyDescent="0.25">
      <c r="B99" s="43">
        <v>43</v>
      </c>
      <c r="C99" s="46"/>
      <c r="D99" s="47"/>
      <c r="E99" s="47"/>
      <c r="F99" s="47"/>
      <c r="G99" s="48" t="s">
        <v>270</v>
      </c>
      <c r="H99" s="44">
        <f t="shared" si="2"/>
        <v>395.3</v>
      </c>
      <c r="I99" s="45"/>
      <c r="J99" s="40">
        <f>podlaha.p1</f>
        <v>171.47</v>
      </c>
      <c r="K99" s="40">
        <f>podlaha.p1a</f>
        <v>3.83</v>
      </c>
      <c r="L99" s="40"/>
      <c r="M99" s="40">
        <f>podlaha.p3</f>
        <v>64.760000000000005</v>
      </c>
      <c r="N99" s="40">
        <f>podlaha.p4</f>
        <v>110.42</v>
      </c>
      <c r="O99" s="40">
        <f>podlaha.p4a</f>
        <v>30</v>
      </c>
      <c r="P99" s="40"/>
      <c r="Q99" s="40"/>
      <c r="R99" s="40">
        <f>podlaha.p6</f>
        <v>14.82</v>
      </c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1"/>
    </row>
    <row r="100" spans="2:44" x14ac:dyDescent="0.25">
      <c r="B100" s="43">
        <v>44</v>
      </c>
      <c r="C100" s="46"/>
      <c r="D100" s="47"/>
      <c r="E100" s="47"/>
      <c r="F100" s="47"/>
      <c r="G100" s="48" t="s">
        <v>279</v>
      </c>
      <c r="H100" s="44">
        <f t="shared" si="2"/>
        <v>506.99999999999994</v>
      </c>
      <c r="I100" s="45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>
        <f>podlaha.p10</f>
        <v>36.15</v>
      </c>
      <c r="W100" s="40"/>
      <c r="X100" s="40"/>
      <c r="Y100" s="40">
        <f>podlaha.p12</f>
        <v>67.400000000000006</v>
      </c>
      <c r="Z100" s="40">
        <f>podlaha.p12a</f>
        <v>12.96</v>
      </c>
      <c r="AA100" s="40"/>
      <c r="AB100" s="40"/>
      <c r="AC100" s="40"/>
      <c r="AD100" s="40">
        <f>podlaha.p15</f>
        <v>386.53</v>
      </c>
      <c r="AE100" s="40"/>
      <c r="AF100" s="40"/>
      <c r="AG100" s="40"/>
      <c r="AH100" s="40"/>
      <c r="AI100" s="40"/>
      <c r="AJ100" s="40">
        <f>podlaha.p21</f>
        <v>3.96</v>
      </c>
      <c r="AK100" s="40"/>
      <c r="AL100" s="40"/>
      <c r="AM100" s="40"/>
      <c r="AN100" s="40"/>
      <c r="AO100" s="40"/>
      <c r="AP100" s="40"/>
      <c r="AQ100" s="40"/>
      <c r="AR100" s="41"/>
    </row>
    <row r="101" spans="2:44" x14ac:dyDescent="0.25">
      <c r="B101" s="43">
        <v>45</v>
      </c>
      <c r="C101" s="46"/>
      <c r="D101" s="47"/>
      <c r="E101" s="47"/>
      <c r="F101" s="47"/>
      <c r="G101" s="48" t="s">
        <v>306</v>
      </c>
      <c r="H101" s="44">
        <f t="shared" si="2"/>
        <v>176.3</v>
      </c>
      <c r="I101" s="45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>
        <f>podlaha.p17</f>
        <v>163.30000000000001</v>
      </c>
      <c r="AG101" s="40">
        <f>podlaha.p18</f>
        <v>13</v>
      </c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1"/>
    </row>
    <row r="102" spans="2:44" x14ac:dyDescent="0.25">
      <c r="B102" s="43">
        <v>46</v>
      </c>
      <c r="C102" s="46"/>
      <c r="D102" s="47"/>
      <c r="E102" s="47"/>
      <c r="F102" s="47"/>
      <c r="G102" s="48" t="s">
        <v>289</v>
      </c>
      <c r="H102" s="44">
        <f t="shared" si="2"/>
        <v>299.56</v>
      </c>
      <c r="I102" s="45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>
        <f>podlaha.p8</f>
        <v>16.239999999999998</v>
      </c>
      <c r="U102" s="40">
        <f>podlaha.p9</f>
        <v>278.18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>
        <f>podlaha.p19</f>
        <v>5.14</v>
      </c>
      <c r="AI102" s="40"/>
      <c r="AJ102" s="40"/>
      <c r="AK102" s="40"/>
      <c r="AL102" s="40"/>
      <c r="AM102" s="40"/>
      <c r="AN102" s="40"/>
      <c r="AO102" s="40"/>
      <c r="AP102" s="40"/>
      <c r="AQ102" s="40"/>
      <c r="AR102" s="41"/>
    </row>
    <row r="103" spans="2:44" x14ac:dyDescent="0.25">
      <c r="B103" s="43">
        <v>47</v>
      </c>
      <c r="C103" s="46"/>
      <c r="D103" s="47"/>
      <c r="E103" s="47"/>
      <c r="F103" s="47"/>
      <c r="G103" s="48" t="s">
        <v>294</v>
      </c>
      <c r="H103" s="44">
        <f t="shared" si="2"/>
        <v>336.67</v>
      </c>
      <c r="I103" s="45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>
        <f>podlaha.p11</f>
        <v>250.18</v>
      </c>
      <c r="X103" s="40">
        <f>podlaha.p11a</f>
        <v>5.24</v>
      </c>
      <c r="Y103" s="40"/>
      <c r="Z103" s="40"/>
      <c r="AA103" s="40"/>
      <c r="AB103" s="40"/>
      <c r="AC103" s="40">
        <f>podlaha.p14</f>
        <v>73.13</v>
      </c>
      <c r="AD103" s="40"/>
      <c r="AE103" s="40"/>
      <c r="AF103" s="40"/>
      <c r="AG103" s="40"/>
      <c r="AH103" s="40"/>
      <c r="AI103" s="40"/>
      <c r="AJ103" s="40"/>
      <c r="AK103" s="40"/>
      <c r="AL103" s="40">
        <f>podlaha.p23</f>
        <v>8.1199999999999992</v>
      </c>
      <c r="AM103" s="40"/>
      <c r="AN103" s="40"/>
      <c r="AO103" s="40"/>
      <c r="AP103" s="40"/>
      <c r="AQ103" s="40"/>
      <c r="AR103" s="41"/>
    </row>
    <row r="104" spans="2:44" x14ac:dyDescent="0.25">
      <c r="B104" s="43">
        <v>48</v>
      </c>
      <c r="C104" s="46"/>
      <c r="D104" s="47"/>
      <c r="E104" s="47"/>
      <c r="F104" s="47"/>
      <c r="G104" s="48" t="s">
        <v>282</v>
      </c>
      <c r="H104" s="44">
        <f t="shared" si="2"/>
        <v>30</v>
      </c>
      <c r="I104" s="45"/>
      <c r="J104" s="40"/>
      <c r="K104" s="40"/>
      <c r="L104" s="40"/>
      <c r="M104" s="40"/>
      <c r="N104" s="40"/>
      <c r="O104" s="40">
        <f>podlaha.p4a</f>
        <v>30</v>
      </c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1"/>
    </row>
    <row r="105" spans="2:44" x14ac:dyDescent="0.25">
      <c r="B105" s="43">
        <v>49</v>
      </c>
      <c r="C105" s="46" t="s">
        <v>385</v>
      </c>
      <c r="D105" s="47"/>
      <c r="E105" s="47"/>
      <c r="F105" s="47"/>
      <c r="G105" s="48" t="s">
        <v>386</v>
      </c>
      <c r="H105" s="44">
        <f t="shared" si="2"/>
        <v>3247.97</v>
      </c>
      <c r="I105" s="45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>
        <f>podlaha.p28+podlaha.p28_1</f>
        <v>3247.97</v>
      </c>
      <c r="AR105" s="41"/>
    </row>
    <row r="106" spans="2:44" x14ac:dyDescent="0.25">
      <c r="B106" s="43">
        <v>50</v>
      </c>
      <c r="C106" s="46" t="s">
        <v>387</v>
      </c>
      <c r="D106" s="47"/>
      <c r="E106" s="47"/>
      <c r="F106" s="47"/>
      <c r="G106" s="48"/>
      <c r="H106" s="44">
        <f t="shared" si="2"/>
        <v>3247.97</v>
      </c>
      <c r="I106" s="45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>
        <f>podlaha.p28+podlaha.p28_1</f>
        <v>3247.97</v>
      </c>
      <c r="AR106" s="41"/>
    </row>
    <row r="107" spans="2:44" x14ac:dyDescent="0.25">
      <c r="B107" s="43">
        <v>51</v>
      </c>
      <c r="C107" s="46" t="s">
        <v>388</v>
      </c>
      <c r="D107" s="47"/>
      <c r="E107" s="47"/>
      <c r="F107" s="47"/>
      <c r="G107" s="48"/>
      <c r="H107" s="44">
        <f t="shared" si="2"/>
        <v>3247.97</v>
      </c>
      <c r="I107" s="45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>
        <f>podlaha.p28+podlaha.p28_1</f>
        <v>3247.97</v>
      </c>
      <c r="AR107" s="41"/>
    </row>
    <row r="108" spans="2:44" x14ac:dyDescent="0.25">
      <c r="B108" s="43">
        <v>52</v>
      </c>
      <c r="C108" s="46" t="s">
        <v>389</v>
      </c>
      <c r="D108" s="47"/>
      <c r="E108" s="47"/>
      <c r="F108" s="47"/>
      <c r="G108" s="48" t="s">
        <v>390</v>
      </c>
      <c r="H108" s="44">
        <f t="shared" si="2"/>
        <v>3247.97</v>
      </c>
      <c r="I108" s="45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>
        <f>podlaha.p28+podlaha.p28_1</f>
        <v>3247.97</v>
      </c>
      <c r="AR108" s="41"/>
    </row>
    <row r="109" spans="2:44" x14ac:dyDescent="0.25">
      <c r="B109" s="43">
        <v>53</v>
      </c>
      <c r="C109" s="46" t="s">
        <v>391</v>
      </c>
      <c r="D109" s="47"/>
      <c r="E109" s="47"/>
      <c r="F109" s="47"/>
      <c r="G109" s="48" t="s">
        <v>289</v>
      </c>
      <c r="H109" s="44">
        <f t="shared" si="2"/>
        <v>3247.97</v>
      </c>
      <c r="I109" s="45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>
        <f>podlaha.p28+podlaha.p28_1</f>
        <v>3247.97</v>
      </c>
      <c r="AR109" s="41"/>
    </row>
    <row r="110" spans="2:44" x14ac:dyDescent="0.25">
      <c r="B110" s="43">
        <v>54</v>
      </c>
      <c r="C110" s="46"/>
      <c r="D110" s="47" t="s">
        <v>396</v>
      </c>
      <c r="E110" s="47"/>
      <c r="F110" s="47"/>
      <c r="G110" s="48"/>
      <c r="H110" s="44"/>
      <c r="I110" s="44">
        <f>IF(SUM(J110:AR110)&gt;0,SUM(J110:AR110),"")</f>
        <v>588.24</v>
      </c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>
        <f>sokl.p28_4</f>
        <v>588.24</v>
      </c>
      <c r="AR110" s="41"/>
    </row>
    <row r="111" spans="2:44" x14ac:dyDescent="0.25">
      <c r="B111" s="43">
        <v>55</v>
      </c>
      <c r="C111" s="46" t="s">
        <v>392</v>
      </c>
      <c r="D111" s="47"/>
      <c r="E111" s="47"/>
      <c r="F111" s="47"/>
      <c r="G111" s="48" t="s">
        <v>289</v>
      </c>
      <c r="H111" s="44">
        <f t="shared" si="2"/>
        <v>2268.16</v>
      </c>
      <c r="I111" s="45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>
        <f>podlaha.p28</f>
        <v>2268.16</v>
      </c>
      <c r="AR111" s="41"/>
    </row>
    <row r="112" spans="2:44" x14ac:dyDescent="0.25">
      <c r="B112" s="43">
        <v>56</v>
      </c>
      <c r="C112" s="46"/>
      <c r="D112" s="47"/>
      <c r="E112" s="47"/>
      <c r="F112" s="47"/>
      <c r="G112" s="48" t="s">
        <v>282</v>
      </c>
      <c r="H112" s="44">
        <f t="shared" si="2"/>
        <v>979.81</v>
      </c>
      <c r="I112" s="45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>
        <f>podlaha.p28_1</f>
        <v>979.81</v>
      </c>
      <c r="AR112" s="41"/>
    </row>
    <row r="113" spans="2:44" x14ac:dyDescent="0.25">
      <c r="B113" s="43"/>
      <c r="C113" s="37"/>
      <c r="D113" s="38"/>
      <c r="E113" s="38"/>
      <c r="F113" s="38"/>
      <c r="G113" s="39"/>
      <c r="H113" s="44"/>
      <c r="I113" s="45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1"/>
    </row>
  </sheetData>
  <mergeCells count="85">
    <mergeCell ref="AN52:AN54"/>
    <mergeCell ref="AO52:AO54"/>
    <mergeCell ref="AP52:AP54"/>
    <mergeCell ref="AQ52:AQ54"/>
    <mergeCell ref="B20:C20"/>
    <mergeCell ref="X52:X54"/>
    <mergeCell ref="B22:C22"/>
    <mergeCell ref="Z52:Z54"/>
    <mergeCell ref="AI52:AI54"/>
    <mergeCell ref="AJ52:AJ54"/>
    <mergeCell ref="AK52:AK54"/>
    <mergeCell ref="AL52:AL54"/>
    <mergeCell ref="AM52:AM54"/>
    <mergeCell ref="AE52:AE54"/>
    <mergeCell ref="AF52:AF54"/>
    <mergeCell ref="AG52:AG54"/>
    <mergeCell ref="AH52:AH54"/>
    <mergeCell ref="Y52:Y54"/>
    <mergeCell ref="AA52:AA54"/>
    <mergeCell ref="AB52:AB54"/>
    <mergeCell ref="AC52:AC54"/>
    <mergeCell ref="AD52:AD54"/>
    <mergeCell ref="S52:S54"/>
    <mergeCell ref="T52:T54"/>
    <mergeCell ref="U52:U54"/>
    <mergeCell ref="V52:V54"/>
    <mergeCell ref="W52:W54"/>
    <mergeCell ref="P52:P54"/>
    <mergeCell ref="Q52:Q54"/>
    <mergeCell ref="R52:R54"/>
    <mergeCell ref="K52:K54"/>
    <mergeCell ref="L52:L54"/>
    <mergeCell ref="M52:M54"/>
    <mergeCell ref="N52:N54"/>
    <mergeCell ref="O52:O54"/>
    <mergeCell ref="C52:G54"/>
    <mergeCell ref="B52:B54"/>
    <mergeCell ref="B7:C7"/>
    <mergeCell ref="J52:J54"/>
    <mergeCell ref="I3:I5"/>
    <mergeCell ref="H52:H54"/>
    <mergeCell ref="I52:I54"/>
    <mergeCell ref="B35:C35"/>
    <mergeCell ref="B36:C36"/>
    <mergeCell ref="B37:C37"/>
    <mergeCell ref="B44:C44"/>
    <mergeCell ref="B10:C10"/>
    <mergeCell ref="B13:C13"/>
    <mergeCell ref="B15:C15"/>
    <mergeCell ref="B24:C24"/>
    <mergeCell ref="B48:C48"/>
    <mergeCell ref="H3:H5"/>
    <mergeCell ref="B6:C6"/>
    <mergeCell ref="B8:C8"/>
    <mergeCell ref="B9:C9"/>
    <mergeCell ref="B11:C11"/>
    <mergeCell ref="B3:C5"/>
    <mergeCell ref="B25:C25"/>
    <mergeCell ref="B26:C26"/>
    <mergeCell ref="B46:C46"/>
    <mergeCell ref="B14:C14"/>
    <mergeCell ref="B16:C16"/>
    <mergeCell ref="B21:C21"/>
    <mergeCell ref="B23:C23"/>
    <mergeCell ref="B39:C39"/>
    <mergeCell ref="B40:C40"/>
    <mergeCell ref="B41:C41"/>
    <mergeCell ref="B42:C42"/>
    <mergeCell ref="B43:C43"/>
    <mergeCell ref="B12:C12"/>
    <mergeCell ref="B19:C19"/>
    <mergeCell ref="B47:C47"/>
    <mergeCell ref="D3:G5"/>
    <mergeCell ref="B18:C18"/>
    <mergeCell ref="B17:C17"/>
    <mergeCell ref="B45:C45"/>
    <mergeCell ref="B27:C27"/>
    <mergeCell ref="B28:C28"/>
    <mergeCell ref="B29:C29"/>
    <mergeCell ref="B30:C30"/>
    <mergeCell ref="B31:C31"/>
    <mergeCell ref="B32:C32"/>
    <mergeCell ref="B33:C33"/>
    <mergeCell ref="B34:C34"/>
    <mergeCell ref="B38:C38"/>
  </mergeCells>
  <phoneticPr fontId="9" type="noConversion"/>
  <conditionalFormatting sqref="H6 H11:H19 H8:H9 H21:H48">
    <cfRule type="cellIs" dxfId="8" priority="16" operator="greaterThan">
      <formula>0</formula>
    </cfRule>
  </conditionalFormatting>
  <conditionalFormatting sqref="H10">
    <cfRule type="cellIs" dxfId="7" priority="9" operator="greaterThan">
      <formula>0</formula>
    </cfRule>
  </conditionalFormatting>
  <conditionalFormatting sqref="I6 I11:I19 I8:I9 I21:I48">
    <cfRule type="cellIs" dxfId="6" priority="8" operator="greaterThan">
      <formula>0</formula>
    </cfRule>
  </conditionalFormatting>
  <conditionalFormatting sqref="I10">
    <cfRule type="cellIs" dxfId="5" priority="7" operator="greaterThan">
      <formula>0</formula>
    </cfRule>
  </conditionalFormatting>
  <conditionalFormatting sqref="H7">
    <cfRule type="cellIs" dxfId="4" priority="6" operator="greaterThan">
      <formula>0</formula>
    </cfRule>
  </conditionalFormatting>
  <conditionalFormatting sqref="I7">
    <cfRule type="cellIs" dxfId="3" priority="5" operator="greaterThan">
      <formula>0</formula>
    </cfRule>
  </conditionalFormatting>
  <conditionalFormatting sqref="H20">
    <cfRule type="cellIs" dxfId="2" priority="4" operator="greaterThan">
      <formula>0</formula>
    </cfRule>
  </conditionalFormatting>
  <conditionalFormatting sqref="I20">
    <cfRule type="cellIs" dxfId="1" priority="3" operator="greaterThan">
      <formula>0</formula>
    </cfRule>
  </conditionalFormatting>
  <conditionalFormatting sqref="H55:I113">
    <cfRule type="cellIs" dxfId="0" priority="1" operator="greaterThan">
      <formula>0</formula>
    </cfRule>
  </conditionalFormatting>
  <pageMargins left="0.43307086614173229" right="0.23622047244094491" top="1.1417322834645669" bottom="0.74803149606299213" header="0.31496062992125984" footer="0.31496062992125984"/>
  <pageSetup paperSize="9" scale="46" fitToHeight="0" orientation="landscape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71</vt:i4>
      </vt:variant>
    </vt:vector>
  </HeadingPairs>
  <TitlesOfParts>
    <vt:vector size="73" baseType="lpstr">
      <vt:lpstr>A5_Podlahy</vt:lpstr>
      <vt:lpstr>A5_Rekapitulace</vt:lpstr>
      <vt:lpstr>A5_Podlahy!Názvy_tisku</vt:lpstr>
      <vt:lpstr>podlaha.p1</vt:lpstr>
      <vt:lpstr>podlaha.p10</vt:lpstr>
      <vt:lpstr>podlaha.p11</vt:lpstr>
      <vt:lpstr>podlaha.p11a</vt:lpstr>
      <vt:lpstr>podlaha.p12</vt:lpstr>
      <vt:lpstr>podlaha.p12a</vt:lpstr>
      <vt:lpstr>podlaha.p13</vt:lpstr>
      <vt:lpstr>podlaha.p13a</vt:lpstr>
      <vt:lpstr>podlaha.p14</vt:lpstr>
      <vt:lpstr>podlaha.p15</vt:lpstr>
      <vt:lpstr>podlaha.p16</vt:lpstr>
      <vt:lpstr>podlaha.p17</vt:lpstr>
      <vt:lpstr>podlaha.p18</vt:lpstr>
      <vt:lpstr>podlaha.p19</vt:lpstr>
      <vt:lpstr>podlaha.p1a</vt:lpstr>
      <vt:lpstr>podlaha.p2</vt:lpstr>
      <vt:lpstr>podlaha.p20</vt:lpstr>
      <vt:lpstr>podlaha.p21</vt:lpstr>
      <vt:lpstr>podlaha.p22</vt:lpstr>
      <vt:lpstr>podlaha.p23</vt:lpstr>
      <vt:lpstr>podlaha.p24</vt:lpstr>
      <vt:lpstr>podlaha.p25</vt:lpstr>
      <vt:lpstr>podlaha.p26</vt:lpstr>
      <vt:lpstr>podlaha.p27</vt:lpstr>
      <vt:lpstr>podlaha.p28</vt:lpstr>
      <vt:lpstr>podlaha.p28_1</vt:lpstr>
      <vt:lpstr>podlaha.p3</vt:lpstr>
      <vt:lpstr>podlaha.p4</vt:lpstr>
      <vt:lpstr>podlaha.p4a</vt:lpstr>
      <vt:lpstr>podlaha.p5</vt:lpstr>
      <vt:lpstr>podlaha.p5a</vt:lpstr>
      <vt:lpstr>podlaha.p6</vt:lpstr>
      <vt:lpstr>podlaha.p7</vt:lpstr>
      <vt:lpstr>podlaha.p8</vt:lpstr>
      <vt:lpstr>podlaha.p9</vt:lpstr>
      <vt:lpstr>sokl.p1</vt:lpstr>
      <vt:lpstr>sokl.p10</vt:lpstr>
      <vt:lpstr>sokl.p11</vt:lpstr>
      <vt:lpstr>sokl.p11a</vt:lpstr>
      <vt:lpstr>sokl.p12</vt:lpstr>
      <vt:lpstr>sokl.p12a</vt:lpstr>
      <vt:lpstr>sokl.p13</vt:lpstr>
      <vt:lpstr>sokl.p13a</vt:lpstr>
      <vt:lpstr>sokl.p14</vt:lpstr>
      <vt:lpstr>sokl.p15</vt:lpstr>
      <vt:lpstr>sokl.p16</vt:lpstr>
      <vt:lpstr>sokl.p17</vt:lpstr>
      <vt:lpstr>sokl.p18</vt:lpstr>
      <vt:lpstr>sokl.p19</vt:lpstr>
      <vt:lpstr>sokl.p1a</vt:lpstr>
      <vt:lpstr>sokl.p2</vt:lpstr>
      <vt:lpstr>sokl.p20</vt:lpstr>
      <vt:lpstr>sokl.p21</vt:lpstr>
      <vt:lpstr>sokl.p22</vt:lpstr>
      <vt:lpstr>sokl.p23</vt:lpstr>
      <vt:lpstr>sokl.p24</vt:lpstr>
      <vt:lpstr>sokl.p25</vt:lpstr>
      <vt:lpstr>sokl.p26</vt:lpstr>
      <vt:lpstr>sokl.p27</vt:lpstr>
      <vt:lpstr>sokl.p28</vt:lpstr>
      <vt:lpstr>sokl.p28_4</vt:lpstr>
      <vt:lpstr>sokl.p3</vt:lpstr>
      <vt:lpstr>sokl.p4</vt:lpstr>
      <vt:lpstr>sokl.p4a</vt:lpstr>
      <vt:lpstr>sokl.p5</vt:lpstr>
      <vt:lpstr>sokl.p5a</vt:lpstr>
      <vt:lpstr>sokl.p6</vt:lpstr>
      <vt:lpstr>sokl.p7</vt:lpstr>
      <vt:lpstr>sokl.p8</vt:lpstr>
      <vt:lpstr>sokl.p9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2021-09-06T15:12:46Z</cp:lastPrinted>
  <dcterms:created xsi:type="dcterms:W3CDTF">2017-10-24T07:38:10Z</dcterms:created>
  <dcterms:modified xsi:type="dcterms:W3CDTF">2021-09-06T15:16:30Z</dcterms:modified>
  <cp:category/>
  <cp:contentStatus/>
</cp:coreProperties>
</file>