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O:\odbor rozvoje a investic\AKCE\Domy pro seniory\DPS - 1150\Výměna oken\PROJEKT\"/>
    </mc:Choice>
  </mc:AlternateContent>
  <xr:revisionPtr revIDLastSave="0" documentId="13_ncr:1_{AC7069CC-7A0F-405D-B9DB-B8C1E609F2DD}" xr6:coauthVersionLast="36" xr6:coauthVersionMax="36" xr10:uidLastSave="{00000000-0000-0000-0000-000000000000}"/>
  <bookViews>
    <workbookView xWindow="0" yWindow="0" windowWidth="16380" windowHeight="8190" tabRatio="500" activeTab="2" xr2:uid="{00000000-000D-0000-FFFF-FFFF00000000}"/>
  </bookViews>
  <sheets>
    <sheet name="Krycí list rozpočtu (01A)" sheetId="1" r:id="rId1"/>
    <sheet name="VORN objektu (01A)" sheetId="2" state="hidden" r:id="rId2"/>
    <sheet name="Stavební rozpočet (01A)" sheetId="3" r:id="rId3"/>
    <sheet name="Krycí list rozpočtu (01B)" sheetId="4" r:id="rId4"/>
    <sheet name="VORN objektu (01B)" sheetId="5" state="hidden" r:id="rId5"/>
    <sheet name="Stavební rozpočet (01B)" sheetId="6" r:id="rId6"/>
    <sheet name="Krycí list rozpočtu (01C)" sheetId="7" r:id="rId7"/>
    <sheet name="VORN objektu (01C)" sheetId="8" state="hidden" r:id="rId8"/>
    <sheet name="Stavební rozpočet (01C)" sheetId="9" r:id="rId9"/>
    <sheet name="Krycí list rozpočtu (01D)" sheetId="10" r:id="rId10"/>
    <sheet name="VORN objektu (01D)" sheetId="11" state="hidden" r:id="rId11"/>
    <sheet name="Stavební rozpočet (01D)" sheetId="12" r:id="rId12"/>
    <sheet name="Krycí list rozpočtu (01E)" sheetId="13" r:id="rId13"/>
    <sheet name="VORN objektu (01E)" sheetId="14" state="hidden" r:id="rId14"/>
    <sheet name="Stavební rozpočet (01E)" sheetId="15" r:id="rId15"/>
    <sheet name="Stavební rozpočet" sheetId="16" state="hidden" r:id="rId16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J668" i="16" l="1"/>
  <c r="BD668" i="16"/>
  <c r="AX668" i="16"/>
  <c r="AP668" i="16"/>
  <c r="BI668" i="16" s="1"/>
  <c r="AO668" i="16"/>
  <c r="AW668" i="16" s="1"/>
  <c r="AL668" i="16"/>
  <c r="AJ668" i="16"/>
  <c r="AH668" i="16"/>
  <c r="AG668" i="16"/>
  <c r="AF668" i="16"/>
  <c r="AE668" i="16"/>
  <c r="AD668" i="16"/>
  <c r="AC668" i="16"/>
  <c r="AB668" i="16"/>
  <c r="Z668" i="16"/>
  <c r="L668" i="16"/>
  <c r="BF668" i="16" s="1"/>
  <c r="I668" i="16"/>
  <c r="AK668" i="16" s="1"/>
  <c r="BJ666" i="16"/>
  <c r="BH666" i="16"/>
  <c r="BD666" i="16"/>
  <c r="AP666" i="16"/>
  <c r="BI666" i="16" s="1"/>
  <c r="AO666" i="16"/>
  <c r="AW666" i="16" s="1"/>
  <c r="AL666" i="16"/>
  <c r="AK666" i="16"/>
  <c r="AJ666" i="16"/>
  <c r="AH666" i="16"/>
  <c r="AG666" i="16"/>
  <c r="AF666" i="16"/>
  <c r="AE666" i="16"/>
  <c r="AD666" i="16"/>
  <c r="AC666" i="16"/>
  <c r="AB666" i="16"/>
  <c r="Z666" i="16"/>
  <c r="L666" i="16"/>
  <c r="BF666" i="16" s="1"/>
  <c r="I666" i="16"/>
  <c r="BJ664" i="16"/>
  <c r="BH664" i="16"/>
  <c r="BD664" i="16"/>
  <c r="AP664" i="16"/>
  <c r="BI664" i="16" s="1"/>
  <c r="AO664" i="16"/>
  <c r="AW664" i="16" s="1"/>
  <c r="AL664" i="16"/>
  <c r="AK664" i="16"/>
  <c r="AJ664" i="16"/>
  <c r="AH664" i="16"/>
  <c r="AG664" i="16"/>
  <c r="AF664" i="16"/>
  <c r="AE664" i="16"/>
  <c r="AD664" i="16"/>
  <c r="AC664" i="16"/>
  <c r="AB664" i="16"/>
  <c r="Z664" i="16"/>
  <c r="L664" i="16"/>
  <c r="BF664" i="16" s="1"/>
  <c r="I664" i="16"/>
  <c r="BJ662" i="16"/>
  <c r="BH662" i="16"/>
  <c r="BD662" i="16"/>
  <c r="AP662" i="16"/>
  <c r="BI662" i="16" s="1"/>
  <c r="AO662" i="16"/>
  <c r="AW662" i="16" s="1"/>
  <c r="AL662" i="16"/>
  <c r="AK662" i="16"/>
  <c r="AJ662" i="16"/>
  <c r="AH662" i="16"/>
  <c r="AG662" i="16"/>
  <c r="AF662" i="16"/>
  <c r="AE662" i="16"/>
  <c r="AD662" i="16"/>
  <c r="AC662" i="16"/>
  <c r="AB662" i="16"/>
  <c r="Z662" i="16"/>
  <c r="L662" i="16"/>
  <c r="BF662" i="16" s="1"/>
  <c r="I662" i="16"/>
  <c r="BJ660" i="16"/>
  <c r="BH660" i="16"/>
  <c r="BD660" i="16"/>
  <c r="AP660" i="16"/>
  <c r="BI660" i="16" s="1"/>
  <c r="AO660" i="16"/>
  <c r="AW660" i="16" s="1"/>
  <c r="AL660" i="16"/>
  <c r="AK660" i="16"/>
  <c r="AJ660" i="16"/>
  <c r="AH660" i="16"/>
  <c r="AG660" i="16"/>
  <c r="AF660" i="16"/>
  <c r="AE660" i="16"/>
  <c r="AD660" i="16"/>
  <c r="AC660" i="16"/>
  <c r="AB660" i="16"/>
  <c r="Z660" i="16"/>
  <c r="L660" i="16"/>
  <c r="BF660" i="16" s="1"/>
  <c r="I660" i="16"/>
  <c r="BJ658" i="16"/>
  <c r="BH658" i="16"/>
  <c r="BD658" i="16"/>
  <c r="AP658" i="16"/>
  <c r="BI658" i="16" s="1"/>
  <c r="AO658" i="16"/>
  <c r="AW658" i="16" s="1"/>
  <c r="AL658" i="16"/>
  <c r="AK658" i="16"/>
  <c r="AJ658" i="16"/>
  <c r="AH658" i="16"/>
  <c r="AG658" i="16"/>
  <c r="AF658" i="16"/>
  <c r="AE658" i="16"/>
  <c r="AD658" i="16"/>
  <c r="AC658" i="16"/>
  <c r="AB658" i="16"/>
  <c r="Z658" i="16"/>
  <c r="L658" i="16"/>
  <c r="BF658" i="16" s="1"/>
  <c r="I658" i="16"/>
  <c r="BJ656" i="16"/>
  <c r="BH656" i="16"/>
  <c r="BD656" i="16"/>
  <c r="AP656" i="16"/>
  <c r="BI656" i="16" s="1"/>
  <c r="AO656" i="16"/>
  <c r="AW656" i="16" s="1"/>
  <c r="AL656" i="16"/>
  <c r="AK656" i="16"/>
  <c r="AJ656" i="16"/>
  <c r="AH656" i="16"/>
  <c r="AG656" i="16"/>
  <c r="AF656" i="16"/>
  <c r="AE656" i="16"/>
  <c r="AD656" i="16"/>
  <c r="AC656" i="16"/>
  <c r="AB656" i="16"/>
  <c r="Z656" i="16"/>
  <c r="L656" i="16"/>
  <c r="BF656" i="16" s="1"/>
  <c r="I656" i="16"/>
  <c r="BJ654" i="16"/>
  <c r="BH654" i="16"/>
  <c r="BD654" i="16"/>
  <c r="AP654" i="16"/>
  <c r="BI654" i="16" s="1"/>
  <c r="AO654" i="16"/>
  <c r="AW654" i="16" s="1"/>
  <c r="AL654" i="16"/>
  <c r="AK654" i="16"/>
  <c r="AJ654" i="16"/>
  <c r="AH654" i="16"/>
  <c r="AG654" i="16"/>
  <c r="AF654" i="16"/>
  <c r="AE654" i="16"/>
  <c r="AD654" i="16"/>
  <c r="AC654" i="16"/>
  <c r="AB654" i="16"/>
  <c r="Z654" i="16"/>
  <c r="L654" i="16"/>
  <c r="BF654" i="16" s="1"/>
  <c r="I654" i="16"/>
  <c r="AU653" i="16"/>
  <c r="AS653" i="16"/>
  <c r="I653" i="16"/>
  <c r="BJ652" i="16"/>
  <c r="BF652" i="16"/>
  <c r="BD652" i="16"/>
  <c r="AW652" i="16"/>
  <c r="AP652" i="16"/>
  <c r="AX652" i="16" s="1"/>
  <c r="AV652" i="16" s="1"/>
  <c r="AO652" i="16"/>
  <c r="BH652" i="16" s="1"/>
  <c r="AL652" i="16"/>
  <c r="AJ652" i="16"/>
  <c r="AS651" i="16" s="1"/>
  <c r="AH652" i="16"/>
  <c r="AG652" i="16"/>
  <c r="AF652" i="16"/>
  <c r="AE652" i="16"/>
  <c r="AD652" i="16"/>
  <c r="AC652" i="16"/>
  <c r="AB652" i="16"/>
  <c r="Z652" i="16"/>
  <c r="L652" i="16"/>
  <c r="I652" i="16"/>
  <c r="AK652" i="16" s="1"/>
  <c r="AT651" i="16" s="1"/>
  <c r="AU651" i="16"/>
  <c r="L651" i="16"/>
  <c r="BJ649" i="16"/>
  <c r="BD649" i="16"/>
  <c r="AX649" i="16"/>
  <c r="AV649" i="16"/>
  <c r="AP649" i="16"/>
  <c r="BI649" i="16" s="1"/>
  <c r="AC649" i="16" s="1"/>
  <c r="AO649" i="16"/>
  <c r="AW649" i="16" s="1"/>
  <c r="BC649" i="16" s="1"/>
  <c r="AL649" i="16"/>
  <c r="AJ649" i="16"/>
  <c r="AH649" i="16"/>
  <c r="AG649" i="16"/>
  <c r="AF649" i="16"/>
  <c r="AE649" i="16"/>
  <c r="AD649" i="16"/>
  <c r="Z649" i="16"/>
  <c r="L649" i="16"/>
  <c r="BF649" i="16" s="1"/>
  <c r="I649" i="16"/>
  <c r="AK649" i="16" s="1"/>
  <c r="AT648" i="16" s="1"/>
  <c r="AU648" i="16"/>
  <c r="AS648" i="16"/>
  <c r="L648" i="16"/>
  <c r="BJ645" i="16"/>
  <c r="BF645" i="16"/>
  <c r="BD645" i="16"/>
  <c r="AP645" i="16"/>
  <c r="BI645" i="16" s="1"/>
  <c r="AO645" i="16"/>
  <c r="BH645" i="16" s="1"/>
  <c r="AB645" i="16" s="1"/>
  <c r="AL645" i="16"/>
  <c r="AJ645" i="16"/>
  <c r="AH645" i="16"/>
  <c r="AG645" i="16"/>
  <c r="AF645" i="16"/>
  <c r="AE645" i="16"/>
  <c r="AD645" i="16"/>
  <c r="AC645" i="16"/>
  <c r="Z645" i="16"/>
  <c r="L645" i="16"/>
  <c r="I645" i="16"/>
  <c r="AK645" i="16" s="1"/>
  <c r="BJ643" i="16"/>
  <c r="BF643" i="16"/>
  <c r="BD643" i="16"/>
  <c r="AW643" i="16"/>
  <c r="AP643" i="16"/>
  <c r="BI643" i="16" s="1"/>
  <c r="AC643" i="16" s="1"/>
  <c r="AO643" i="16"/>
  <c r="BH643" i="16" s="1"/>
  <c r="AB643" i="16" s="1"/>
  <c r="AL643" i="16"/>
  <c r="AJ643" i="16"/>
  <c r="AH643" i="16"/>
  <c r="AG643" i="16"/>
  <c r="AF643" i="16"/>
  <c r="AE643" i="16"/>
  <c r="AD643" i="16"/>
  <c r="Z643" i="16"/>
  <c r="L643" i="16"/>
  <c r="I643" i="16"/>
  <c r="AK643" i="16" s="1"/>
  <c r="BJ641" i="16"/>
  <c r="BF641" i="16"/>
  <c r="BD641" i="16"/>
  <c r="AW641" i="16"/>
  <c r="AP641" i="16"/>
  <c r="BI641" i="16" s="1"/>
  <c r="AO641" i="16"/>
  <c r="BH641" i="16" s="1"/>
  <c r="AB641" i="16" s="1"/>
  <c r="AL641" i="16"/>
  <c r="AJ641" i="16"/>
  <c r="AH641" i="16"/>
  <c r="AG641" i="16"/>
  <c r="AF641" i="16"/>
  <c r="AE641" i="16"/>
  <c r="AD641" i="16"/>
  <c r="AC641" i="16"/>
  <c r="Z641" i="16"/>
  <c r="L641" i="16"/>
  <c r="I641" i="16"/>
  <c r="AK641" i="16" s="1"/>
  <c r="BJ639" i="16"/>
  <c r="BF639" i="16"/>
  <c r="BD639" i="16"/>
  <c r="AW639" i="16"/>
  <c r="AP639" i="16"/>
  <c r="BI639" i="16" s="1"/>
  <c r="AC639" i="16" s="1"/>
  <c r="AO639" i="16"/>
  <c r="BH639" i="16" s="1"/>
  <c r="AB639" i="16" s="1"/>
  <c r="AL639" i="16"/>
  <c r="AJ639" i="16"/>
  <c r="AH639" i="16"/>
  <c r="AG639" i="16"/>
  <c r="AF639" i="16"/>
  <c r="AE639" i="16"/>
  <c r="AD639" i="16"/>
  <c r="Z639" i="16"/>
  <c r="L639" i="16"/>
  <c r="I639" i="16"/>
  <c r="AK639" i="16" s="1"/>
  <c r="BJ637" i="16"/>
  <c r="BF637" i="16"/>
  <c r="BD637" i="16"/>
  <c r="AW637" i="16"/>
  <c r="AP637" i="16"/>
  <c r="BI637" i="16" s="1"/>
  <c r="AO637" i="16"/>
  <c r="BH637" i="16" s="1"/>
  <c r="AB637" i="16" s="1"/>
  <c r="AL637" i="16"/>
  <c r="AJ637" i="16"/>
  <c r="AH637" i="16"/>
  <c r="AG637" i="16"/>
  <c r="AF637" i="16"/>
  <c r="AE637" i="16"/>
  <c r="AD637" i="16"/>
  <c r="AC637" i="16"/>
  <c r="Z637" i="16"/>
  <c r="L637" i="16"/>
  <c r="I637" i="16"/>
  <c r="AK637" i="16" s="1"/>
  <c r="BJ635" i="16"/>
  <c r="BF635" i="16"/>
  <c r="BD635" i="16"/>
  <c r="AW635" i="16"/>
  <c r="AP635" i="16"/>
  <c r="BI635" i="16" s="1"/>
  <c r="AC635" i="16" s="1"/>
  <c r="AO635" i="16"/>
  <c r="BH635" i="16" s="1"/>
  <c r="AB635" i="16" s="1"/>
  <c r="AL635" i="16"/>
  <c r="AJ635" i="16"/>
  <c r="AH635" i="16"/>
  <c r="AG635" i="16"/>
  <c r="AF635" i="16"/>
  <c r="AE635" i="16"/>
  <c r="AD635" i="16"/>
  <c r="Z635" i="16"/>
  <c r="L635" i="16"/>
  <c r="I635" i="16"/>
  <c r="AK635" i="16" s="1"/>
  <c r="BJ633" i="16"/>
  <c r="BF633" i="16"/>
  <c r="BD633" i="16"/>
  <c r="AW633" i="16"/>
  <c r="AP633" i="16"/>
  <c r="BI633" i="16" s="1"/>
  <c r="AO633" i="16"/>
  <c r="BH633" i="16" s="1"/>
  <c r="AB633" i="16" s="1"/>
  <c r="AL633" i="16"/>
  <c r="AJ633" i="16"/>
  <c r="AS632" i="16" s="1"/>
  <c r="AH633" i="16"/>
  <c r="AG633" i="16"/>
  <c r="AF633" i="16"/>
  <c r="AE633" i="16"/>
  <c r="AD633" i="16"/>
  <c r="AC633" i="16"/>
  <c r="Z633" i="16"/>
  <c r="L633" i="16"/>
  <c r="I633" i="16"/>
  <c r="AK633" i="16" s="1"/>
  <c r="L632" i="16"/>
  <c r="BJ630" i="16"/>
  <c r="BD630" i="16"/>
  <c r="AX630" i="16"/>
  <c r="AP630" i="16"/>
  <c r="BI630" i="16" s="1"/>
  <c r="AC630" i="16" s="1"/>
  <c r="AO630" i="16"/>
  <c r="AW630" i="16" s="1"/>
  <c r="AL630" i="16"/>
  <c r="AK630" i="16"/>
  <c r="AT629" i="16" s="1"/>
  <c r="AJ630" i="16"/>
  <c r="AH630" i="16"/>
  <c r="AG630" i="16"/>
  <c r="AF630" i="16"/>
  <c r="AE630" i="16"/>
  <c r="AD630" i="16"/>
  <c r="Z630" i="16"/>
  <c r="L630" i="16"/>
  <c r="I630" i="16"/>
  <c r="AU629" i="16"/>
  <c r="AS629" i="16"/>
  <c r="I629" i="16"/>
  <c r="BJ627" i="16"/>
  <c r="BI627" i="16"/>
  <c r="AC627" i="16" s="1"/>
  <c r="BF627" i="16"/>
  <c r="BD627" i="16"/>
  <c r="AW627" i="16"/>
  <c r="AV627" i="16" s="1"/>
  <c r="AP627" i="16"/>
  <c r="AX627" i="16" s="1"/>
  <c r="AO627" i="16"/>
  <c r="BH627" i="16" s="1"/>
  <c r="AB627" i="16" s="1"/>
  <c r="AL627" i="16"/>
  <c r="AJ627" i="16"/>
  <c r="AH627" i="16"/>
  <c r="AG627" i="16"/>
  <c r="AF627" i="16"/>
  <c r="AE627" i="16"/>
  <c r="AD627" i="16"/>
  <c r="Z627" i="16"/>
  <c r="L627" i="16"/>
  <c r="I627" i="16"/>
  <c r="AK627" i="16" s="1"/>
  <c r="BJ625" i="16"/>
  <c r="BF625" i="16"/>
  <c r="BD625" i="16"/>
  <c r="AW625" i="16"/>
  <c r="AP625" i="16"/>
  <c r="AX625" i="16" s="1"/>
  <c r="AO625" i="16"/>
  <c r="BH625" i="16" s="1"/>
  <c r="AB625" i="16" s="1"/>
  <c r="AL625" i="16"/>
  <c r="AU624" i="16" s="1"/>
  <c r="AJ625" i="16"/>
  <c r="AS624" i="16" s="1"/>
  <c r="AH625" i="16"/>
  <c r="AG625" i="16"/>
  <c r="AF625" i="16"/>
  <c r="AE625" i="16"/>
  <c r="AD625" i="16"/>
  <c r="Z625" i="16"/>
  <c r="L625" i="16"/>
  <c r="I625" i="16"/>
  <c r="AK625" i="16" s="1"/>
  <c r="AT624" i="16"/>
  <c r="L624" i="16"/>
  <c r="BJ622" i="16"/>
  <c r="BD622" i="16"/>
  <c r="AX622" i="16"/>
  <c r="AP622" i="16"/>
  <c r="BI622" i="16" s="1"/>
  <c r="AC622" i="16" s="1"/>
  <c r="AO622" i="16"/>
  <c r="BH622" i="16" s="1"/>
  <c r="AB622" i="16" s="1"/>
  <c r="AL622" i="16"/>
  <c r="AK622" i="16"/>
  <c r="AJ622" i="16"/>
  <c r="AH622" i="16"/>
  <c r="AG622" i="16"/>
  <c r="AF622" i="16"/>
  <c r="AE622" i="16"/>
  <c r="AD622" i="16"/>
  <c r="Z622" i="16"/>
  <c r="L622" i="16"/>
  <c r="BF622" i="16" s="1"/>
  <c r="I622" i="16"/>
  <c r="BJ620" i="16"/>
  <c r="BD620" i="16"/>
  <c r="AX620" i="16"/>
  <c r="AP620" i="16"/>
  <c r="BI620" i="16" s="1"/>
  <c r="AC620" i="16" s="1"/>
  <c r="AO620" i="16"/>
  <c r="BH620" i="16" s="1"/>
  <c r="AL620" i="16"/>
  <c r="AK620" i="16"/>
  <c r="AJ620" i="16"/>
  <c r="AH620" i="16"/>
  <c r="AG620" i="16"/>
  <c r="AF620" i="16"/>
  <c r="AE620" i="16"/>
  <c r="AD620" i="16"/>
  <c r="AB620" i="16"/>
  <c r="Z620" i="16"/>
  <c r="L620" i="16"/>
  <c r="BF620" i="16" s="1"/>
  <c r="I620" i="16"/>
  <c r="BJ618" i="16"/>
  <c r="BD618" i="16"/>
  <c r="AX618" i="16"/>
  <c r="AP618" i="16"/>
  <c r="BI618" i="16" s="1"/>
  <c r="AC618" i="16" s="1"/>
  <c r="AO618" i="16"/>
  <c r="BH618" i="16" s="1"/>
  <c r="AB618" i="16" s="1"/>
  <c r="AL618" i="16"/>
  <c r="AK618" i="16"/>
  <c r="AJ618" i="16"/>
  <c r="AH618" i="16"/>
  <c r="AG618" i="16"/>
  <c r="AF618" i="16"/>
  <c r="AE618" i="16"/>
  <c r="AD618" i="16"/>
  <c r="Z618" i="16"/>
  <c r="L618" i="16"/>
  <c r="BF618" i="16" s="1"/>
  <c r="I618" i="16"/>
  <c r="AU617" i="16"/>
  <c r="AS617" i="16"/>
  <c r="I617" i="16"/>
  <c r="BJ615" i="16"/>
  <c r="BF615" i="16"/>
  <c r="BD615" i="16"/>
  <c r="AW615" i="16"/>
  <c r="AP615" i="16"/>
  <c r="AX615" i="16" s="1"/>
  <c r="AO615" i="16"/>
  <c r="BH615" i="16" s="1"/>
  <c r="AD615" i="16" s="1"/>
  <c r="AL615" i="16"/>
  <c r="AU614" i="16" s="1"/>
  <c r="AJ615" i="16"/>
  <c r="AH615" i="16"/>
  <c r="AG615" i="16"/>
  <c r="AF615" i="16"/>
  <c r="AC615" i="16"/>
  <c r="AB615" i="16"/>
  <c r="Z615" i="16"/>
  <c r="L615" i="16"/>
  <c r="I615" i="16"/>
  <c r="AS614" i="16"/>
  <c r="L614" i="16"/>
  <c r="BJ612" i="16"/>
  <c r="BD612" i="16"/>
  <c r="AX612" i="16"/>
  <c r="AP612" i="16"/>
  <c r="BI612" i="16" s="1"/>
  <c r="AE612" i="16" s="1"/>
  <c r="AO612" i="16"/>
  <c r="AW612" i="16" s="1"/>
  <c r="AL612" i="16"/>
  <c r="AK612" i="16"/>
  <c r="AJ612" i="16"/>
  <c r="AH612" i="16"/>
  <c r="AG612" i="16"/>
  <c r="AF612" i="16"/>
  <c r="AC612" i="16"/>
  <c r="AB612" i="16"/>
  <c r="Z612" i="16"/>
  <c r="L612" i="16"/>
  <c r="BF612" i="16" s="1"/>
  <c r="I612" i="16"/>
  <c r="BJ610" i="16"/>
  <c r="BH610" i="16"/>
  <c r="BD610" i="16"/>
  <c r="AX610" i="16"/>
  <c r="AP610" i="16"/>
  <c r="BI610" i="16" s="1"/>
  <c r="AE610" i="16" s="1"/>
  <c r="AO610" i="16"/>
  <c r="AW610" i="16" s="1"/>
  <c r="AL610" i="16"/>
  <c r="AK610" i="16"/>
  <c r="AJ610" i="16"/>
  <c r="AH610" i="16"/>
  <c r="AG610" i="16"/>
  <c r="AF610" i="16"/>
  <c r="AD610" i="16"/>
  <c r="AC610" i="16"/>
  <c r="AB610" i="16"/>
  <c r="Z610" i="16"/>
  <c r="L610" i="16"/>
  <c r="BF610" i="16" s="1"/>
  <c r="I610" i="16"/>
  <c r="BJ608" i="16"/>
  <c r="BH608" i="16"/>
  <c r="BD608" i="16"/>
  <c r="AX608" i="16"/>
  <c r="AP608" i="16"/>
  <c r="BI608" i="16" s="1"/>
  <c r="AE608" i="16" s="1"/>
  <c r="AO608" i="16"/>
  <c r="AW608" i="16" s="1"/>
  <c r="AL608" i="16"/>
  <c r="AK608" i="16"/>
  <c r="AT607" i="16" s="1"/>
  <c r="AJ608" i="16"/>
  <c r="AH608" i="16"/>
  <c r="AG608" i="16"/>
  <c r="AF608" i="16"/>
  <c r="AD608" i="16"/>
  <c r="AC608" i="16"/>
  <c r="AB608" i="16"/>
  <c r="Z608" i="16"/>
  <c r="L608" i="16"/>
  <c r="BF608" i="16" s="1"/>
  <c r="I608" i="16"/>
  <c r="AU607" i="16"/>
  <c r="AS607" i="16"/>
  <c r="I607" i="16"/>
  <c r="BJ605" i="16"/>
  <c r="BF605" i="16"/>
  <c r="BD605" i="16"/>
  <c r="AW605" i="16"/>
  <c r="AP605" i="16"/>
  <c r="AX605" i="16" s="1"/>
  <c r="AV605" i="16" s="1"/>
  <c r="AO605" i="16"/>
  <c r="BH605" i="16" s="1"/>
  <c r="AD605" i="16" s="1"/>
  <c r="AL605" i="16"/>
  <c r="AJ605" i="16"/>
  <c r="AH605" i="16"/>
  <c r="AG605" i="16"/>
  <c r="AF605" i="16"/>
  <c r="AC605" i="16"/>
  <c r="AB605" i="16"/>
  <c r="Z605" i="16"/>
  <c r="L605" i="16"/>
  <c r="I605" i="16"/>
  <c r="AK605" i="16" s="1"/>
  <c r="BJ603" i="16"/>
  <c r="BF603" i="16"/>
  <c r="BD603" i="16"/>
  <c r="AW603" i="16"/>
  <c r="AP603" i="16"/>
  <c r="AX603" i="16" s="1"/>
  <c r="AV603" i="16" s="1"/>
  <c r="AO603" i="16"/>
  <c r="BH603" i="16" s="1"/>
  <c r="AD603" i="16" s="1"/>
  <c r="AL603" i="16"/>
  <c r="AJ603" i="16"/>
  <c r="AH603" i="16"/>
  <c r="AG603" i="16"/>
  <c r="AF603" i="16"/>
  <c r="AC603" i="16"/>
  <c r="AB603" i="16"/>
  <c r="Z603" i="16"/>
  <c r="L603" i="16"/>
  <c r="I603" i="16"/>
  <c r="AK603" i="16" s="1"/>
  <c r="BJ601" i="16"/>
  <c r="BF601" i="16"/>
  <c r="BD601" i="16"/>
  <c r="BC601" i="16"/>
  <c r="AW601" i="16"/>
  <c r="AP601" i="16"/>
  <c r="AX601" i="16" s="1"/>
  <c r="AV601" i="16" s="1"/>
  <c r="AO601" i="16"/>
  <c r="BH601" i="16" s="1"/>
  <c r="AD601" i="16" s="1"/>
  <c r="AL601" i="16"/>
  <c r="AJ601" i="16"/>
  <c r="AH601" i="16"/>
  <c r="AG601" i="16"/>
  <c r="AF601" i="16"/>
  <c r="AC601" i="16"/>
  <c r="AB601" i="16"/>
  <c r="Z601" i="16"/>
  <c r="L601" i="16"/>
  <c r="I601" i="16"/>
  <c r="AK601" i="16" s="1"/>
  <c r="BJ599" i="16"/>
  <c r="BF599" i="16"/>
  <c r="BD599" i="16"/>
  <c r="BC599" i="16"/>
  <c r="AW599" i="16"/>
  <c r="AP599" i="16"/>
  <c r="AX599" i="16" s="1"/>
  <c r="AV599" i="16" s="1"/>
  <c r="AO599" i="16"/>
  <c r="BH599" i="16" s="1"/>
  <c r="AD599" i="16" s="1"/>
  <c r="AL599" i="16"/>
  <c r="AJ599" i="16"/>
  <c r="AH599" i="16"/>
  <c r="AG599" i="16"/>
  <c r="AF599" i="16"/>
  <c r="AC599" i="16"/>
  <c r="AB599" i="16"/>
  <c r="Z599" i="16"/>
  <c r="L599" i="16"/>
  <c r="I599" i="16"/>
  <c r="AK599" i="16" s="1"/>
  <c r="BJ597" i="16"/>
  <c r="BF597" i="16"/>
  <c r="BD597" i="16"/>
  <c r="AW597" i="16"/>
  <c r="AP597" i="16"/>
  <c r="AX597" i="16" s="1"/>
  <c r="AV597" i="16" s="1"/>
  <c r="AO597" i="16"/>
  <c r="BH597" i="16" s="1"/>
  <c r="AD597" i="16" s="1"/>
  <c r="AL597" i="16"/>
  <c r="AJ597" i="16"/>
  <c r="AH597" i="16"/>
  <c r="AG597" i="16"/>
  <c r="AF597" i="16"/>
  <c r="AC597" i="16"/>
  <c r="AB597" i="16"/>
  <c r="Z597" i="16"/>
  <c r="L597" i="16"/>
  <c r="I597" i="16"/>
  <c r="AK597" i="16" s="1"/>
  <c r="AU596" i="16"/>
  <c r="L596" i="16"/>
  <c r="BJ594" i="16"/>
  <c r="BD594" i="16"/>
  <c r="AX594" i="16"/>
  <c r="AV594" i="16"/>
  <c r="AP594" i="16"/>
  <c r="BI594" i="16" s="1"/>
  <c r="AE594" i="16" s="1"/>
  <c r="AO594" i="16"/>
  <c r="AW594" i="16" s="1"/>
  <c r="BC594" i="16" s="1"/>
  <c r="AL594" i="16"/>
  <c r="AK594" i="16"/>
  <c r="AT593" i="16" s="1"/>
  <c r="AJ594" i="16"/>
  <c r="AH594" i="16"/>
  <c r="AG594" i="16"/>
  <c r="AF594" i="16"/>
  <c r="AC594" i="16"/>
  <c r="AB594" i="16"/>
  <c r="Z594" i="16"/>
  <c r="L594" i="16"/>
  <c r="BF594" i="16" s="1"/>
  <c r="I594" i="16"/>
  <c r="AU593" i="16"/>
  <c r="AS593" i="16"/>
  <c r="I593" i="16"/>
  <c r="BJ592" i="16"/>
  <c r="BF592" i="16"/>
  <c r="BD592" i="16"/>
  <c r="AW592" i="16"/>
  <c r="AP592" i="16"/>
  <c r="BI592" i="16" s="1"/>
  <c r="AO592" i="16"/>
  <c r="BH592" i="16" s="1"/>
  <c r="AL592" i="16"/>
  <c r="AJ592" i="16"/>
  <c r="AH592" i="16"/>
  <c r="AG592" i="16"/>
  <c r="AF592" i="16"/>
  <c r="AE592" i="16"/>
  <c r="AD592" i="16"/>
  <c r="AC592" i="16"/>
  <c r="AB592" i="16"/>
  <c r="Z592" i="16"/>
  <c r="L592" i="16"/>
  <c r="I592" i="16"/>
  <c r="AK592" i="16" s="1"/>
  <c r="BJ590" i="16"/>
  <c r="BF590" i="16"/>
  <c r="BD590" i="16"/>
  <c r="AW590" i="16"/>
  <c r="AP590" i="16"/>
  <c r="BI590" i="16" s="1"/>
  <c r="AE590" i="16" s="1"/>
  <c r="AO590" i="16"/>
  <c r="BH590" i="16" s="1"/>
  <c r="AD590" i="16" s="1"/>
  <c r="AL590" i="16"/>
  <c r="AJ590" i="16"/>
  <c r="AH590" i="16"/>
  <c r="AG590" i="16"/>
  <c r="AF590" i="16"/>
  <c r="AC590" i="16"/>
  <c r="AB590" i="16"/>
  <c r="Z590" i="16"/>
  <c r="L590" i="16"/>
  <c r="I590" i="16"/>
  <c r="AK590" i="16" s="1"/>
  <c r="BJ588" i="16"/>
  <c r="BD588" i="16"/>
  <c r="AW588" i="16"/>
  <c r="AV588" i="16" s="1"/>
  <c r="AP588" i="16"/>
  <c r="AX588" i="16" s="1"/>
  <c r="BC588" i="16" s="1"/>
  <c r="AO588" i="16"/>
  <c r="BH588" i="16" s="1"/>
  <c r="AD588" i="16" s="1"/>
  <c r="AL588" i="16"/>
  <c r="AJ588" i="16"/>
  <c r="AH588" i="16"/>
  <c r="AG588" i="16"/>
  <c r="AF588" i="16"/>
  <c r="AC588" i="16"/>
  <c r="AB588" i="16"/>
  <c r="Z588" i="16"/>
  <c r="L588" i="16"/>
  <c r="BF588" i="16" s="1"/>
  <c r="I588" i="16"/>
  <c r="AK588" i="16" s="1"/>
  <c r="BJ586" i="16"/>
  <c r="BF586" i="16"/>
  <c r="BD586" i="16"/>
  <c r="AW586" i="16"/>
  <c r="AP586" i="16"/>
  <c r="BI586" i="16" s="1"/>
  <c r="AE586" i="16" s="1"/>
  <c r="AO586" i="16"/>
  <c r="BH586" i="16" s="1"/>
  <c r="AD586" i="16" s="1"/>
  <c r="AL586" i="16"/>
  <c r="AJ586" i="16"/>
  <c r="AH586" i="16"/>
  <c r="AG586" i="16"/>
  <c r="AF586" i="16"/>
  <c r="AC586" i="16"/>
  <c r="AB586" i="16"/>
  <c r="Z586" i="16"/>
  <c r="L586" i="16"/>
  <c r="I586" i="16"/>
  <c r="AK586" i="16" s="1"/>
  <c r="AT579" i="16" s="1"/>
  <c r="BJ580" i="16"/>
  <c r="BI580" i="16"/>
  <c r="BD580" i="16"/>
  <c r="AX580" i="16"/>
  <c r="BC580" i="16" s="1"/>
  <c r="AW580" i="16"/>
  <c r="AV580" i="16" s="1"/>
  <c r="AP580" i="16"/>
  <c r="AO580" i="16"/>
  <c r="BH580" i="16" s="1"/>
  <c r="AD580" i="16" s="1"/>
  <c r="AL580" i="16"/>
  <c r="AJ580" i="16"/>
  <c r="AS579" i="16" s="1"/>
  <c r="AH580" i="16"/>
  <c r="AG580" i="16"/>
  <c r="AF580" i="16"/>
  <c r="AE580" i="16"/>
  <c r="AC580" i="16"/>
  <c r="AB580" i="16"/>
  <c r="Z580" i="16"/>
  <c r="L580" i="16"/>
  <c r="BF580" i="16" s="1"/>
  <c r="I580" i="16"/>
  <c r="AK580" i="16" s="1"/>
  <c r="BJ577" i="16"/>
  <c r="BD577" i="16"/>
  <c r="AP577" i="16"/>
  <c r="BI577" i="16" s="1"/>
  <c r="AE577" i="16" s="1"/>
  <c r="AO577" i="16"/>
  <c r="AW577" i="16" s="1"/>
  <c r="AL577" i="16"/>
  <c r="AK577" i="16"/>
  <c r="AJ577" i="16"/>
  <c r="AH577" i="16"/>
  <c r="AG577" i="16"/>
  <c r="AF577" i="16"/>
  <c r="AC577" i="16"/>
  <c r="AB577" i="16"/>
  <c r="Z577" i="16"/>
  <c r="L577" i="16"/>
  <c r="BF577" i="16" s="1"/>
  <c r="I577" i="16"/>
  <c r="BJ575" i="16"/>
  <c r="BD575" i="16"/>
  <c r="AP575" i="16"/>
  <c r="BI575" i="16" s="1"/>
  <c r="AE575" i="16" s="1"/>
  <c r="AO575" i="16"/>
  <c r="AW575" i="16" s="1"/>
  <c r="AL575" i="16"/>
  <c r="AK575" i="16"/>
  <c r="AJ575" i="16"/>
  <c r="AH575" i="16"/>
  <c r="AG575" i="16"/>
  <c r="AF575" i="16"/>
  <c r="AC575" i="16"/>
  <c r="AB575" i="16"/>
  <c r="Z575" i="16"/>
  <c r="L575" i="16"/>
  <c r="BF575" i="16" s="1"/>
  <c r="I575" i="16"/>
  <c r="BJ573" i="16"/>
  <c r="BD573" i="16"/>
  <c r="AP573" i="16"/>
  <c r="BI573" i="16" s="1"/>
  <c r="AE573" i="16" s="1"/>
  <c r="AO573" i="16"/>
  <c r="AW573" i="16" s="1"/>
  <c r="AL573" i="16"/>
  <c r="AK573" i="16"/>
  <c r="AJ573" i="16"/>
  <c r="AH573" i="16"/>
  <c r="AG573" i="16"/>
  <c r="AF573" i="16"/>
  <c r="AC573" i="16"/>
  <c r="AB573" i="16"/>
  <c r="Z573" i="16"/>
  <c r="L573" i="16"/>
  <c r="BF573" i="16" s="1"/>
  <c r="I573" i="16"/>
  <c r="BJ571" i="16"/>
  <c r="BD571" i="16"/>
  <c r="AP571" i="16"/>
  <c r="AX571" i="16" s="1"/>
  <c r="AO571" i="16"/>
  <c r="AW571" i="16" s="1"/>
  <c r="AL571" i="16"/>
  <c r="AK571" i="16"/>
  <c r="AT570" i="16" s="1"/>
  <c r="AJ571" i="16"/>
  <c r="AH571" i="16"/>
  <c r="AG571" i="16"/>
  <c r="AF571" i="16"/>
  <c r="AC571" i="16"/>
  <c r="AB571" i="16"/>
  <c r="Z571" i="16"/>
  <c r="L571" i="16"/>
  <c r="I571" i="16"/>
  <c r="AU570" i="16"/>
  <c r="AS570" i="16"/>
  <c r="I570" i="16"/>
  <c r="BJ568" i="16"/>
  <c r="BI568" i="16"/>
  <c r="BF568" i="16"/>
  <c r="BD568" i="16"/>
  <c r="AW568" i="16"/>
  <c r="AP568" i="16"/>
  <c r="AX568" i="16" s="1"/>
  <c r="AO568" i="16"/>
  <c r="BH568" i="16" s="1"/>
  <c r="AD568" i="16" s="1"/>
  <c r="AL568" i="16"/>
  <c r="AJ568" i="16"/>
  <c r="AH568" i="16"/>
  <c r="AG568" i="16"/>
  <c r="AF568" i="16"/>
  <c r="AE568" i="16"/>
  <c r="AC568" i="16"/>
  <c r="AB568" i="16"/>
  <c r="Z568" i="16"/>
  <c r="L568" i="16"/>
  <c r="I568" i="16"/>
  <c r="AK568" i="16" s="1"/>
  <c r="BJ566" i="16"/>
  <c r="BF566" i="16"/>
  <c r="BD566" i="16"/>
  <c r="AW566" i="16"/>
  <c r="AP566" i="16"/>
  <c r="AX566" i="16" s="1"/>
  <c r="AO566" i="16"/>
  <c r="BH566" i="16" s="1"/>
  <c r="AD566" i="16" s="1"/>
  <c r="AL566" i="16"/>
  <c r="AK566" i="16"/>
  <c r="AJ566" i="16"/>
  <c r="AH566" i="16"/>
  <c r="AG566" i="16"/>
  <c r="AF566" i="16"/>
  <c r="AC566" i="16"/>
  <c r="AB566" i="16"/>
  <c r="Z566" i="16"/>
  <c r="L566" i="16"/>
  <c r="I566" i="16"/>
  <c r="BJ564" i="16"/>
  <c r="BI564" i="16"/>
  <c r="BF564" i="16"/>
  <c r="BD564" i="16"/>
  <c r="AW564" i="16"/>
  <c r="AP564" i="16"/>
  <c r="AX564" i="16" s="1"/>
  <c r="AO564" i="16"/>
  <c r="BH564" i="16" s="1"/>
  <c r="AD564" i="16" s="1"/>
  <c r="AL564" i="16"/>
  <c r="AU563" i="16" s="1"/>
  <c r="AK564" i="16"/>
  <c r="AT563" i="16" s="1"/>
  <c r="AJ564" i="16"/>
  <c r="AS563" i="16" s="1"/>
  <c r="AH564" i="16"/>
  <c r="AG564" i="16"/>
  <c r="AF564" i="16"/>
  <c r="AE564" i="16"/>
  <c r="AC564" i="16"/>
  <c r="AB564" i="16"/>
  <c r="Z564" i="16"/>
  <c r="L564" i="16"/>
  <c r="I564" i="16"/>
  <c r="I563" i="16" s="1"/>
  <c r="L563" i="16"/>
  <c r="BJ561" i="16"/>
  <c r="BD561" i="16"/>
  <c r="AX561" i="16"/>
  <c r="AP561" i="16"/>
  <c r="BI561" i="16" s="1"/>
  <c r="AC561" i="16" s="1"/>
  <c r="AO561" i="16"/>
  <c r="BH561" i="16" s="1"/>
  <c r="AB561" i="16" s="1"/>
  <c r="AL561" i="16"/>
  <c r="AJ561" i="16"/>
  <c r="AH561" i="16"/>
  <c r="AG561" i="16"/>
  <c r="AF561" i="16"/>
  <c r="AE561" i="16"/>
  <c r="AD561" i="16"/>
  <c r="Z561" i="16"/>
  <c r="L561" i="16"/>
  <c r="BF561" i="16" s="1"/>
  <c r="I561" i="16"/>
  <c r="AK561" i="16" s="1"/>
  <c r="AT560" i="16" s="1"/>
  <c r="AU560" i="16"/>
  <c r="AS560" i="16"/>
  <c r="BJ558" i="16"/>
  <c r="BH558" i="16"/>
  <c r="AB558" i="16" s="1"/>
  <c r="BF558" i="16"/>
  <c r="BD558" i="16"/>
  <c r="BC558" i="16"/>
  <c r="AW558" i="16"/>
  <c r="AP558" i="16"/>
  <c r="AX558" i="16" s="1"/>
  <c r="AO558" i="16"/>
  <c r="AL558" i="16"/>
  <c r="AJ558" i="16"/>
  <c r="AH558" i="16"/>
  <c r="AG558" i="16"/>
  <c r="AF558" i="16"/>
  <c r="AE558" i="16"/>
  <c r="AD558" i="16"/>
  <c r="Z558" i="16"/>
  <c r="L558" i="16"/>
  <c r="I558" i="16"/>
  <c r="AK558" i="16" s="1"/>
  <c r="BJ556" i="16"/>
  <c r="BF556" i="16"/>
  <c r="BD556" i="16"/>
  <c r="AP556" i="16"/>
  <c r="AX556" i="16" s="1"/>
  <c r="AO556" i="16"/>
  <c r="BH556" i="16" s="1"/>
  <c r="AB556" i="16" s="1"/>
  <c r="AL556" i="16"/>
  <c r="AJ556" i="16"/>
  <c r="AH556" i="16"/>
  <c r="AG556" i="16"/>
  <c r="AF556" i="16"/>
  <c r="AE556" i="16"/>
  <c r="AD556" i="16"/>
  <c r="Z556" i="16"/>
  <c r="L556" i="16"/>
  <c r="I556" i="16"/>
  <c r="AK556" i="16" s="1"/>
  <c r="BJ554" i="16"/>
  <c r="BH554" i="16"/>
  <c r="AB554" i="16" s="1"/>
  <c r="BF554" i="16"/>
  <c r="BD554" i="16"/>
  <c r="BC554" i="16"/>
  <c r="AW554" i="16"/>
  <c r="AP554" i="16"/>
  <c r="AX554" i="16" s="1"/>
  <c r="AO554" i="16"/>
  <c r="AL554" i="16"/>
  <c r="AJ554" i="16"/>
  <c r="AH554" i="16"/>
  <c r="AG554" i="16"/>
  <c r="AF554" i="16"/>
  <c r="AE554" i="16"/>
  <c r="AD554" i="16"/>
  <c r="Z554" i="16"/>
  <c r="L554" i="16"/>
  <c r="I554" i="16"/>
  <c r="AK554" i="16" s="1"/>
  <c r="BJ552" i="16"/>
  <c r="BF552" i="16"/>
  <c r="BD552" i="16"/>
  <c r="AP552" i="16"/>
  <c r="AO552" i="16"/>
  <c r="AW552" i="16" s="1"/>
  <c r="AL552" i="16"/>
  <c r="AU551" i="16" s="1"/>
  <c r="AJ552" i="16"/>
  <c r="AH552" i="16"/>
  <c r="AG552" i="16"/>
  <c r="AF552" i="16"/>
  <c r="AE552" i="16"/>
  <c r="AD552" i="16"/>
  <c r="Z552" i="16"/>
  <c r="L552" i="16"/>
  <c r="I552" i="16"/>
  <c r="AS551" i="16"/>
  <c r="L551" i="16"/>
  <c r="BJ549" i="16"/>
  <c r="BH549" i="16"/>
  <c r="BD549" i="16"/>
  <c r="AX549" i="16"/>
  <c r="AV549" i="16" s="1"/>
  <c r="AP549" i="16"/>
  <c r="BI549" i="16" s="1"/>
  <c r="AC549" i="16" s="1"/>
  <c r="AO549" i="16"/>
  <c r="AW549" i="16" s="1"/>
  <c r="BC549" i="16" s="1"/>
  <c r="AL549" i="16"/>
  <c r="AK549" i="16"/>
  <c r="AJ549" i="16"/>
  <c r="AH549" i="16"/>
  <c r="AG549" i="16"/>
  <c r="AF549" i="16"/>
  <c r="AE549" i="16"/>
  <c r="AD549" i="16"/>
  <c r="AB549" i="16"/>
  <c r="Z549" i="16"/>
  <c r="L549" i="16"/>
  <c r="BF549" i="16" s="1"/>
  <c r="I549" i="16"/>
  <c r="BJ547" i="16"/>
  <c r="BH547" i="16"/>
  <c r="BD547" i="16"/>
  <c r="AX547" i="16"/>
  <c r="AV547" i="16" s="1"/>
  <c r="AP547" i="16"/>
  <c r="BI547" i="16" s="1"/>
  <c r="AC547" i="16" s="1"/>
  <c r="AO547" i="16"/>
  <c r="AW547" i="16" s="1"/>
  <c r="BC547" i="16" s="1"/>
  <c r="AL547" i="16"/>
  <c r="AK547" i="16"/>
  <c r="AJ547" i="16"/>
  <c r="AH547" i="16"/>
  <c r="AG547" i="16"/>
  <c r="AF547" i="16"/>
  <c r="AE547" i="16"/>
  <c r="AD547" i="16"/>
  <c r="AB547" i="16"/>
  <c r="Z547" i="16"/>
  <c r="L547" i="16"/>
  <c r="BF547" i="16" s="1"/>
  <c r="I547" i="16"/>
  <c r="BJ545" i="16"/>
  <c r="BH545" i="16"/>
  <c r="BD545" i="16"/>
  <c r="AX545" i="16"/>
  <c r="AV545" i="16" s="1"/>
  <c r="AP545" i="16"/>
  <c r="BI545" i="16" s="1"/>
  <c r="AC545" i="16" s="1"/>
  <c r="AO545" i="16"/>
  <c r="AW545" i="16" s="1"/>
  <c r="BC545" i="16" s="1"/>
  <c r="AL545" i="16"/>
  <c r="AK545" i="16"/>
  <c r="AT544" i="16" s="1"/>
  <c r="AJ545" i="16"/>
  <c r="AS544" i="16" s="1"/>
  <c r="AH545" i="16"/>
  <c r="AG545" i="16"/>
  <c r="AF545" i="16"/>
  <c r="AE545" i="16"/>
  <c r="AD545" i="16"/>
  <c r="AB545" i="16"/>
  <c r="Z545" i="16"/>
  <c r="L545" i="16"/>
  <c r="I545" i="16"/>
  <c r="AU544" i="16"/>
  <c r="I544" i="16"/>
  <c r="BJ542" i="16"/>
  <c r="BI542" i="16"/>
  <c r="AC542" i="16" s="1"/>
  <c r="BF542" i="16"/>
  <c r="BD542" i="16"/>
  <c r="AW542" i="16"/>
  <c r="BC542" i="16" s="1"/>
  <c r="AP542" i="16"/>
  <c r="AX542" i="16" s="1"/>
  <c r="AO542" i="16"/>
  <c r="BH542" i="16" s="1"/>
  <c r="AB542" i="16" s="1"/>
  <c r="AL542" i="16"/>
  <c r="AJ542" i="16"/>
  <c r="AH542" i="16"/>
  <c r="AG542" i="16"/>
  <c r="AF542" i="16"/>
  <c r="AE542" i="16"/>
  <c r="AD542" i="16"/>
  <c r="Z542" i="16"/>
  <c r="L542" i="16"/>
  <c r="I542" i="16"/>
  <c r="AK542" i="16" s="1"/>
  <c r="BJ540" i="16"/>
  <c r="BI540" i="16"/>
  <c r="AC540" i="16" s="1"/>
  <c r="BF540" i="16"/>
  <c r="BD540" i="16"/>
  <c r="AW540" i="16"/>
  <c r="BC540" i="16" s="1"/>
  <c r="AP540" i="16"/>
  <c r="AX540" i="16" s="1"/>
  <c r="AO540" i="16"/>
  <c r="BH540" i="16" s="1"/>
  <c r="AB540" i="16" s="1"/>
  <c r="AL540" i="16"/>
  <c r="AJ540" i="16"/>
  <c r="AH540" i="16"/>
  <c r="AG540" i="16"/>
  <c r="AF540" i="16"/>
  <c r="AE540" i="16"/>
  <c r="AD540" i="16"/>
  <c r="Z540" i="16"/>
  <c r="L540" i="16"/>
  <c r="I540" i="16"/>
  <c r="AK540" i="16" s="1"/>
  <c r="BJ538" i="16"/>
  <c r="BI538" i="16"/>
  <c r="AC538" i="16" s="1"/>
  <c r="BF538" i="16"/>
  <c r="BD538" i="16"/>
  <c r="AW538" i="16"/>
  <c r="BC538" i="16" s="1"/>
  <c r="AP538" i="16"/>
  <c r="AX538" i="16" s="1"/>
  <c r="AO538" i="16"/>
  <c r="BH538" i="16" s="1"/>
  <c r="AB538" i="16" s="1"/>
  <c r="AL538" i="16"/>
  <c r="AU537" i="16" s="1"/>
  <c r="AJ538" i="16"/>
  <c r="AS537" i="16" s="1"/>
  <c r="AH538" i="16"/>
  <c r="AG538" i="16"/>
  <c r="AF538" i="16"/>
  <c r="AE538" i="16"/>
  <c r="AD538" i="16"/>
  <c r="Z538" i="16"/>
  <c r="L538" i="16"/>
  <c r="I538" i="16"/>
  <c r="L537" i="16"/>
  <c r="BJ535" i="16"/>
  <c r="BF535" i="16"/>
  <c r="BD535" i="16"/>
  <c r="AX535" i="16"/>
  <c r="AP535" i="16"/>
  <c r="BI535" i="16" s="1"/>
  <c r="AC535" i="16" s="1"/>
  <c r="AO535" i="16"/>
  <c r="AW535" i="16" s="1"/>
  <c r="AL535" i="16"/>
  <c r="AK535" i="16"/>
  <c r="AJ535" i="16"/>
  <c r="AH535" i="16"/>
  <c r="AG535" i="16"/>
  <c r="AF535" i="16"/>
  <c r="AE535" i="16"/>
  <c r="AD535" i="16"/>
  <c r="Z535" i="16"/>
  <c r="L535" i="16"/>
  <c r="I535" i="16"/>
  <c r="BJ533" i="16"/>
  <c r="BH533" i="16"/>
  <c r="BD533" i="16"/>
  <c r="AX533" i="16"/>
  <c r="AV533" i="16"/>
  <c r="AP533" i="16"/>
  <c r="BI533" i="16" s="1"/>
  <c r="AC533" i="16" s="1"/>
  <c r="AO533" i="16"/>
  <c r="AW533" i="16" s="1"/>
  <c r="BC533" i="16" s="1"/>
  <c r="AL533" i="16"/>
  <c r="AK533" i="16"/>
  <c r="AT532" i="16" s="1"/>
  <c r="AJ533" i="16"/>
  <c r="AH533" i="16"/>
  <c r="AG533" i="16"/>
  <c r="AF533" i="16"/>
  <c r="AE533" i="16"/>
  <c r="AD533" i="16"/>
  <c r="AB533" i="16"/>
  <c r="Z533" i="16"/>
  <c r="L533" i="16"/>
  <c r="L532" i="16" s="1"/>
  <c r="I533" i="16"/>
  <c r="I532" i="16" s="1"/>
  <c r="AU532" i="16"/>
  <c r="AS532" i="16"/>
  <c r="BJ529" i="16"/>
  <c r="BD529" i="16"/>
  <c r="AW529" i="16"/>
  <c r="BC529" i="16" s="1"/>
  <c r="AP529" i="16"/>
  <c r="AX529" i="16" s="1"/>
  <c r="AO529" i="16"/>
  <c r="BH529" i="16" s="1"/>
  <c r="AL529" i="16"/>
  <c r="AJ529" i="16"/>
  <c r="AH529" i="16"/>
  <c r="AG529" i="16"/>
  <c r="AF529" i="16"/>
  <c r="AE529" i="16"/>
  <c r="AD529" i="16"/>
  <c r="AC529" i="16"/>
  <c r="AB529" i="16"/>
  <c r="Z529" i="16"/>
  <c r="L529" i="16"/>
  <c r="BF529" i="16" s="1"/>
  <c r="I529" i="16"/>
  <c r="AK529" i="16" s="1"/>
  <c r="BJ527" i="16"/>
  <c r="BF527" i="16"/>
  <c r="BD527" i="16"/>
  <c r="AW527" i="16"/>
  <c r="AV527" i="16" s="1"/>
  <c r="AP527" i="16"/>
  <c r="AX527" i="16" s="1"/>
  <c r="BC527" i="16" s="1"/>
  <c r="AO527" i="16"/>
  <c r="BH527" i="16" s="1"/>
  <c r="AL527" i="16"/>
  <c r="AJ527" i="16"/>
  <c r="AH527" i="16"/>
  <c r="AG527" i="16"/>
  <c r="AF527" i="16"/>
  <c r="AE527" i="16"/>
  <c r="AD527" i="16"/>
  <c r="AC527" i="16"/>
  <c r="AB527" i="16"/>
  <c r="Z527" i="16"/>
  <c r="L527" i="16"/>
  <c r="I527" i="16"/>
  <c r="AK527" i="16" s="1"/>
  <c r="BJ525" i="16"/>
  <c r="BF525" i="16"/>
  <c r="BD525" i="16"/>
  <c r="AW525" i="16"/>
  <c r="AV525" i="16" s="1"/>
  <c r="AP525" i="16"/>
  <c r="AX525" i="16" s="1"/>
  <c r="BC525" i="16" s="1"/>
  <c r="AO525" i="16"/>
  <c r="BH525" i="16" s="1"/>
  <c r="AL525" i="16"/>
  <c r="AJ525" i="16"/>
  <c r="AH525" i="16"/>
  <c r="AG525" i="16"/>
  <c r="AF525" i="16"/>
  <c r="AE525" i="16"/>
  <c r="AD525" i="16"/>
  <c r="AC525" i="16"/>
  <c r="AB525" i="16"/>
  <c r="Z525" i="16"/>
  <c r="L525" i="16"/>
  <c r="I525" i="16"/>
  <c r="AK525" i="16" s="1"/>
  <c r="BJ523" i="16"/>
  <c r="BF523" i="16"/>
  <c r="BD523" i="16"/>
  <c r="AW523" i="16"/>
  <c r="AV523" i="16" s="1"/>
  <c r="AP523" i="16"/>
  <c r="AX523" i="16" s="1"/>
  <c r="BC523" i="16" s="1"/>
  <c r="AO523" i="16"/>
  <c r="BH523" i="16" s="1"/>
  <c r="AL523" i="16"/>
  <c r="AJ523" i="16"/>
  <c r="AH523" i="16"/>
  <c r="AG523" i="16"/>
  <c r="AF523" i="16"/>
  <c r="AE523" i="16"/>
  <c r="AD523" i="16"/>
  <c r="AC523" i="16"/>
  <c r="AB523" i="16"/>
  <c r="Z523" i="16"/>
  <c r="L523" i="16"/>
  <c r="I523" i="16"/>
  <c r="AK523" i="16" s="1"/>
  <c r="BJ521" i="16"/>
  <c r="BF521" i="16"/>
  <c r="BD521" i="16"/>
  <c r="AW521" i="16"/>
  <c r="AV521" i="16" s="1"/>
  <c r="AP521" i="16"/>
  <c r="AX521" i="16" s="1"/>
  <c r="BC521" i="16" s="1"/>
  <c r="AO521" i="16"/>
  <c r="BH521" i="16" s="1"/>
  <c r="AL521" i="16"/>
  <c r="AJ521" i="16"/>
  <c r="AH521" i="16"/>
  <c r="AG521" i="16"/>
  <c r="AF521" i="16"/>
  <c r="AE521" i="16"/>
  <c r="AD521" i="16"/>
  <c r="AC521" i="16"/>
  <c r="AB521" i="16"/>
  <c r="Z521" i="16"/>
  <c r="L521" i="16"/>
  <c r="I521" i="16"/>
  <c r="AK521" i="16" s="1"/>
  <c r="BJ519" i="16"/>
  <c r="BF519" i="16"/>
  <c r="BD519" i="16"/>
  <c r="AW519" i="16"/>
  <c r="AV519" i="16" s="1"/>
  <c r="AP519" i="16"/>
  <c r="AX519" i="16" s="1"/>
  <c r="BC519" i="16" s="1"/>
  <c r="AO519" i="16"/>
  <c r="BH519" i="16" s="1"/>
  <c r="AL519" i="16"/>
  <c r="AJ519" i="16"/>
  <c r="AH519" i="16"/>
  <c r="AG519" i="16"/>
  <c r="AF519" i="16"/>
  <c r="AE519" i="16"/>
  <c r="AD519" i="16"/>
  <c r="AC519" i="16"/>
  <c r="AB519" i="16"/>
  <c r="Z519" i="16"/>
  <c r="L519" i="16"/>
  <c r="I519" i="16"/>
  <c r="AK519" i="16" s="1"/>
  <c r="BJ517" i="16"/>
  <c r="BF517" i="16"/>
  <c r="BD517" i="16"/>
  <c r="AW517" i="16"/>
  <c r="AV517" i="16" s="1"/>
  <c r="AP517" i="16"/>
  <c r="AX517" i="16" s="1"/>
  <c r="BC517" i="16" s="1"/>
  <c r="AO517" i="16"/>
  <c r="BH517" i="16" s="1"/>
  <c r="AL517" i="16"/>
  <c r="AJ517" i="16"/>
  <c r="AH517" i="16"/>
  <c r="AG517" i="16"/>
  <c r="AF517" i="16"/>
  <c r="AE517" i="16"/>
  <c r="AD517" i="16"/>
  <c r="AC517" i="16"/>
  <c r="AB517" i="16"/>
  <c r="Z517" i="16"/>
  <c r="L517" i="16"/>
  <c r="I517" i="16"/>
  <c r="AK517" i="16" s="1"/>
  <c r="BJ515" i="16"/>
  <c r="BF515" i="16"/>
  <c r="BD515" i="16"/>
  <c r="AW515" i="16"/>
  <c r="AV515" i="16" s="1"/>
  <c r="AP515" i="16"/>
  <c r="AX515" i="16" s="1"/>
  <c r="BC515" i="16" s="1"/>
  <c r="AO515" i="16"/>
  <c r="BH515" i="16" s="1"/>
  <c r="AL515" i="16"/>
  <c r="AU514" i="16" s="1"/>
  <c r="AJ515" i="16"/>
  <c r="AS514" i="16" s="1"/>
  <c r="AH515" i="16"/>
  <c r="AG515" i="16"/>
  <c r="AF515" i="16"/>
  <c r="AE515" i="16"/>
  <c r="AD515" i="16"/>
  <c r="AC515" i="16"/>
  <c r="AB515" i="16"/>
  <c r="Z515" i="16"/>
  <c r="L515" i="16"/>
  <c r="I515" i="16"/>
  <c r="AK515" i="16" s="1"/>
  <c r="AT514" i="16" s="1"/>
  <c r="L514" i="16"/>
  <c r="BJ513" i="16"/>
  <c r="Z513" i="16" s="1"/>
  <c r="BD513" i="16"/>
  <c r="AX513" i="16"/>
  <c r="AP513" i="16"/>
  <c r="BI513" i="16" s="1"/>
  <c r="AO513" i="16"/>
  <c r="AW513" i="16" s="1"/>
  <c r="AL513" i="16"/>
  <c r="AK513" i="16"/>
  <c r="AT512" i="16" s="1"/>
  <c r="AJ513" i="16"/>
  <c r="AH513" i="16"/>
  <c r="AG513" i="16"/>
  <c r="AF513" i="16"/>
  <c r="AE513" i="16"/>
  <c r="AD513" i="16"/>
  <c r="AC513" i="16"/>
  <c r="AB513" i="16"/>
  <c r="L513" i="16"/>
  <c r="BF513" i="16" s="1"/>
  <c r="I513" i="16"/>
  <c r="AU512" i="16"/>
  <c r="AS512" i="16"/>
  <c r="I512" i="16"/>
  <c r="BJ510" i="16"/>
  <c r="BF510" i="16"/>
  <c r="BD510" i="16"/>
  <c r="AW510" i="16"/>
  <c r="AP510" i="16"/>
  <c r="BI510" i="16" s="1"/>
  <c r="AC510" i="16" s="1"/>
  <c r="AO510" i="16"/>
  <c r="BH510" i="16" s="1"/>
  <c r="AB510" i="16" s="1"/>
  <c r="AL510" i="16"/>
  <c r="AU509" i="16" s="1"/>
  <c r="AJ510" i="16"/>
  <c r="AS509" i="16" s="1"/>
  <c r="AH510" i="16"/>
  <c r="AG510" i="16"/>
  <c r="AF510" i="16"/>
  <c r="AE510" i="16"/>
  <c r="AD510" i="16"/>
  <c r="Z510" i="16"/>
  <c r="L510" i="16"/>
  <c r="I510" i="16"/>
  <c r="AK510" i="16" s="1"/>
  <c r="AT509" i="16" s="1"/>
  <c r="L509" i="16"/>
  <c r="BJ506" i="16"/>
  <c r="BD506" i="16"/>
  <c r="AX506" i="16"/>
  <c r="AP506" i="16"/>
  <c r="BI506" i="16" s="1"/>
  <c r="AC506" i="16" s="1"/>
  <c r="AO506" i="16"/>
  <c r="AW506" i="16" s="1"/>
  <c r="AL506" i="16"/>
  <c r="AK506" i="16"/>
  <c r="AJ506" i="16"/>
  <c r="AH506" i="16"/>
  <c r="AG506" i="16"/>
  <c r="AF506" i="16"/>
  <c r="AE506" i="16"/>
  <c r="AD506" i="16"/>
  <c r="Z506" i="16"/>
  <c r="L506" i="16"/>
  <c r="BF506" i="16" s="1"/>
  <c r="I506" i="16"/>
  <c r="BJ504" i="16"/>
  <c r="BD504" i="16"/>
  <c r="AX504" i="16"/>
  <c r="AP504" i="16"/>
  <c r="BI504" i="16" s="1"/>
  <c r="AC504" i="16" s="1"/>
  <c r="AO504" i="16"/>
  <c r="AW504" i="16" s="1"/>
  <c r="AL504" i="16"/>
  <c r="AK504" i="16"/>
  <c r="AJ504" i="16"/>
  <c r="AH504" i="16"/>
  <c r="AG504" i="16"/>
  <c r="AF504" i="16"/>
  <c r="AE504" i="16"/>
  <c r="AD504" i="16"/>
  <c r="Z504" i="16"/>
  <c r="L504" i="16"/>
  <c r="BF504" i="16" s="1"/>
  <c r="I504" i="16"/>
  <c r="BJ502" i="16"/>
  <c r="BD502" i="16"/>
  <c r="AX502" i="16"/>
  <c r="AP502" i="16"/>
  <c r="BI502" i="16" s="1"/>
  <c r="AC502" i="16" s="1"/>
  <c r="AO502" i="16"/>
  <c r="AW502" i="16" s="1"/>
  <c r="AL502" i="16"/>
  <c r="AK502" i="16"/>
  <c r="AJ502" i="16"/>
  <c r="AH502" i="16"/>
  <c r="AG502" i="16"/>
  <c r="AF502" i="16"/>
  <c r="AE502" i="16"/>
  <c r="AD502" i="16"/>
  <c r="Z502" i="16"/>
  <c r="L502" i="16"/>
  <c r="BF502" i="16" s="1"/>
  <c r="I502" i="16"/>
  <c r="BJ500" i="16"/>
  <c r="BD500" i="16"/>
  <c r="AX500" i="16"/>
  <c r="AP500" i="16"/>
  <c r="BI500" i="16" s="1"/>
  <c r="AC500" i="16" s="1"/>
  <c r="AO500" i="16"/>
  <c r="AW500" i="16" s="1"/>
  <c r="AL500" i="16"/>
  <c r="AK500" i="16"/>
  <c r="AJ500" i="16"/>
  <c r="AH500" i="16"/>
  <c r="AG500" i="16"/>
  <c r="AF500" i="16"/>
  <c r="AE500" i="16"/>
  <c r="AD500" i="16"/>
  <c r="Z500" i="16"/>
  <c r="L500" i="16"/>
  <c r="BF500" i="16" s="1"/>
  <c r="I500" i="16"/>
  <c r="BJ498" i="16"/>
  <c r="BD498" i="16"/>
  <c r="AX498" i="16"/>
  <c r="AP498" i="16"/>
  <c r="BI498" i="16" s="1"/>
  <c r="AC498" i="16" s="1"/>
  <c r="AO498" i="16"/>
  <c r="AW498" i="16" s="1"/>
  <c r="AL498" i="16"/>
  <c r="AK498" i="16"/>
  <c r="AJ498" i="16"/>
  <c r="AH498" i="16"/>
  <c r="AG498" i="16"/>
  <c r="AF498" i="16"/>
  <c r="AE498" i="16"/>
  <c r="AD498" i="16"/>
  <c r="Z498" i="16"/>
  <c r="L498" i="16"/>
  <c r="BF498" i="16" s="1"/>
  <c r="I498" i="16"/>
  <c r="BJ496" i="16"/>
  <c r="BD496" i="16"/>
  <c r="AX496" i="16"/>
  <c r="AP496" i="16"/>
  <c r="BI496" i="16" s="1"/>
  <c r="AC496" i="16" s="1"/>
  <c r="AO496" i="16"/>
  <c r="AW496" i="16" s="1"/>
  <c r="AL496" i="16"/>
  <c r="AK496" i="16"/>
  <c r="AJ496" i="16"/>
  <c r="AH496" i="16"/>
  <c r="AG496" i="16"/>
  <c r="AF496" i="16"/>
  <c r="AE496" i="16"/>
  <c r="AD496" i="16"/>
  <c r="Z496" i="16"/>
  <c r="L496" i="16"/>
  <c r="BF496" i="16" s="1"/>
  <c r="I496" i="16"/>
  <c r="BJ494" i="16"/>
  <c r="BD494" i="16"/>
  <c r="AX494" i="16"/>
  <c r="AP494" i="16"/>
  <c r="BI494" i="16" s="1"/>
  <c r="AC494" i="16" s="1"/>
  <c r="AO494" i="16"/>
  <c r="AW494" i="16" s="1"/>
  <c r="AL494" i="16"/>
  <c r="AK494" i="16"/>
  <c r="AT493" i="16" s="1"/>
  <c r="AJ494" i="16"/>
  <c r="AH494" i="16"/>
  <c r="AG494" i="16"/>
  <c r="AF494" i="16"/>
  <c r="AE494" i="16"/>
  <c r="AD494" i="16"/>
  <c r="Z494" i="16"/>
  <c r="L494" i="16"/>
  <c r="BF494" i="16" s="1"/>
  <c r="I494" i="16"/>
  <c r="AU493" i="16"/>
  <c r="AS493" i="16"/>
  <c r="I493" i="16"/>
  <c r="BJ491" i="16"/>
  <c r="BF491" i="16"/>
  <c r="BD491" i="16"/>
  <c r="AW491" i="16"/>
  <c r="AP491" i="16"/>
  <c r="BI491" i="16" s="1"/>
  <c r="AC491" i="16" s="1"/>
  <c r="AO491" i="16"/>
  <c r="BH491" i="16" s="1"/>
  <c r="AB491" i="16" s="1"/>
  <c r="AL491" i="16"/>
  <c r="AU490" i="16" s="1"/>
  <c r="AJ491" i="16"/>
  <c r="AS490" i="16" s="1"/>
  <c r="AH491" i="16"/>
  <c r="AG491" i="16"/>
  <c r="AF491" i="16"/>
  <c r="AE491" i="16"/>
  <c r="AD491" i="16"/>
  <c r="Z491" i="16"/>
  <c r="L491" i="16"/>
  <c r="I491" i="16"/>
  <c r="AK491" i="16" s="1"/>
  <c r="AT490" i="16" s="1"/>
  <c r="L490" i="16"/>
  <c r="BJ488" i="16"/>
  <c r="BD488" i="16"/>
  <c r="AX488" i="16"/>
  <c r="AP488" i="16"/>
  <c r="BI488" i="16" s="1"/>
  <c r="AC488" i="16" s="1"/>
  <c r="AO488" i="16"/>
  <c r="BH488" i="16" s="1"/>
  <c r="AB488" i="16" s="1"/>
  <c r="AL488" i="16"/>
  <c r="AK488" i="16"/>
  <c r="AJ488" i="16"/>
  <c r="AH488" i="16"/>
  <c r="AG488" i="16"/>
  <c r="AF488" i="16"/>
  <c r="AE488" i="16"/>
  <c r="AD488" i="16"/>
  <c r="Z488" i="16"/>
  <c r="L488" i="16"/>
  <c r="BF488" i="16" s="1"/>
  <c r="I488" i="16"/>
  <c r="BJ486" i="16"/>
  <c r="BD486" i="16"/>
  <c r="AX486" i="16"/>
  <c r="AP486" i="16"/>
  <c r="BI486" i="16" s="1"/>
  <c r="AC486" i="16" s="1"/>
  <c r="AO486" i="16"/>
  <c r="BH486" i="16" s="1"/>
  <c r="AB486" i="16" s="1"/>
  <c r="AL486" i="16"/>
  <c r="AK486" i="16"/>
  <c r="AT485" i="16" s="1"/>
  <c r="AJ486" i="16"/>
  <c r="AH486" i="16"/>
  <c r="AG486" i="16"/>
  <c r="AF486" i="16"/>
  <c r="AE486" i="16"/>
  <c r="AD486" i="16"/>
  <c r="Z486" i="16"/>
  <c r="L486" i="16"/>
  <c r="BF486" i="16" s="1"/>
  <c r="I486" i="16"/>
  <c r="AU485" i="16"/>
  <c r="AS485" i="16"/>
  <c r="I485" i="16"/>
  <c r="BJ483" i="16"/>
  <c r="BF483" i="16"/>
  <c r="BD483" i="16"/>
  <c r="AW483" i="16"/>
  <c r="AP483" i="16"/>
  <c r="AX483" i="16" s="1"/>
  <c r="AO483" i="16"/>
  <c r="BH483" i="16" s="1"/>
  <c r="AB483" i="16" s="1"/>
  <c r="AL483" i="16"/>
  <c r="AJ483" i="16"/>
  <c r="AH483" i="16"/>
  <c r="AG483" i="16"/>
  <c r="AF483" i="16"/>
  <c r="AE483" i="16"/>
  <c r="AD483" i="16"/>
  <c r="Z483" i="16"/>
  <c r="L483" i="16"/>
  <c r="I483" i="16"/>
  <c r="AK483" i="16" s="1"/>
  <c r="BJ481" i="16"/>
  <c r="BF481" i="16"/>
  <c r="BD481" i="16"/>
  <c r="AW481" i="16"/>
  <c r="AP481" i="16"/>
  <c r="AX481" i="16" s="1"/>
  <c r="AO481" i="16"/>
  <c r="BH481" i="16" s="1"/>
  <c r="AB481" i="16" s="1"/>
  <c r="AL481" i="16"/>
  <c r="AJ481" i="16"/>
  <c r="AH481" i="16"/>
  <c r="AG481" i="16"/>
  <c r="AF481" i="16"/>
  <c r="AE481" i="16"/>
  <c r="AD481" i="16"/>
  <c r="Z481" i="16"/>
  <c r="L481" i="16"/>
  <c r="I481" i="16"/>
  <c r="AK481" i="16" s="1"/>
  <c r="BJ479" i="16"/>
  <c r="BF479" i="16"/>
  <c r="BD479" i="16"/>
  <c r="AW479" i="16"/>
  <c r="AP479" i="16"/>
  <c r="AX479" i="16" s="1"/>
  <c r="AO479" i="16"/>
  <c r="BH479" i="16" s="1"/>
  <c r="AB479" i="16" s="1"/>
  <c r="AL479" i="16"/>
  <c r="AU478" i="16" s="1"/>
  <c r="AJ479" i="16"/>
  <c r="AS478" i="16" s="1"/>
  <c r="AH479" i="16"/>
  <c r="AG479" i="16"/>
  <c r="AF479" i="16"/>
  <c r="AE479" i="16"/>
  <c r="AD479" i="16"/>
  <c r="Z479" i="16"/>
  <c r="L479" i="16"/>
  <c r="I479" i="16"/>
  <c r="L478" i="16"/>
  <c r="BJ476" i="16"/>
  <c r="BH476" i="16"/>
  <c r="AD476" i="16" s="1"/>
  <c r="BD476" i="16"/>
  <c r="AX476" i="16"/>
  <c r="AP476" i="16"/>
  <c r="BI476" i="16" s="1"/>
  <c r="AE476" i="16" s="1"/>
  <c r="AO476" i="16"/>
  <c r="AW476" i="16" s="1"/>
  <c r="AL476" i="16"/>
  <c r="AK476" i="16"/>
  <c r="AT475" i="16" s="1"/>
  <c r="AJ476" i="16"/>
  <c r="AH476" i="16"/>
  <c r="AG476" i="16"/>
  <c r="AF476" i="16"/>
  <c r="AC476" i="16"/>
  <c r="AB476" i="16"/>
  <c r="Z476" i="16"/>
  <c r="L476" i="16"/>
  <c r="I476" i="16"/>
  <c r="AU475" i="16"/>
  <c r="AS475" i="16"/>
  <c r="I475" i="16"/>
  <c r="BJ473" i="16"/>
  <c r="BF473" i="16"/>
  <c r="BD473" i="16"/>
  <c r="AW473" i="16"/>
  <c r="AP473" i="16"/>
  <c r="AX473" i="16" s="1"/>
  <c r="BC473" i="16" s="1"/>
  <c r="AO473" i="16"/>
  <c r="BH473" i="16" s="1"/>
  <c r="AD473" i="16" s="1"/>
  <c r="AL473" i="16"/>
  <c r="AJ473" i="16"/>
  <c r="AH473" i="16"/>
  <c r="AG473" i="16"/>
  <c r="AF473" i="16"/>
  <c r="AC473" i="16"/>
  <c r="AB473" i="16"/>
  <c r="Z473" i="16"/>
  <c r="L473" i="16"/>
  <c r="I473" i="16"/>
  <c r="AK473" i="16" s="1"/>
  <c r="BJ471" i="16"/>
  <c r="BI471" i="16"/>
  <c r="BF471" i="16"/>
  <c r="BD471" i="16"/>
  <c r="AW471" i="16"/>
  <c r="AV471" i="16" s="1"/>
  <c r="AP471" i="16"/>
  <c r="AX471" i="16" s="1"/>
  <c r="BC471" i="16" s="1"/>
  <c r="AO471" i="16"/>
  <c r="BH471" i="16" s="1"/>
  <c r="AD471" i="16" s="1"/>
  <c r="AL471" i="16"/>
  <c r="AJ471" i="16"/>
  <c r="AH471" i="16"/>
  <c r="AG471" i="16"/>
  <c r="AF471" i="16"/>
  <c r="AE471" i="16"/>
  <c r="AC471" i="16"/>
  <c r="AB471" i="16"/>
  <c r="Z471" i="16"/>
  <c r="L471" i="16"/>
  <c r="I471" i="16"/>
  <c r="AK471" i="16" s="1"/>
  <c r="BJ469" i="16"/>
  <c r="BF469" i="16"/>
  <c r="BD469" i="16"/>
  <c r="AW469" i="16"/>
  <c r="AP469" i="16"/>
  <c r="AX469" i="16" s="1"/>
  <c r="BC469" i="16" s="1"/>
  <c r="AO469" i="16"/>
  <c r="BH469" i="16" s="1"/>
  <c r="AD469" i="16" s="1"/>
  <c r="AL469" i="16"/>
  <c r="AU468" i="16" s="1"/>
  <c r="AJ469" i="16"/>
  <c r="AH469" i="16"/>
  <c r="AG469" i="16"/>
  <c r="AF469" i="16"/>
  <c r="AC469" i="16"/>
  <c r="AB469" i="16"/>
  <c r="Z469" i="16"/>
  <c r="L469" i="16"/>
  <c r="I469" i="16"/>
  <c r="AK469" i="16" s="1"/>
  <c r="AT468" i="16" s="1"/>
  <c r="L468" i="16"/>
  <c r="BJ466" i="16"/>
  <c r="BH466" i="16"/>
  <c r="BD466" i="16"/>
  <c r="AX466" i="16"/>
  <c r="AP466" i="16"/>
  <c r="BI466" i="16" s="1"/>
  <c r="AE466" i="16" s="1"/>
  <c r="AO466" i="16"/>
  <c r="AW466" i="16" s="1"/>
  <c r="BC466" i="16" s="1"/>
  <c r="AL466" i="16"/>
  <c r="AK466" i="16"/>
  <c r="AJ466" i="16"/>
  <c r="AH466" i="16"/>
  <c r="AG466" i="16"/>
  <c r="AF466" i="16"/>
  <c r="AD466" i="16"/>
  <c r="AC466" i="16"/>
  <c r="AB466" i="16"/>
  <c r="Z466" i="16"/>
  <c r="L466" i="16"/>
  <c r="BF466" i="16" s="1"/>
  <c r="I466" i="16"/>
  <c r="BJ464" i="16"/>
  <c r="BD464" i="16"/>
  <c r="AX464" i="16"/>
  <c r="AP464" i="16"/>
  <c r="BI464" i="16" s="1"/>
  <c r="AE464" i="16" s="1"/>
  <c r="AO464" i="16"/>
  <c r="AW464" i="16" s="1"/>
  <c r="BC464" i="16" s="1"/>
  <c r="AL464" i="16"/>
  <c r="AK464" i="16"/>
  <c r="AJ464" i="16"/>
  <c r="AH464" i="16"/>
  <c r="AG464" i="16"/>
  <c r="AF464" i="16"/>
  <c r="AC464" i="16"/>
  <c r="AB464" i="16"/>
  <c r="Z464" i="16"/>
  <c r="L464" i="16"/>
  <c r="BF464" i="16" s="1"/>
  <c r="I464" i="16"/>
  <c r="BJ462" i="16"/>
  <c r="BH462" i="16"/>
  <c r="BD462" i="16"/>
  <c r="AX462" i="16"/>
  <c r="AV462" i="16" s="1"/>
  <c r="AP462" i="16"/>
  <c r="BI462" i="16" s="1"/>
  <c r="AE462" i="16" s="1"/>
  <c r="AO462" i="16"/>
  <c r="AW462" i="16" s="1"/>
  <c r="AL462" i="16"/>
  <c r="AK462" i="16"/>
  <c r="AJ462" i="16"/>
  <c r="AH462" i="16"/>
  <c r="AG462" i="16"/>
  <c r="AF462" i="16"/>
  <c r="AD462" i="16"/>
  <c r="AC462" i="16"/>
  <c r="AB462" i="16"/>
  <c r="Z462" i="16"/>
  <c r="L462" i="16"/>
  <c r="BF462" i="16" s="1"/>
  <c r="I462" i="16"/>
  <c r="BJ460" i="16"/>
  <c r="BD460" i="16"/>
  <c r="AX460" i="16"/>
  <c r="AV460" i="16"/>
  <c r="AP460" i="16"/>
  <c r="BI460" i="16" s="1"/>
  <c r="AE460" i="16" s="1"/>
  <c r="AO460" i="16"/>
  <c r="AW460" i="16" s="1"/>
  <c r="BC460" i="16" s="1"/>
  <c r="AL460" i="16"/>
  <c r="AK460" i="16"/>
  <c r="AJ460" i="16"/>
  <c r="AH460" i="16"/>
  <c r="AG460" i="16"/>
  <c r="AF460" i="16"/>
  <c r="AC460" i="16"/>
  <c r="AB460" i="16"/>
  <c r="Z460" i="16"/>
  <c r="L460" i="16"/>
  <c r="BF460" i="16" s="1"/>
  <c r="I460" i="16"/>
  <c r="BJ458" i="16"/>
  <c r="BH458" i="16"/>
  <c r="AD458" i="16" s="1"/>
  <c r="BD458" i="16"/>
  <c r="AX458" i="16"/>
  <c r="AV458" i="16" s="1"/>
  <c r="AP458" i="16"/>
  <c r="BI458" i="16" s="1"/>
  <c r="AE458" i="16" s="1"/>
  <c r="AO458" i="16"/>
  <c r="AW458" i="16" s="1"/>
  <c r="AL458" i="16"/>
  <c r="AK458" i="16"/>
  <c r="AJ458" i="16"/>
  <c r="AH458" i="16"/>
  <c r="AG458" i="16"/>
  <c r="AF458" i="16"/>
  <c r="AC458" i="16"/>
  <c r="AB458" i="16"/>
  <c r="Z458" i="16"/>
  <c r="L458" i="16"/>
  <c r="I458" i="16"/>
  <c r="AU457" i="16"/>
  <c r="AS457" i="16"/>
  <c r="I457" i="16"/>
  <c r="BJ455" i="16"/>
  <c r="BI455" i="16"/>
  <c r="AE455" i="16" s="1"/>
  <c r="BF455" i="16"/>
  <c r="BD455" i="16"/>
  <c r="AW455" i="16"/>
  <c r="AV455" i="16" s="1"/>
  <c r="AP455" i="16"/>
  <c r="AX455" i="16" s="1"/>
  <c r="AO455" i="16"/>
  <c r="BH455" i="16" s="1"/>
  <c r="AD455" i="16" s="1"/>
  <c r="AL455" i="16"/>
  <c r="AU454" i="16" s="1"/>
  <c r="AJ455" i="16"/>
  <c r="AS454" i="16" s="1"/>
  <c r="AH455" i="16"/>
  <c r="AG455" i="16"/>
  <c r="AF455" i="16"/>
  <c r="AC455" i="16"/>
  <c r="AB455" i="16"/>
  <c r="Z455" i="16"/>
  <c r="L455" i="16"/>
  <c r="I455" i="16"/>
  <c r="L454" i="16"/>
  <c r="BJ453" i="16"/>
  <c r="Z453" i="16" s="1"/>
  <c r="BD453" i="16"/>
  <c r="AX453" i="16"/>
  <c r="AV453" i="16"/>
  <c r="AP453" i="16"/>
  <c r="BI453" i="16" s="1"/>
  <c r="AO453" i="16"/>
  <c r="AW453" i="16" s="1"/>
  <c r="BC453" i="16" s="1"/>
  <c r="AL453" i="16"/>
  <c r="AK453" i="16"/>
  <c r="AJ453" i="16"/>
  <c r="AH453" i="16"/>
  <c r="AG453" i="16"/>
  <c r="AF453" i="16"/>
  <c r="AE453" i="16"/>
  <c r="AD453" i="16"/>
  <c r="AC453" i="16"/>
  <c r="AB453" i="16"/>
  <c r="L453" i="16"/>
  <c r="BF453" i="16" s="1"/>
  <c r="I453" i="16"/>
  <c r="BJ451" i="16"/>
  <c r="BH451" i="16"/>
  <c r="AD451" i="16" s="1"/>
  <c r="BD451" i="16"/>
  <c r="AX451" i="16"/>
  <c r="AP451" i="16"/>
  <c r="BI451" i="16" s="1"/>
  <c r="AE451" i="16" s="1"/>
  <c r="AO451" i="16"/>
  <c r="AW451" i="16" s="1"/>
  <c r="AL451" i="16"/>
  <c r="AK451" i="16"/>
  <c r="AJ451" i="16"/>
  <c r="AH451" i="16"/>
  <c r="AG451" i="16"/>
  <c r="AF451" i="16"/>
  <c r="AC451" i="16"/>
  <c r="AB451" i="16"/>
  <c r="Z451" i="16"/>
  <c r="L451" i="16"/>
  <c r="BF451" i="16" s="1"/>
  <c r="I451" i="16"/>
  <c r="BJ449" i="16"/>
  <c r="BD449" i="16"/>
  <c r="AX449" i="16"/>
  <c r="AP449" i="16"/>
  <c r="BI449" i="16" s="1"/>
  <c r="AE449" i="16" s="1"/>
  <c r="AO449" i="16"/>
  <c r="AW449" i="16" s="1"/>
  <c r="BC449" i="16" s="1"/>
  <c r="AL449" i="16"/>
  <c r="AK449" i="16"/>
  <c r="AJ449" i="16"/>
  <c r="AH449" i="16"/>
  <c r="AG449" i="16"/>
  <c r="AF449" i="16"/>
  <c r="AC449" i="16"/>
  <c r="AB449" i="16"/>
  <c r="Z449" i="16"/>
  <c r="L449" i="16"/>
  <c r="BF449" i="16" s="1"/>
  <c r="I449" i="16"/>
  <c r="BJ447" i="16"/>
  <c r="BH447" i="16"/>
  <c r="BD447" i="16"/>
  <c r="AX447" i="16"/>
  <c r="AP447" i="16"/>
  <c r="BI447" i="16" s="1"/>
  <c r="AE447" i="16" s="1"/>
  <c r="AO447" i="16"/>
  <c r="AW447" i="16" s="1"/>
  <c r="AL447" i="16"/>
  <c r="AK447" i="16"/>
  <c r="AJ447" i="16"/>
  <c r="AH447" i="16"/>
  <c r="AG447" i="16"/>
  <c r="AF447" i="16"/>
  <c r="AD447" i="16"/>
  <c r="AC447" i="16"/>
  <c r="AB447" i="16"/>
  <c r="Z447" i="16"/>
  <c r="L447" i="16"/>
  <c r="BF447" i="16" s="1"/>
  <c r="I447" i="16"/>
  <c r="BJ441" i="16"/>
  <c r="BD441" i="16"/>
  <c r="AX441" i="16"/>
  <c r="AP441" i="16"/>
  <c r="BI441" i="16" s="1"/>
  <c r="AE441" i="16" s="1"/>
  <c r="AO441" i="16"/>
  <c r="AW441" i="16" s="1"/>
  <c r="BC441" i="16" s="1"/>
  <c r="AL441" i="16"/>
  <c r="AK441" i="16"/>
  <c r="AT440" i="16" s="1"/>
  <c r="AJ441" i="16"/>
  <c r="AH441" i="16"/>
  <c r="AG441" i="16"/>
  <c r="AF441" i="16"/>
  <c r="AC441" i="16"/>
  <c r="AB441" i="16"/>
  <c r="Z441" i="16"/>
  <c r="L441" i="16"/>
  <c r="I441" i="16"/>
  <c r="AU440" i="16"/>
  <c r="AS440" i="16"/>
  <c r="I440" i="16"/>
  <c r="BJ438" i="16"/>
  <c r="BF438" i="16"/>
  <c r="BD438" i="16"/>
  <c r="BC438" i="16"/>
  <c r="AW438" i="16"/>
  <c r="AP438" i="16"/>
  <c r="AX438" i="16" s="1"/>
  <c r="AO438" i="16"/>
  <c r="BH438" i="16" s="1"/>
  <c r="AD438" i="16" s="1"/>
  <c r="AL438" i="16"/>
  <c r="AJ438" i="16"/>
  <c r="AH438" i="16"/>
  <c r="AG438" i="16"/>
  <c r="AF438" i="16"/>
  <c r="AC438" i="16"/>
  <c r="AB438" i="16"/>
  <c r="Z438" i="16"/>
  <c r="L438" i="16"/>
  <c r="I438" i="16"/>
  <c r="AK438" i="16" s="1"/>
  <c r="BJ436" i="16"/>
  <c r="BI436" i="16"/>
  <c r="BF436" i="16"/>
  <c r="BD436" i="16"/>
  <c r="AW436" i="16"/>
  <c r="AV436" i="16" s="1"/>
  <c r="AP436" i="16"/>
  <c r="AX436" i="16" s="1"/>
  <c r="AO436" i="16"/>
  <c r="BH436" i="16" s="1"/>
  <c r="AD436" i="16" s="1"/>
  <c r="AL436" i="16"/>
  <c r="AJ436" i="16"/>
  <c r="AH436" i="16"/>
  <c r="AG436" i="16"/>
  <c r="AF436" i="16"/>
  <c r="AE436" i="16"/>
  <c r="AC436" i="16"/>
  <c r="AB436" i="16"/>
  <c r="Z436" i="16"/>
  <c r="L436" i="16"/>
  <c r="I436" i="16"/>
  <c r="AK436" i="16" s="1"/>
  <c r="BJ434" i="16"/>
  <c r="BF434" i="16"/>
  <c r="BD434" i="16"/>
  <c r="BC434" i="16"/>
  <c r="AW434" i="16"/>
  <c r="AP434" i="16"/>
  <c r="AX434" i="16" s="1"/>
  <c r="AO434" i="16"/>
  <c r="BH434" i="16" s="1"/>
  <c r="AD434" i="16" s="1"/>
  <c r="AL434" i="16"/>
  <c r="AK434" i="16"/>
  <c r="AJ434" i="16"/>
  <c r="AH434" i="16"/>
  <c r="AG434" i="16"/>
  <c r="AF434" i="16"/>
  <c r="AC434" i="16"/>
  <c r="AB434" i="16"/>
  <c r="Z434" i="16"/>
  <c r="L434" i="16"/>
  <c r="I434" i="16"/>
  <c r="BJ432" i="16"/>
  <c r="BD432" i="16"/>
  <c r="AP432" i="16"/>
  <c r="AX432" i="16" s="1"/>
  <c r="AO432" i="16"/>
  <c r="BH432" i="16" s="1"/>
  <c r="AD432" i="16" s="1"/>
  <c r="AL432" i="16"/>
  <c r="AK432" i="16"/>
  <c r="AT431" i="16" s="1"/>
  <c r="AJ432" i="16"/>
  <c r="AH432" i="16"/>
  <c r="AG432" i="16"/>
  <c r="AF432" i="16"/>
  <c r="AC432" i="16"/>
  <c r="AB432" i="16"/>
  <c r="Z432" i="16"/>
  <c r="L432" i="16"/>
  <c r="L431" i="16" s="1"/>
  <c r="I432" i="16"/>
  <c r="AU431" i="16"/>
  <c r="AS431" i="16"/>
  <c r="I431" i="16"/>
  <c r="BJ429" i="16"/>
  <c r="BF429" i="16"/>
  <c r="BD429" i="16"/>
  <c r="AW429" i="16"/>
  <c r="AP429" i="16"/>
  <c r="AX429" i="16" s="1"/>
  <c r="BC429" i="16" s="1"/>
  <c r="AO429" i="16"/>
  <c r="BH429" i="16" s="1"/>
  <c r="AD429" i="16" s="1"/>
  <c r="AL429" i="16"/>
  <c r="AJ429" i="16"/>
  <c r="AH429" i="16"/>
  <c r="AG429" i="16"/>
  <c r="AF429" i="16"/>
  <c r="AC429" i="16"/>
  <c r="AB429" i="16"/>
  <c r="Z429" i="16"/>
  <c r="L429" i="16"/>
  <c r="I429" i="16"/>
  <c r="AK429" i="16" s="1"/>
  <c r="BJ427" i="16"/>
  <c r="BF427" i="16"/>
  <c r="BD427" i="16"/>
  <c r="AW427" i="16"/>
  <c r="AP427" i="16"/>
  <c r="AX427" i="16" s="1"/>
  <c r="BC427" i="16" s="1"/>
  <c r="AO427" i="16"/>
  <c r="BH427" i="16" s="1"/>
  <c r="AD427" i="16" s="1"/>
  <c r="AL427" i="16"/>
  <c r="AJ427" i="16"/>
  <c r="AH427" i="16"/>
  <c r="AG427" i="16"/>
  <c r="AF427" i="16"/>
  <c r="AC427" i="16"/>
  <c r="AB427" i="16"/>
  <c r="Z427" i="16"/>
  <c r="L427" i="16"/>
  <c r="I427" i="16"/>
  <c r="AK427" i="16" s="1"/>
  <c r="BJ425" i="16"/>
  <c r="BF425" i="16"/>
  <c r="BD425" i="16"/>
  <c r="AW425" i="16"/>
  <c r="AP425" i="16"/>
  <c r="AX425" i="16" s="1"/>
  <c r="BC425" i="16" s="1"/>
  <c r="AO425" i="16"/>
  <c r="BH425" i="16" s="1"/>
  <c r="AD425" i="16" s="1"/>
  <c r="AL425" i="16"/>
  <c r="AU424" i="16" s="1"/>
  <c r="AJ425" i="16"/>
  <c r="AS424" i="16" s="1"/>
  <c r="AH425" i="16"/>
  <c r="AG425" i="16"/>
  <c r="AF425" i="16"/>
  <c r="AC425" i="16"/>
  <c r="AB425" i="16"/>
  <c r="Z425" i="16"/>
  <c r="L425" i="16"/>
  <c r="I425" i="16"/>
  <c r="AK425" i="16" s="1"/>
  <c r="AT424" i="16" s="1"/>
  <c r="L424" i="16"/>
  <c r="BJ422" i="16"/>
  <c r="BD422" i="16"/>
  <c r="AX422" i="16"/>
  <c r="AP422" i="16"/>
  <c r="BI422" i="16" s="1"/>
  <c r="AC422" i="16" s="1"/>
  <c r="AO422" i="16"/>
  <c r="BH422" i="16" s="1"/>
  <c r="AB422" i="16" s="1"/>
  <c r="AL422" i="16"/>
  <c r="AK422" i="16"/>
  <c r="AT421" i="16" s="1"/>
  <c r="AJ422" i="16"/>
  <c r="AH422" i="16"/>
  <c r="AG422" i="16"/>
  <c r="AF422" i="16"/>
  <c r="AE422" i="16"/>
  <c r="AD422" i="16"/>
  <c r="Z422" i="16"/>
  <c r="L422" i="16"/>
  <c r="BF422" i="16" s="1"/>
  <c r="I422" i="16"/>
  <c r="AU421" i="16"/>
  <c r="AS421" i="16"/>
  <c r="I421" i="16"/>
  <c r="BJ419" i="16"/>
  <c r="BF419" i="16"/>
  <c r="BD419" i="16"/>
  <c r="AW419" i="16"/>
  <c r="AP419" i="16"/>
  <c r="AX419" i="16" s="1"/>
  <c r="BC419" i="16" s="1"/>
  <c r="AO419" i="16"/>
  <c r="BH419" i="16" s="1"/>
  <c r="AB419" i="16" s="1"/>
  <c r="AL419" i="16"/>
  <c r="AJ419" i="16"/>
  <c r="AH419" i="16"/>
  <c r="AG419" i="16"/>
  <c r="AF419" i="16"/>
  <c r="AE419" i="16"/>
  <c r="AD419" i="16"/>
  <c r="Z419" i="16"/>
  <c r="L419" i="16"/>
  <c r="I419" i="16"/>
  <c r="AK419" i="16" s="1"/>
  <c r="BJ417" i="16"/>
  <c r="BF417" i="16"/>
  <c r="BD417" i="16"/>
  <c r="AW417" i="16"/>
  <c r="AP417" i="16"/>
  <c r="AX417" i="16" s="1"/>
  <c r="BC417" i="16" s="1"/>
  <c r="AO417" i="16"/>
  <c r="BH417" i="16" s="1"/>
  <c r="AB417" i="16" s="1"/>
  <c r="AL417" i="16"/>
  <c r="AJ417" i="16"/>
  <c r="AH417" i="16"/>
  <c r="AG417" i="16"/>
  <c r="AF417" i="16"/>
  <c r="AE417" i="16"/>
  <c r="AD417" i="16"/>
  <c r="Z417" i="16"/>
  <c r="L417" i="16"/>
  <c r="I417" i="16"/>
  <c r="AK417" i="16" s="1"/>
  <c r="BJ415" i="16"/>
  <c r="BF415" i="16"/>
  <c r="BD415" i="16"/>
  <c r="AW415" i="16"/>
  <c r="AP415" i="16"/>
  <c r="AX415" i="16" s="1"/>
  <c r="BC415" i="16" s="1"/>
  <c r="AO415" i="16"/>
  <c r="BH415" i="16" s="1"/>
  <c r="AB415" i="16" s="1"/>
  <c r="AL415" i="16"/>
  <c r="AJ415" i="16"/>
  <c r="AH415" i="16"/>
  <c r="AG415" i="16"/>
  <c r="AF415" i="16"/>
  <c r="AE415" i="16"/>
  <c r="AD415" i="16"/>
  <c r="Z415" i="16"/>
  <c r="L415" i="16"/>
  <c r="I415" i="16"/>
  <c r="AK415" i="16" s="1"/>
  <c r="BJ413" i="16"/>
  <c r="BF413" i="16"/>
  <c r="BD413" i="16"/>
  <c r="AW413" i="16"/>
  <c r="AP413" i="16"/>
  <c r="AX413" i="16" s="1"/>
  <c r="BC413" i="16" s="1"/>
  <c r="AO413" i="16"/>
  <c r="BH413" i="16" s="1"/>
  <c r="AB413" i="16" s="1"/>
  <c r="AL413" i="16"/>
  <c r="AU412" i="16" s="1"/>
  <c r="AJ413" i="16"/>
  <c r="AS412" i="16" s="1"/>
  <c r="AH413" i="16"/>
  <c r="AG413" i="16"/>
  <c r="AF413" i="16"/>
  <c r="AE413" i="16"/>
  <c r="AD413" i="16"/>
  <c r="Z413" i="16"/>
  <c r="L413" i="16"/>
  <c r="I413" i="16"/>
  <c r="AK413" i="16" s="1"/>
  <c r="AT412" i="16" s="1"/>
  <c r="L412" i="16"/>
  <c r="BJ410" i="16"/>
  <c r="BD410" i="16"/>
  <c r="AX410" i="16"/>
  <c r="AP410" i="16"/>
  <c r="BI410" i="16" s="1"/>
  <c r="AC410" i="16" s="1"/>
  <c r="AO410" i="16"/>
  <c r="AW410" i="16" s="1"/>
  <c r="AL410" i="16"/>
  <c r="AK410" i="16"/>
  <c r="AJ410" i="16"/>
  <c r="AH410" i="16"/>
  <c r="AG410" i="16"/>
  <c r="AF410" i="16"/>
  <c r="AE410" i="16"/>
  <c r="AD410" i="16"/>
  <c r="Z410" i="16"/>
  <c r="L410" i="16"/>
  <c r="BF410" i="16" s="1"/>
  <c r="I410" i="16"/>
  <c r="BJ408" i="16"/>
  <c r="BD408" i="16"/>
  <c r="AX408" i="16"/>
  <c r="AP408" i="16"/>
  <c r="BI408" i="16" s="1"/>
  <c r="AC408" i="16" s="1"/>
  <c r="AO408" i="16"/>
  <c r="AW408" i="16" s="1"/>
  <c r="AL408" i="16"/>
  <c r="AK408" i="16"/>
  <c r="AJ408" i="16"/>
  <c r="AH408" i="16"/>
  <c r="AG408" i="16"/>
  <c r="AF408" i="16"/>
  <c r="AE408" i="16"/>
  <c r="AD408" i="16"/>
  <c r="Z408" i="16"/>
  <c r="L408" i="16"/>
  <c r="BF408" i="16" s="1"/>
  <c r="I408" i="16"/>
  <c r="BJ406" i="16"/>
  <c r="BD406" i="16"/>
  <c r="AX406" i="16"/>
  <c r="AP406" i="16"/>
  <c r="BI406" i="16" s="1"/>
  <c r="AC406" i="16" s="1"/>
  <c r="AO406" i="16"/>
  <c r="AW406" i="16" s="1"/>
  <c r="AL406" i="16"/>
  <c r="AK406" i="16"/>
  <c r="AT405" i="16" s="1"/>
  <c r="AJ406" i="16"/>
  <c r="AH406" i="16"/>
  <c r="AG406" i="16"/>
  <c r="AF406" i="16"/>
  <c r="AE406" i="16"/>
  <c r="AD406" i="16"/>
  <c r="Z406" i="16"/>
  <c r="L406" i="16"/>
  <c r="BF406" i="16" s="1"/>
  <c r="I406" i="16"/>
  <c r="AU405" i="16"/>
  <c r="AS405" i="16"/>
  <c r="I405" i="16"/>
  <c r="BJ403" i="16"/>
  <c r="BF403" i="16"/>
  <c r="BD403" i="16"/>
  <c r="AW403" i="16"/>
  <c r="AP403" i="16"/>
  <c r="BI403" i="16" s="1"/>
  <c r="AC403" i="16" s="1"/>
  <c r="AO403" i="16"/>
  <c r="BH403" i="16" s="1"/>
  <c r="AB403" i="16" s="1"/>
  <c r="AL403" i="16"/>
  <c r="AJ403" i="16"/>
  <c r="AH403" i="16"/>
  <c r="AG403" i="16"/>
  <c r="AF403" i="16"/>
  <c r="AE403" i="16"/>
  <c r="AD403" i="16"/>
  <c r="Z403" i="16"/>
  <c r="L403" i="16"/>
  <c r="I403" i="16"/>
  <c r="AK403" i="16" s="1"/>
  <c r="BJ401" i="16"/>
  <c r="BF401" i="16"/>
  <c r="BD401" i="16"/>
  <c r="AW401" i="16"/>
  <c r="AP401" i="16"/>
  <c r="BI401" i="16" s="1"/>
  <c r="AC401" i="16" s="1"/>
  <c r="AO401" i="16"/>
  <c r="BH401" i="16" s="1"/>
  <c r="AB401" i="16" s="1"/>
  <c r="AL401" i="16"/>
  <c r="AJ401" i="16"/>
  <c r="AH401" i="16"/>
  <c r="AG401" i="16"/>
  <c r="AF401" i="16"/>
  <c r="AE401" i="16"/>
  <c r="AD401" i="16"/>
  <c r="Z401" i="16"/>
  <c r="L401" i="16"/>
  <c r="I401" i="16"/>
  <c r="AK401" i="16" s="1"/>
  <c r="BJ399" i="16"/>
  <c r="BF399" i="16"/>
  <c r="BD399" i="16"/>
  <c r="AW399" i="16"/>
  <c r="AP399" i="16"/>
  <c r="BI399" i="16" s="1"/>
  <c r="AC399" i="16" s="1"/>
  <c r="AO399" i="16"/>
  <c r="BH399" i="16" s="1"/>
  <c r="AB399" i="16" s="1"/>
  <c r="AL399" i="16"/>
  <c r="AU398" i="16" s="1"/>
  <c r="AJ399" i="16"/>
  <c r="AS398" i="16" s="1"/>
  <c r="AH399" i="16"/>
  <c r="AG399" i="16"/>
  <c r="AF399" i="16"/>
  <c r="AE399" i="16"/>
  <c r="AD399" i="16"/>
  <c r="Z399" i="16"/>
  <c r="L399" i="16"/>
  <c r="I399" i="16"/>
  <c r="AK399" i="16" s="1"/>
  <c r="AT398" i="16" s="1"/>
  <c r="L398" i="16"/>
  <c r="BJ396" i="16"/>
  <c r="BD396" i="16"/>
  <c r="AX396" i="16"/>
  <c r="AP396" i="16"/>
  <c r="BI396" i="16" s="1"/>
  <c r="AC396" i="16" s="1"/>
  <c r="AO396" i="16"/>
  <c r="AW396" i="16" s="1"/>
  <c r="AL396" i="16"/>
  <c r="AK396" i="16"/>
  <c r="AJ396" i="16"/>
  <c r="AH396" i="16"/>
  <c r="AG396" i="16"/>
  <c r="AF396" i="16"/>
  <c r="AE396" i="16"/>
  <c r="AD396" i="16"/>
  <c r="Z396" i="16"/>
  <c r="L396" i="16"/>
  <c r="BF396" i="16" s="1"/>
  <c r="I396" i="16"/>
  <c r="BJ394" i="16"/>
  <c r="BD394" i="16"/>
  <c r="AX394" i="16"/>
  <c r="AP394" i="16"/>
  <c r="BI394" i="16" s="1"/>
  <c r="AC394" i="16" s="1"/>
  <c r="AO394" i="16"/>
  <c r="AW394" i="16" s="1"/>
  <c r="AL394" i="16"/>
  <c r="AK394" i="16"/>
  <c r="AT393" i="16" s="1"/>
  <c r="AJ394" i="16"/>
  <c r="AH394" i="16"/>
  <c r="AG394" i="16"/>
  <c r="AF394" i="16"/>
  <c r="AE394" i="16"/>
  <c r="AD394" i="16"/>
  <c r="Z394" i="16"/>
  <c r="L394" i="16"/>
  <c r="BF394" i="16" s="1"/>
  <c r="I394" i="16"/>
  <c r="AU393" i="16"/>
  <c r="AS393" i="16"/>
  <c r="I393" i="16"/>
  <c r="BJ390" i="16"/>
  <c r="BF390" i="16"/>
  <c r="BD390" i="16"/>
  <c r="BC390" i="16"/>
  <c r="AW390" i="16"/>
  <c r="AP390" i="16"/>
  <c r="AX390" i="16" s="1"/>
  <c r="AO390" i="16"/>
  <c r="BH390" i="16" s="1"/>
  <c r="AL390" i="16"/>
  <c r="AJ390" i="16"/>
  <c r="AH390" i="16"/>
  <c r="AG390" i="16"/>
  <c r="AF390" i="16"/>
  <c r="AE390" i="16"/>
  <c r="AD390" i="16"/>
  <c r="AC390" i="16"/>
  <c r="AB390" i="16"/>
  <c r="Z390" i="16"/>
  <c r="L390" i="16"/>
  <c r="I390" i="16"/>
  <c r="AK390" i="16" s="1"/>
  <c r="BJ388" i="16"/>
  <c r="BF388" i="16"/>
  <c r="BD388" i="16"/>
  <c r="BC388" i="16"/>
  <c r="AW388" i="16"/>
  <c r="AP388" i="16"/>
  <c r="AX388" i="16" s="1"/>
  <c r="AO388" i="16"/>
  <c r="BH388" i="16" s="1"/>
  <c r="AL388" i="16"/>
  <c r="AJ388" i="16"/>
  <c r="AH388" i="16"/>
  <c r="AG388" i="16"/>
  <c r="AF388" i="16"/>
  <c r="AE388" i="16"/>
  <c r="AD388" i="16"/>
  <c r="AC388" i="16"/>
  <c r="AB388" i="16"/>
  <c r="Z388" i="16"/>
  <c r="L388" i="16"/>
  <c r="I388" i="16"/>
  <c r="AK388" i="16" s="1"/>
  <c r="BJ386" i="16"/>
  <c r="BF386" i="16"/>
  <c r="BD386" i="16"/>
  <c r="BC386" i="16"/>
  <c r="AW386" i="16"/>
  <c r="AP386" i="16"/>
  <c r="AX386" i="16" s="1"/>
  <c r="AO386" i="16"/>
  <c r="BH386" i="16" s="1"/>
  <c r="AL386" i="16"/>
  <c r="AJ386" i="16"/>
  <c r="AH386" i="16"/>
  <c r="AG386" i="16"/>
  <c r="AF386" i="16"/>
  <c r="AE386" i="16"/>
  <c r="AD386" i="16"/>
  <c r="AC386" i="16"/>
  <c r="AB386" i="16"/>
  <c r="Z386" i="16"/>
  <c r="L386" i="16"/>
  <c r="I386" i="16"/>
  <c r="AK386" i="16" s="1"/>
  <c r="BJ384" i="16"/>
  <c r="BF384" i="16"/>
  <c r="BD384" i="16"/>
  <c r="BC384" i="16"/>
  <c r="AW384" i="16"/>
  <c r="AP384" i="16"/>
  <c r="AX384" i="16" s="1"/>
  <c r="AO384" i="16"/>
  <c r="BH384" i="16" s="1"/>
  <c r="AL384" i="16"/>
  <c r="AJ384" i="16"/>
  <c r="AH384" i="16"/>
  <c r="AG384" i="16"/>
  <c r="AF384" i="16"/>
  <c r="AE384" i="16"/>
  <c r="AD384" i="16"/>
  <c r="AC384" i="16"/>
  <c r="AB384" i="16"/>
  <c r="Z384" i="16"/>
  <c r="L384" i="16"/>
  <c r="I384" i="16"/>
  <c r="AK384" i="16" s="1"/>
  <c r="BJ382" i="16"/>
  <c r="BF382" i="16"/>
  <c r="BD382" i="16"/>
  <c r="BC382" i="16"/>
  <c r="AW382" i="16"/>
  <c r="AP382" i="16"/>
  <c r="AX382" i="16" s="1"/>
  <c r="AO382" i="16"/>
  <c r="BH382" i="16" s="1"/>
  <c r="AL382" i="16"/>
  <c r="AJ382" i="16"/>
  <c r="AH382" i="16"/>
  <c r="AG382" i="16"/>
  <c r="AF382" i="16"/>
  <c r="AE382" i="16"/>
  <c r="AD382" i="16"/>
  <c r="AC382" i="16"/>
  <c r="AB382" i="16"/>
  <c r="Z382" i="16"/>
  <c r="L382" i="16"/>
  <c r="I382" i="16"/>
  <c r="AK382" i="16" s="1"/>
  <c r="BJ380" i="16"/>
  <c r="BF380" i="16"/>
  <c r="BD380" i="16"/>
  <c r="BC380" i="16"/>
  <c r="AW380" i="16"/>
  <c r="AP380" i="16"/>
  <c r="AX380" i="16" s="1"/>
  <c r="AO380" i="16"/>
  <c r="BH380" i="16" s="1"/>
  <c r="AL380" i="16"/>
  <c r="AJ380" i="16"/>
  <c r="AH380" i="16"/>
  <c r="AG380" i="16"/>
  <c r="AF380" i="16"/>
  <c r="AE380" i="16"/>
  <c r="AD380" i="16"/>
  <c r="AC380" i="16"/>
  <c r="AB380" i="16"/>
  <c r="Z380" i="16"/>
  <c r="L380" i="16"/>
  <c r="I380" i="16"/>
  <c r="AK380" i="16" s="1"/>
  <c r="BJ378" i="16"/>
  <c r="BF378" i="16"/>
  <c r="BD378" i="16"/>
  <c r="BC378" i="16"/>
  <c r="AW378" i="16"/>
  <c r="AP378" i="16"/>
  <c r="AX378" i="16" s="1"/>
  <c r="AO378" i="16"/>
  <c r="BH378" i="16" s="1"/>
  <c r="AL378" i="16"/>
  <c r="AJ378" i="16"/>
  <c r="AH378" i="16"/>
  <c r="AG378" i="16"/>
  <c r="AF378" i="16"/>
  <c r="AE378" i="16"/>
  <c r="AD378" i="16"/>
  <c r="AC378" i="16"/>
  <c r="AB378" i="16"/>
  <c r="Z378" i="16"/>
  <c r="L378" i="16"/>
  <c r="I378" i="16"/>
  <c r="AK378" i="16" s="1"/>
  <c r="BJ376" i="16"/>
  <c r="BF376" i="16"/>
  <c r="BD376" i="16"/>
  <c r="BC376" i="16"/>
  <c r="AW376" i="16"/>
  <c r="AP376" i="16"/>
  <c r="AX376" i="16" s="1"/>
  <c r="AO376" i="16"/>
  <c r="BH376" i="16" s="1"/>
  <c r="AL376" i="16"/>
  <c r="AJ376" i="16"/>
  <c r="AS375" i="16" s="1"/>
  <c r="AH376" i="16"/>
  <c r="AG376" i="16"/>
  <c r="AF376" i="16"/>
  <c r="AE376" i="16"/>
  <c r="AD376" i="16"/>
  <c r="AC376" i="16"/>
  <c r="AB376" i="16"/>
  <c r="Z376" i="16"/>
  <c r="L376" i="16"/>
  <c r="I376" i="16"/>
  <c r="L375" i="16"/>
  <c r="BJ374" i="16"/>
  <c r="Z374" i="16" s="1"/>
  <c r="BD374" i="16"/>
  <c r="AX374" i="16"/>
  <c r="AP374" i="16"/>
  <c r="BI374" i="16" s="1"/>
  <c r="AO374" i="16"/>
  <c r="AW374" i="16" s="1"/>
  <c r="BC374" i="16" s="1"/>
  <c r="AL374" i="16"/>
  <c r="AK374" i="16"/>
  <c r="AT373" i="16" s="1"/>
  <c r="AJ374" i="16"/>
  <c r="AH374" i="16"/>
  <c r="AG374" i="16"/>
  <c r="AF374" i="16"/>
  <c r="AE374" i="16"/>
  <c r="AD374" i="16"/>
  <c r="AC374" i="16"/>
  <c r="AB374" i="16"/>
  <c r="L374" i="16"/>
  <c r="I374" i="16"/>
  <c r="AU373" i="16"/>
  <c r="AS373" i="16"/>
  <c r="I373" i="16"/>
  <c r="BJ371" i="16"/>
  <c r="BF371" i="16"/>
  <c r="BD371" i="16"/>
  <c r="BC371" i="16"/>
  <c r="AW371" i="16"/>
  <c r="AP371" i="16"/>
  <c r="AX371" i="16" s="1"/>
  <c r="AO371" i="16"/>
  <c r="BH371" i="16" s="1"/>
  <c r="AB371" i="16" s="1"/>
  <c r="AL371" i="16"/>
  <c r="AU370" i="16" s="1"/>
  <c r="AJ371" i="16"/>
  <c r="AS370" i="16" s="1"/>
  <c r="AH371" i="16"/>
  <c r="AG371" i="16"/>
  <c r="AF371" i="16"/>
  <c r="AE371" i="16"/>
  <c r="AD371" i="16"/>
  <c r="Z371" i="16"/>
  <c r="L371" i="16"/>
  <c r="I371" i="16"/>
  <c r="L370" i="16"/>
  <c r="BJ367" i="16"/>
  <c r="BH367" i="16"/>
  <c r="BD367" i="16"/>
  <c r="AX367" i="16"/>
  <c r="AV367" i="16" s="1"/>
  <c r="AP367" i="16"/>
  <c r="BI367" i="16" s="1"/>
  <c r="AC367" i="16" s="1"/>
  <c r="AO367" i="16"/>
  <c r="AW367" i="16" s="1"/>
  <c r="AL367" i="16"/>
  <c r="AK367" i="16"/>
  <c r="AJ367" i="16"/>
  <c r="AH367" i="16"/>
  <c r="AG367" i="16"/>
  <c r="AF367" i="16"/>
  <c r="AE367" i="16"/>
  <c r="AD367" i="16"/>
  <c r="AB367" i="16"/>
  <c r="Z367" i="16"/>
  <c r="L367" i="16"/>
  <c r="BF367" i="16" s="1"/>
  <c r="I367" i="16"/>
  <c r="BJ365" i="16"/>
  <c r="BD365" i="16"/>
  <c r="AX365" i="16"/>
  <c r="AV365" i="16"/>
  <c r="AP365" i="16"/>
  <c r="BI365" i="16" s="1"/>
  <c r="AC365" i="16" s="1"/>
  <c r="AO365" i="16"/>
  <c r="AW365" i="16" s="1"/>
  <c r="BC365" i="16" s="1"/>
  <c r="AL365" i="16"/>
  <c r="AK365" i="16"/>
  <c r="AJ365" i="16"/>
  <c r="AH365" i="16"/>
  <c r="AG365" i="16"/>
  <c r="AF365" i="16"/>
  <c r="AE365" i="16"/>
  <c r="AD365" i="16"/>
  <c r="Z365" i="16"/>
  <c r="L365" i="16"/>
  <c r="BF365" i="16" s="1"/>
  <c r="I365" i="16"/>
  <c r="BJ363" i="16"/>
  <c r="BH363" i="16"/>
  <c r="AB363" i="16" s="1"/>
  <c r="BD363" i="16"/>
  <c r="AX363" i="16"/>
  <c r="AP363" i="16"/>
  <c r="BI363" i="16" s="1"/>
  <c r="AC363" i="16" s="1"/>
  <c r="AO363" i="16"/>
  <c r="AW363" i="16" s="1"/>
  <c r="AL363" i="16"/>
  <c r="AK363" i="16"/>
  <c r="AJ363" i="16"/>
  <c r="AH363" i="16"/>
  <c r="AG363" i="16"/>
  <c r="AF363" i="16"/>
  <c r="AE363" i="16"/>
  <c r="AD363" i="16"/>
  <c r="Z363" i="16"/>
  <c r="L363" i="16"/>
  <c r="BF363" i="16" s="1"/>
  <c r="I363" i="16"/>
  <c r="BJ361" i="16"/>
  <c r="BD361" i="16"/>
  <c r="AX361" i="16"/>
  <c r="AP361" i="16"/>
  <c r="BI361" i="16" s="1"/>
  <c r="AC361" i="16" s="1"/>
  <c r="AO361" i="16"/>
  <c r="AW361" i="16" s="1"/>
  <c r="BC361" i="16" s="1"/>
  <c r="AL361" i="16"/>
  <c r="AK361" i="16"/>
  <c r="AJ361" i="16"/>
  <c r="AH361" i="16"/>
  <c r="AG361" i="16"/>
  <c r="AF361" i="16"/>
  <c r="AE361" i="16"/>
  <c r="AD361" i="16"/>
  <c r="Z361" i="16"/>
  <c r="L361" i="16"/>
  <c r="BF361" i="16" s="1"/>
  <c r="I361" i="16"/>
  <c r="BJ359" i="16"/>
  <c r="BH359" i="16"/>
  <c r="BD359" i="16"/>
  <c r="AX359" i="16"/>
  <c r="AV359" i="16" s="1"/>
  <c r="AP359" i="16"/>
  <c r="BI359" i="16" s="1"/>
  <c r="AC359" i="16" s="1"/>
  <c r="AO359" i="16"/>
  <c r="AW359" i="16" s="1"/>
  <c r="AL359" i="16"/>
  <c r="AK359" i="16"/>
  <c r="AJ359" i="16"/>
  <c r="AH359" i="16"/>
  <c r="AG359" i="16"/>
  <c r="AF359" i="16"/>
  <c r="AE359" i="16"/>
  <c r="AD359" i="16"/>
  <c r="AB359" i="16"/>
  <c r="Z359" i="16"/>
  <c r="L359" i="16"/>
  <c r="BF359" i="16" s="1"/>
  <c r="I359" i="16"/>
  <c r="BJ357" i="16"/>
  <c r="BD357" i="16"/>
  <c r="AX357" i="16"/>
  <c r="AV357" i="16"/>
  <c r="AP357" i="16"/>
  <c r="BI357" i="16" s="1"/>
  <c r="AC357" i="16" s="1"/>
  <c r="AO357" i="16"/>
  <c r="AW357" i="16" s="1"/>
  <c r="BC357" i="16" s="1"/>
  <c r="AL357" i="16"/>
  <c r="AK357" i="16"/>
  <c r="AJ357" i="16"/>
  <c r="AH357" i="16"/>
  <c r="AG357" i="16"/>
  <c r="AF357" i="16"/>
  <c r="AE357" i="16"/>
  <c r="AD357" i="16"/>
  <c r="Z357" i="16"/>
  <c r="L357" i="16"/>
  <c r="BF357" i="16" s="1"/>
  <c r="I357" i="16"/>
  <c r="BJ355" i="16"/>
  <c r="BH355" i="16"/>
  <c r="AB355" i="16" s="1"/>
  <c r="BD355" i="16"/>
  <c r="AX355" i="16"/>
  <c r="AP355" i="16"/>
  <c r="BI355" i="16" s="1"/>
  <c r="AC355" i="16" s="1"/>
  <c r="AO355" i="16"/>
  <c r="AW355" i="16" s="1"/>
  <c r="AL355" i="16"/>
  <c r="AK355" i="16"/>
  <c r="AJ355" i="16"/>
  <c r="AH355" i="16"/>
  <c r="AG355" i="16"/>
  <c r="AF355" i="16"/>
  <c r="AE355" i="16"/>
  <c r="AD355" i="16"/>
  <c r="Z355" i="16"/>
  <c r="L355" i="16"/>
  <c r="I355" i="16"/>
  <c r="AU354" i="16"/>
  <c r="AS354" i="16"/>
  <c r="I354" i="16"/>
  <c r="BJ352" i="16"/>
  <c r="BI352" i="16"/>
  <c r="BF352" i="16"/>
  <c r="BD352" i="16"/>
  <c r="AW352" i="16"/>
  <c r="AV352" i="16" s="1"/>
  <c r="AP352" i="16"/>
  <c r="AX352" i="16" s="1"/>
  <c r="AO352" i="16"/>
  <c r="BH352" i="16" s="1"/>
  <c r="AB352" i="16" s="1"/>
  <c r="AL352" i="16"/>
  <c r="AU351" i="16" s="1"/>
  <c r="AJ352" i="16"/>
  <c r="AS351" i="16" s="1"/>
  <c r="AH352" i="16"/>
  <c r="AG352" i="16"/>
  <c r="AF352" i="16"/>
  <c r="AE352" i="16"/>
  <c r="AD352" i="16"/>
  <c r="AC352" i="16"/>
  <c r="Z352" i="16"/>
  <c r="L352" i="16"/>
  <c r="I352" i="16"/>
  <c r="L351" i="16"/>
  <c r="BJ349" i="16"/>
  <c r="BD349" i="16"/>
  <c r="AX349" i="16"/>
  <c r="AP349" i="16"/>
  <c r="BI349" i="16" s="1"/>
  <c r="AC349" i="16" s="1"/>
  <c r="AO349" i="16"/>
  <c r="AW349" i="16" s="1"/>
  <c r="BC349" i="16" s="1"/>
  <c r="AL349" i="16"/>
  <c r="AK349" i="16"/>
  <c r="AJ349" i="16"/>
  <c r="AH349" i="16"/>
  <c r="AG349" i="16"/>
  <c r="AF349" i="16"/>
  <c r="AE349" i="16"/>
  <c r="AD349" i="16"/>
  <c r="Z349" i="16"/>
  <c r="L349" i="16"/>
  <c r="BF349" i="16" s="1"/>
  <c r="I349" i="16"/>
  <c r="BJ347" i="16"/>
  <c r="BH347" i="16"/>
  <c r="BD347" i="16"/>
  <c r="AX347" i="16"/>
  <c r="AV347" i="16" s="1"/>
  <c r="AP347" i="16"/>
  <c r="BI347" i="16" s="1"/>
  <c r="AC347" i="16" s="1"/>
  <c r="AO347" i="16"/>
  <c r="AW347" i="16" s="1"/>
  <c r="AL347" i="16"/>
  <c r="AK347" i="16"/>
  <c r="AJ347" i="16"/>
  <c r="AH347" i="16"/>
  <c r="AG347" i="16"/>
  <c r="AF347" i="16"/>
  <c r="AE347" i="16"/>
  <c r="AD347" i="16"/>
  <c r="AB347" i="16"/>
  <c r="Z347" i="16"/>
  <c r="L347" i="16"/>
  <c r="I347" i="16"/>
  <c r="AU346" i="16"/>
  <c r="AS346" i="16"/>
  <c r="I346" i="16"/>
  <c r="BJ344" i="16"/>
  <c r="BI344" i="16"/>
  <c r="AC344" i="16" s="1"/>
  <c r="BF344" i="16"/>
  <c r="BD344" i="16"/>
  <c r="AW344" i="16"/>
  <c r="AV344" i="16" s="1"/>
  <c r="AP344" i="16"/>
  <c r="AX344" i="16" s="1"/>
  <c r="AO344" i="16"/>
  <c r="BH344" i="16" s="1"/>
  <c r="AB344" i="16" s="1"/>
  <c r="AL344" i="16"/>
  <c r="AJ344" i="16"/>
  <c r="AH344" i="16"/>
  <c r="AG344" i="16"/>
  <c r="AF344" i="16"/>
  <c r="AE344" i="16"/>
  <c r="AD344" i="16"/>
  <c r="Z344" i="16"/>
  <c r="L344" i="16"/>
  <c r="I344" i="16"/>
  <c r="AK344" i="16" s="1"/>
  <c r="BJ342" i="16"/>
  <c r="BF342" i="16"/>
  <c r="BD342" i="16"/>
  <c r="AW342" i="16"/>
  <c r="AP342" i="16"/>
  <c r="AX342" i="16" s="1"/>
  <c r="BC342" i="16" s="1"/>
  <c r="AO342" i="16"/>
  <c r="BH342" i="16" s="1"/>
  <c r="AB342" i="16" s="1"/>
  <c r="AL342" i="16"/>
  <c r="AJ342" i="16"/>
  <c r="AH342" i="16"/>
  <c r="AG342" i="16"/>
  <c r="AF342" i="16"/>
  <c r="AE342" i="16"/>
  <c r="AD342" i="16"/>
  <c r="Z342" i="16"/>
  <c r="L342" i="16"/>
  <c r="I342" i="16"/>
  <c r="AK342" i="16" s="1"/>
  <c r="BJ340" i="16"/>
  <c r="BI340" i="16"/>
  <c r="BF340" i="16"/>
  <c r="BD340" i="16"/>
  <c r="AW340" i="16"/>
  <c r="AV340" i="16" s="1"/>
  <c r="AP340" i="16"/>
  <c r="AX340" i="16" s="1"/>
  <c r="AO340" i="16"/>
  <c r="BH340" i="16" s="1"/>
  <c r="AB340" i="16" s="1"/>
  <c r="AL340" i="16"/>
  <c r="AJ340" i="16"/>
  <c r="AH340" i="16"/>
  <c r="AG340" i="16"/>
  <c r="AF340" i="16"/>
  <c r="AE340" i="16"/>
  <c r="AD340" i="16"/>
  <c r="AC340" i="16"/>
  <c r="Z340" i="16"/>
  <c r="L340" i="16"/>
  <c r="I340" i="16"/>
  <c r="L339" i="16"/>
  <c r="BJ337" i="16"/>
  <c r="BD337" i="16"/>
  <c r="AX337" i="16"/>
  <c r="AP337" i="16"/>
  <c r="BI337" i="16" s="1"/>
  <c r="AE337" i="16" s="1"/>
  <c r="AO337" i="16"/>
  <c r="AW337" i="16" s="1"/>
  <c r="BC337" i="16" s="1"/>
  <c r="AL337" i="16"/>
  <c r="AK337" i="16"/>
  <c r="AT336" i="16" s="1"/>
  <c r="AJ337" i="16"/>
  <c r="AH337" i="16"/>
  <c r="AG337" i="16"/>
  <c r="AF337" i="16"/>
  <c r="AC337" i="16"/>
  <c r="AB337" i="16"/>
  <c r="Z337" i="16"/>
  <c r="L337" i="16"/>
  <c r="I337" i="16"/>
  <c r="AU336" i="16"/>
  <c r="AS336" i="16"/>
  <c r="I336" i="16"/>
  <c r="BJ334" i="16"/>
  <c r="BF334" i="16"/>
  <c r="BD334" i="16"/>
  <c r="BC334" i="16"/>
  <c r="AW334" i="16"/>
  <c r="AP334" i="16"/>
  <c r="AX334" i="16" s="1"/>
  <c r="AO334" i="16"/>
  <c r="BH334" i="16" s="1"/>
  <c r="AD334" i="16" s="1"/>
  <c r="AL334" i="16"/>
  <c r="AJ334" i="16"/>
  <c r="AH334" i="16"/>
  <c r="AG334" i="16"/>
  <c r="AF334" i="16"/>
  <c r="AC334" i="16"/>
  <c r="AB334" i="16"/>
  <c r="Z334" i="16"/>
  <c r="L334" i="16"/>
  <c r="I334" i="16"/>
  <c r="AK334" i="16" s="1"/>
  <c r="BJ332" i="16"/>
  <c r="BI332" i="16"/>
  <c r="BF332" i="16"/>
  <c r="BD332" i="16"/>
  <c r="AW332" i="16"/>
  <c r="AV332" i="16" s="1"/>
  <c r="AP332" i="16"/>
  <c r="AX332" i="16" s="1"/>
  <c r="AO332" i="16"/>
  <c r="BH332" i="16" s="1"/>
  <c r="AD332" i="16" s="1"/>
  <c r="AL332" i="16"/>
  <c r="AJ332" i="16"/>
  <c r="AH332" i="16"/>
  <c r="AG332" i="16"/>
  <c r="AF332" i="16"/>
  <c r="AE332" i="16"/>
  <c r="AC332" i="16"/>
  <c r="AB332" i="16"/>
  <c r="Z332" i="16"/>
  <c r="L332" i="16"/>
  <c r="I332" i="16"/>
  <c r="AK332" i="16" s="1"/>
  <c r="BJ330" i="16"/>
  <c r="BF330" i="16"/>
  <c r="BD330" i="16"/>
  <c r="AW330" i="16"/>
  <c r="AP330" i="16"/>
  <c r="AX330" i="16" s="1"/>
  <c r="BC330" i="16" s="1"/>
  <c r="AO330" i="16"/>
  <c r="BH330" i="16" s="1"/>
  <c r="AD330" i="16" s="1"/>
  <c r="AL330" i="16"/>
  <c r="AJ330" i="16"/>
  <c r="AH330" i="16"/>
  <c r="AG330" i="16"/>
  <c r="AF330" i="16"/>
  <c r="AC330" i="16"/>
  <c r="AB330" i="16"/>
  <c r="Z330" i="16"/>
  <c r="L330" i="16"/>
  <c r="I330" i="16"/>
  <c r="L329" i="16"/>
  <c r="BJ327" i="16"/>
  <c r="BH327" i="16"/>
  <c r="BD327" i="16"/>
  <c r="AX327" i="16"/>
  <c r="AP327" i="16"/>
  <c r="BI327" i="16" s="1"/>
  <c r="AE327" i="16" s="1"/>
  <c r="AO327" i="16"/>
  <c r="AW327" i="16" s="1"/>
  <c r="AL327" i="16"/>
  <c r="AK327" i="16"/>
  <c r="AJ327" i="16"/>
  <c r="AS318" i="16" s="1"/>
  <c r="AH327" i="16"/>
  <c r="AG327" i="16"/>
  <c r="AF327" i="16"/>
  <c r="AD327" i="16"/>
  <c r="AC327" i="16"/>
  <c r="AB327" i="16"/>
  <c r="Z327" i="16"/>
  <c r="L327" i="16"/>
  <c r="BF327" i="16" s="1"/>
  <c r="I327" i="16"/>
  <c r="BJ325" i="16"/>
  <c r="BH325" i="16"/>
  <c r="AD325" i="16" s="1"/>
  <c r="BD325" i="16"/>
  <c r="AP325" i="16"/>
  <c r="AX325" i="16" s="1"/>
  <c r="AV325" i="16" s="1"/>
  <c r="AO325" i="16"/>
  <c r="AW325" i="16" s="1"/>
  <c r="AL325" i="16"/>
  <c r="AK325" i="16"/>
  <c r="AJ325" i="16"/>
  <c r="AH325" i="16"/>
  <c r="AG325" i="16"/>
  <c r="AF325" i="16"/>
  <c r="AC325" i="16"/>
  <c r="AB325" i="16"/>
  <c r="Z325" i="16"/>
  <c r="L325" i="16"/>
  <c r="BF325" i="16" s="1"/>
  <c r="I325" i="16"/>
  <c r="BJ323" i="16"/>
  <c r="BD323" i="16"/>
  <c r="AX323" i="16"/>
  <c r="AP323" i="16"/>
  <c r="BI323" i="16" s="1"/>
  <c r="AE323" i="16" s="1"/>
  <c r="AO323" i="16"/>
  <c r="AW323" i="16" s="1"/>
  <c r="AL323" i="16"/>
  <c r="AK323" i="16"/>
  <c r="AJ323" i="16"/>
  <c r="AH323" i="16"/>
  <c r="AG323" i="16"/>
  <c r="AF323" i="16"/>
  <c r="AC323" i="16"/>
  <c r="AB323" i="16"/>
  <c r="Z323" i="16"/>
  <c r="L323" i="16"/>
  <c r="BF323" i="16" s="1"/>
  <c r="I323" i="16"/>
  <c r="BJ321" i="16"/>
  <c r="BD321" i="16"/>
  <c r="AX321" i="16"/>
  <c r="AP321" i="16"/>
  <c r="BI321" i="16" s="1"/>
  <c r="AE321" i="16" s="1"/>
  <c r="AO321" i="16"/>
  <c r="AW321" i="16" s="1"/>
  <c r="AL321" i="16"/>
  <c r="AK321" i="16"/>
  <c r="AJ321" i="16"/>
  <c r="AH321" i="16"/>
  <c r="AG321" i="16"/>
  <c r="AF321" i="16"/>
  <c r="AC321" i="16"/>
  <c r="AB321" i="16"/>
  <c r="Z321" i="16"/>
  <c r="L321" i="16"/>
  <c r="BF321" i="16" s="1"/>
  <c r="I321" i="16"/>
  <c r="BJ319" i="16"/>
  <c r="BD319" i="16"/>
  <c r="AX319" i="16"/>
  <c r="AP319" i="16"/>
  <c r="BI319" i="16" s="1"/>
  <c r="AE319" i="16" s="1"/>
  <c r="AO319" i="16"/>
  <c r="AW319" i="16" s="1"/>
  <c r="AL319" i="16"/>
  <c r="AK319" i="16"/>
  <c r="AT318" i="16" s="1"/>
  <c r="AJ319" i="16"/>
  <c r="AH319" i="16"/>
  <c r="AG319" i="16"/>
  <c r="AF319" i="16"/>
  <c r="AC319" i="16"/>
  <c r="AB319" i="16"/>
  <c r="Z319" i="16"/>
  <c r="L319" i="16"/>
  <c r="BF319" i="16" s="1"/>
  <c r="I319" i="16"/>
  <c r="AU318" i="16"/>
  <c r="I318" i="16"/>
  <c r="BJ316" i="16"/>
  <c r="BF316" i="16"/>
  <c r="BD316" i="16"/>
  <c r="AW316" i="16"/>
  <c r="AP316" i="16"/>
  <c r="BI316" i="16" s="1"/>
  <c r="AE316" i="16" s="1"/>
  <c r="AO316" i="16"/>
  <c r="BH316" i="16" s="1"/>
  <c r="AD316" i="16" s="1"/>
  <c r="AL316" i="16"/>
  <c r="AU315" i="16" s="1"/>
  <c r="AJ316" i="16"/>
  <c r="AS315" i="16" s="1"/>
  <c r="AH316" i="16"/>
  <c r="AG316" i="16"/>
  <c r="AF316" i="16"/>
  <c r="AC316" i="16"/>
  <c r="AB316" i="16"/>
  <c r="Z316" i="16"/>
  <c r="L316" i="16"/>
  <c r="I316" i="16"/>
  <c r="AK316" i="16" s="1"/>
  <c r="AT315" i="16" s="1"/>
  <c r="L315" i="16"/>
  <c r="BJ314" i="16"/>
  <c r="Z314" i="16" s="1"/>
  <c r="BD314" i="16"/>
  <c r="AX314" i="16"/>
  <c r="AP314" i="16"/>
  <c r="BI314" i="16" s="1"/>
  <c r="AO314" i="16"/>
  <c r="AW314" i="16" s="1"/>
  <c r="AL314" i="16"/>
  <c r="AK314" i="16"/>
  <c r="AJ314" i="16"/>
  <c r="AH314" i="16"/>
  <c r="AG314" i="16"/>
  <c r="AF314" i="16"/>
  <c r="AE314" i="16"/>
  <c r="AD314" i="16"/>
  <c r="AC314" i="16"/>
  <c r="AB314" i="16"/>
  <c r="L314" i="16"/>
  <c r="BF314" i="16" s="1"/>
  <c r="I314" i="16"/>
  <c r="BJ312" i="16"/>
  <c r="BD312" i="16"/>
  <c r="AX312" i="16"/>
  <c r="AP312" i="16"/>
  <c r="BI312" i="16" s="1"/>
  <c r="AE312" i="16" s="1"/>
  <c r="AO312" i="16"/>
  <c r="AW312" i="16" s="1"/>
  <c r="AL312" i="16"/>
  <c r="AK312" i="16"/>
  <c r="AJ312" i="16"/>
  <c r="AH312" i="16"/>
  <c r="AG312" i="16"/>
  <c r="AF312" i="16"/>
  <c r="AC312" i="16"/>
  <c r="AB312" i="16"/>
  <c r="Z312" i="16"/>
  <c r="L312" i="16"/>
  <c r="BF312" i="16" s="1"/>
  <c r="I312" i="16"/>
  <c r="BJ310" i="16"/>
  <c r="BD310" i="16"/>
  <c r="AX310" i="16"/>
  <c r="AP310" i="16"/>
  <c r="BI310" i="16" s="1"/>
  <c r="AE310" i="16" s="1"/>
  <c r="AO310" i="16"/>
  <c r="AW310" i="16" s="1"/>
  <c r="AL310" i="16"/>
  <c r="AK310" i="16"/>
  <c r="AJ310" i="16"/>
  <c r="AH310" i="16"/>
  <c r="AG310" i="16"/>
  <c r="AF310" i="16"/>
  <c r="AC310" i="16"/>
  <c r="AB310" i="16"/>
  <c r="Z310" i="16"/>
  <c r="L310" i="16"/>
  <c r="BF310" i="16" s="1"/>
  <c r="I310" i="16"/>
  <c r="BJ308" i="16"/>
  <c r="BD308" i="16"/>
  <c r="AX308" i="16"/>
  <c r="AP308" i="16"/>
  <c r="BI308" i="16" s="1"/>
  <c r="AE308" i="16" s="1"/>
  <c r="AO308" i="16"/>
  <c r="AW308" i="16" s="1"/>
  <c r="AL308" i="16"/>
  <c r="AK308" i="16"/>
  <c r="AJ308" i="16"/>
  <c r="AH308" i="16"/>
  <c r="AG308" i="16"/>
  <c r="AF308" i="16"/>
  <c r="AC308" i="16"/>
  <c r="AB308" i="16"/>
  <c r="Z308" i="16"/>
  <c r="L308" i="16"/>
  <c r="BF308" i="16" s="1"/>
  <c r="I308" i="16"/>
  <c r="BJ302" i="16"/>
  <c r="BD302" i="16"/>
  <c r="AX302" i="16"/>
  <c r="AP302" i="16"/>
  <c r="BI302" i="16" s="1"/>
  <c r="AE302" i="16" s="1"/>
  <c r="AO302" i="16"/>
  <c r="AW302" i="16" s="1"/>
  <c r="AL302" i="16"/>
  <c r="AK302" i="16"/>
  <c r="AT301" i="16" s="1"/>
  <c r="AJ302" i="16"/>
  <c r="AH302" i="16"/>
  <c r="AG302" i="16"/>
  <c r="AF302" i="16"/>
  <c r="AC302" i="16"/>
  <c r="AB302" i="16"/>
  <c r="Z302" i="16"/>
  <c r="L302" i="16"/>
  <c r="BF302" i="16" s="1"/>
  <c r="I302" i="16"/>
  <c r="AU301" i="16"/>
  <c r="AS301" i="16"/>
  <c r="I301" i="16"/>
  <c r="BJ299" i="16"/>
  <c r="BF299" i="16"/>
  <c r="BD299" i="16"/>
  <c r="AW299" i="16"/>
  <c r="AP299" i="16"/>
  <c r="BI299" i="16" s="1"/>
  <c r="AE299" i="16" s="1"/>
  <c r="AO299" i="16"/>
  <c r="BH299" i="16" s="1"/>
  <c r="AD299" i="16" s="1"/>
  <c r="AL299" i="16"/>
  <c r="AJ299" i="16"/>
  <c r="AH299" i="16"/>
  <c r="AG299" i="16"/>
  <c r="AF299" i="16"/>
  <c r="AC299" i="16"/>
  <c r="AB299" i="16"/>
  <c r="Z299" i="16"/>
  <c r="L299" i="16"/>
  <c r="I299" i="16"/>
  <c r="AK299" i="16" s="1"/>
  <c r="BJ297" i="16"/>
  <c r="BF297" i="16"/>
  <c r="BD297" i="16"/>
  <c r="AW297" i="16"/>
  <c r="AP297" i="16"/>
  <c r="BI297" i="16" s="1"/>
  <c r="AE297" i="16" s="1"/>
  <c r="AO297" i="16"/>
  <c r="BH297" i="16" s="1"/>
  <c r="AD297" i="16" s="1"/>
  <c r="AL297" i="16"/>
  <c r="AJ297" i="16"/>
  <c r="AH297" i="16"/>
  <c r="AG297" i="16"/>
  <c r="AF297" i="16"/>
  <c r="AC297" i="16"/>
  <c r="AB297" i="16"/>
  <c r="Z297" i="16"/>
  <c r="L297" i="16"/>
  <c r="I297" i="16"/>
  <c r="AK297" i="16" s="1"/>
  <c r="BJ295" i="16"/>
  <c r="BF295" i="16"/>
  <c r="BD295" i="16"/>
  <c r="AW295" i="16"/>
  <c r="AP295" i="16"/>
  <c r="BI295" i="16" s="1"/>
  <c r="AE295" i="16" s="1"/>
  <c r="AO295" i="16"/>
  <c r="BH295" i="16" s="1"/>
  <c r="AD295" i="16" s="1"/>
  <c r="AL295" i="16"/>
  <c r="AJ295" i="16"/>
  <c r="AH295" i="16"/>
  <c r="AG295" i="16"/>
  <c r="AF295" i="16"/>
  <c r="AC295" i="16"/>
  <c r="AB295" i="16"/>
  <c r="Z295" i="16"/>
  <c r="L295" i="16"/>
  <c r="I295" i="16"/>
  <c r="AK295" i="16" s="1"/>
  <c r="BJ293" i="16"/>
  <c r="BF293" i="16"/>
  <c r="BD293" i="16"/>
  <c r="AW293" i="16"/>
  <c r="AP293" i="16"/>
  <c r="BI293" i="16" s="1"/>
  <c r="AE293" i="16" s="1"/>
  <c r="AO293" i="16"/>
  <c r="BH293" i="16" s="1"/>
  <c r="AD293" i="16" s="1"/>
  <c r="AL293" i="16"/>
  <c r="AU292" i="16" s="1"/>
  <c r="AJ293" i="16"/>
  <c r="AS292" i="16" s="1"/>
  <c r="AH293" i="16"/>
  <c r="AG293" i="16"/>
  <c r="AF293" i="16"/>
  <c r="AC293" i="16"/>
  <c r="AB293" i="16"/>
  <c r="Z293" i="16"/>
  <c r="L293" i="16"/>
  <c r="I293" i="16"/>
  <c r="AK293" i="16" s="1"/>
  <c r="AT292" i="16" s="1"/>
  <c r="L292" i="16"/>
  <c r="BJ290" i="16"/>
  <c r="BD290" i="16"/>
  <c r="AX290" i="16"/>
  <c r="AP290" i="16"/>
  <c r="BI290" i="16" s="1"/>
  <c r="AE290" i="16" s="1"/>
  <c r="AO290" i="16"/>
  <c r="BH290" i="16" s="1"/>
  <c r="AD290" i="16" s="1"/>
  <c r="AL290" i="16"/>
  <c r="AK290" i="16"/>
  <c r="AJ290" i="16"/>
  <c r="AH290" i="16"/>
  <c r="AG290" i="16"/>
  <c r="AF290" i="16"/>
  <c r="AC290" i="16"/>
  <c r="AB290" i="16"/>
  <c r="Z290" i="16"/>
  <c r="L290" i="16"/>
  <c r="BF290" i="16" s="1"/>
  <c r="I290" i="16"/>
  <c r="BJ288" i="16"/>
  <c r="BD288" i="16"/>
  <c r="AX288" i="16"/>
  <c r="AP288" i="16"/>
  <c r="BI288" i="16" s="1"/>
  <c r="AE288" i="16" s="1"/>
  <c r="AO288" i="16"/>
  <c r="BH288" i="16" s="1"/>
  <c r="AD288" i="16" s="1"/>
  <c r="AL288" i="16"/>
  <c r="AK288" i="16"/>
  <c r="AJ288" i="16"/>
  <c r="AH288" i="16"/>
  <c r="AG288" i="16"/>
  <c r="AF288" i="16"/>
  <c r="AC288" i="16"/>
  <c r="AB288" i="16"/>
  <c r="Z288" i="16"/>
  <c r="L288" i="16"/>
  <c r="BF288" i="16" s="1"/>
  <c r="I288" i="16"/>
  <c r="BJ286" i="16"/>
  <c r="BD286" i="16"/>
  <c r="AX286" i="16"/>
  <c r="AP286" i="16"/>
  <c r="BI286" i="16" s="1"/>
  <c r="AE286" i="16" s="1"/>
  <c r="AO286" i="16"/>
  <c r="BH286" i="16" s="1"/>
  <c r="AD286" i="16" s="1"/>
  <c r="AL286" i="16"/>
  <c r="AK286" i="16"/>
  <c r="AT285" i="16" s="1"/>
  <c r="AJ286" i="16"/>
  <c r="AH286" i="16"/>
  <c r="AG286" i="16"/>
  <c r="AF286" i="16"/>
  <c r="AC286" i="16"/>
  <c r="AB286" i="16"/>
  <c r="Z286" i="16"/>
  <c r="L286" i="16"/>
  <c r="BF286" i="16" s="1"/>
  <c r="I286" i="16"/>
  <c r="AU285" i="16"/>
  <c r="AS285" i="16"/>
  <c r="I285" i="16"/>
  <c r="BJ283" i="16"/>
  <c r="BF283" i="16"/>
  <c r="BD283" i="16"/>
  <c r="AW283" i="16"/>
  <c r="AP283" i="16"/>
  <c r="AX283" i="16" s="1"/>
  <c r="AO283" i="16"/>
  <c r="BH283" i="16" s="1"/>
  <c r="AB283" i="16" s="1"/>
  <c r="AL283" i="16"/>
  <c r="AU282" i="16" s="1"/>
  <c r="AJ283" i="16"/>
  <c r="AS282" i="16" s="1"/>
  <c r="AH283" i="16"/>
  <c r="AG283" i="16"/>
  <c r="AF283" i="16"/>
  <c r="AE283" i="16"/>
  <c r="AD283" i="16"/>
  <c r="Z283" i="16"/>
  <c r="L283" i="16"/>
  <c r="I283" i="16"/>
  <c r="L282" i="16"/>
  <c r="BJ280" i="16"/>
  <c r="BD280" i="16"/>
  <c r="AX280" i="16"/>
  <c r="AP280" i="16"/>
  <c r="BI280" i="16" s="1"/>
  <c r="AC280" i="16" s="1"/>
  <c r="AO280" i="16"/>
  <c r="AW280" i="16" s="1"/>
  <c r="AL280" i="16"/>
  <c r="AK280" i="16"/>
  <c r="AJ280" i="16"/>
  <c r="AH280" i="16"/>
  <c r="AG280" i="16"/>
  <c r="AF280" i="16"/>
  <c r="AE280" i="16"/>
  <c r="AD280" i="16"/>
  <c r="Z280" i="16"/>
  <c r="L280" i="16"/>
  <c r="BF280" i="16" s="1"/>
  <c r="I280" i="16"/>
  <c r="BJ278" i="16"/>
  <c r="BD278" i="16"/>
  <c r="AX278" i="16"/>
  <c r="AP278" i="16"/>
  <c r="BI278" i="16" s="1"/>
  <c r="AC278" i="16" s="1"/>
  <c r="AO278" i="16"/>
  <c r="AW278" i="16" s="1"/>
  <c r="AL278" i="16"/>
  <c r="AK278" i="16"/>
  <c r="AJ278" i="16"/>
  <c r="AH278" i="16"/>
  <c r="AG278" i="16"/>
  <c r="AF278" i="16"/>
  <c r="AE278" i="16"/>
  <c r="AD278" i="16"/>
  <c r="Z278" i="16"/>
  <c r="L278" i="16"/>
  <c r="BF278" i="16" s="1"/>
  <c r="I278" i="16"/>
  <c r="BJ276" i="16"/>
  <c r="BH276" i="16"/>
  <c r="AB276" i="16" s="1"/>
  <c r="BD276" i="16"/>
  <c r="AX276" i="16"/>
  <c r="AP276" i="16"/>
  <c r="BI276" i="16" s="1"/>
  <c r="AC276" i="16" s="1"/>
  <c r="AO276" i="16"/>
  <c r="AW276" i="16" s="1"/>
  <c r="AL276" i="16"/>
  <c r="AK276" i="16"/>
  <c r="AJ276" i="16"/>
  <c r="AH276" i="16"/>
  <c r="AG276" i="16"/>
  <c r="AF276" i="16"/>
  <c r="AE276" i="16"/>
  <c r="AD276" i="16"/>
  <c r="Z276" i="16"/>
  <c r="L276" i="16"/>
  <c r="BF276" i="16" s="1"/>
  <c r="I276" i="16"/>
  <c r="BJ274" i="16"/>
  <c r="BD274" i="16"/>
  <c r="AX274" i="16"/>
  <c r="AP274" i="16"/>
  <c r="BI274" i="16" s="1"/>
  <c r="AC274" i="16" s="1"/>
  <c r="AO274" i="16"/>
  <c r="AW274" i="16" s="1"/>
  <c r="AL274" i="16"/>
  <c r="AK274" i="16"/>
  <c r="AT273" i="16" s="1"/>
  <c r="AJ274" i="16"/>
  <c r="AH274" i="16"/>
  <c r="AG274" i="16"/>
  <c r="AF274" i="16"/>
  <c r="AE274" i="16"/>
  <c r="AD274" i="16"/>
  <c r="Z274" i="16"/>
  <c r="L274" i="16"/>
  <c r="I274" i="16"/>
  <c r="AU273" i="16"/>
  <c r="AS273" i="16"/>
  <c r="I273" i="16"/>
  <c r="BJ271" i="16"/>
  <c r="BF271" i="16"/>
  <c r="BD271" i="16"/>
  <c r="BC271" i="16"/>
  <c r="AW271" i="16"/>
  <c r="AP271" i="16"/>
  <c r="AX271" i="16" s="1"/>
  <c r="AO271" i="16"/>
  <c r="BH271" i="16" s="1"/>
  <c r="AB271" i="16" s="1"/>
  <c r="AL271" i="16"/>
  <c r="AJ271" i="16"/>
  <c r="AH271" i="16"/>
  <c r="AG271" i="16"/>
  <c r="AF271" i="16"/>
  <c r="AE271" i="16"/>
  <c r="AD271" i="16"/>
  <c r="Z271" i="16"/>
  <c r="L271" i="16"/>
  <c r="I271" i="16"/>
  <c r="AK271" i="16" s="1"/>
  <c r="BJ269" i="16"/>
  <c r="BF269" i="16"/>
  <c r="BD269" i="16"/>
  <c r="BC269" i="16"/>
  <c r="AW269" i="16"/>
  <c r="AP269" i="16"/>
  <c r="AX269" i="16" s="1"/>
  <c r="AO269" i="16"/>
  <c r="BH269" i="16" s="1"/>
  <c r="AB269" i="16" s="1"/>
  <c r="AL269" i="16"/>
  <c r="AJ269" i="16"/>
  <c r="AH269" i="16"/>
  <c r="AG269" i="16"/>
  <c r="AF269" i="16"/>
  <c r="AE269" i="16"/>
  <c r="AD269" i="16"/>
  <c r="Z269" i="16"/>
  <c r="L269" i="16"/>
  <c r="I269" i="16"/>
  <c r="AK269" i="16" s="1"/>
  <c r="BJ267" i="16"/>
  <c r="BF267" i="16"/>
  <c r="BD267" i="16"/>
  <c r="BC267" i="16"/>
  <c r="AW267" i="16"/>
  <c r="AP267" i="16"/>
  <c r="AX267" i="16" s="1"/>
  <c r="AO267" i="16"/>
  <c r="BH267" i="16" s="1"/>
  <c r="AB267" i="16" s="1"/>
  <c r="AL267" i="16"/>
  <c r="AU266" i="16" s="1"/>
  <c r="AJ267" i="16"/>
  <c r="AS266" i="16" s="1"/>
  <c r="AH267" i="16"/>
  <c r="AG267" i="16"/>
  <c r="AF267" i="16"/>
  <c r="AE267" i="16"/>
  <c r="AD267" i="16"/>
  <c r="Z267" i="16"/>
  <c r="L267" i="16"/>
  <c r="I267" i="16"/>
  <c r="L266" i="16"/>
  <c r="BJ264" i="16"/>
  <c r="BD264" i="16"/>
  <c r="AX264" i="16"/>
  <c r="AV264" i="16"/>
  <c r="AP264" i="16"/>
  <c r="BI264" i="16" s="1"/>
  <c r="AC264" i="16" s="1"/>
  <c r="AO264" i="16"/>
  <c r="AW264" i="16" s="1"/>
  <c r="BC264" i="16" s="1"/>
  <c r="AL264" i="16"/>
  <c r="AK264" i="16"/>
  <c r="AJ264" i="16"/>
  <c r="AH264" i="16"/>
  <c r="AG264" i="16"/>
  <c r="AF264" i="16"/>
  <c r="AE264" i="16"/>
  <c r="AD264" i="16"/>
  <c r="Z264" i="16"/>
  <c r="L264" i="16"/>
  <c r="BF264" i="16" s="1"/>
  <c r="I264" i="16"/>
  <c r="BJ262" i="16"/>
  <c r="BH262" i="16"/>
  <c r="AB262" i="16" s="1"/>
  <c r="BD262" i="16"/>
  <c r="AX262" i="16"/>
  <c r="AV262" i="16"/>
  <c r="AP262" i="16"/>
  <c r="BI262" i="16" s="1"/>
  <c r="AC262" i="16" s="1"/>
  <c r="AO262" i="16"/>
  <c r="AW262" i="16" s="1"/>
  <c r="BC262" i="16" s="1"/>
  <c r="AL262" i="16"/>
  <c r="AK262" i="16"/>
  <c r="AJ262" i="16"/>
  <c r="AH262" i="16"/>
  <c r="AG262" i="16"/>
  <c r="AF262" i="16"/>
  <c r="AE262" i="16"/>
  <c r="AD262" i="16"/>
  <c r="Z262" i="16"/>
  <c r="L262" i="16"/>
  <c r="BF262" i="16" s="1"/>
  <c r="I262" i="16"/>
  <c r="BJ260" i="16"/>
  <c r="BD260" i="16"/>
  <c r="AX260" i="16"/>
  <c r="AP260" i="16"/>
  <c r="BI260" i="16" s="1"/>
  <c r="AC260" i="16" s="1"/>
  <c r="AO260" i="16"/>
  <c r="AW260" i="16" s="1"/>
  <c r="BC260" i="16" s="1"/>
  <c r="AL260" i="16"/>
  <c r="AK260" i="16"/>
  <c r="AT259" i="16" s="1"/>
  <c r="AJ260" i="16"/>
  <c r="AH260" i="16"/>
  <c r="AG260" i="16"/>
  <c r="AF260" i="16"/>
  <c r="AE260" i="16"/>
  <c r="AD260" i="16"/>
  <c r="Z260" i="16"/>
  <c r="L260" i="16"/>
  <c r="I260" i="16"/>
  <c r="AU259" i="16"/>
  <c r="AS259" i="16"/>
  <c r="I259" i="16"/>
  <c r="BJ257" i="16"/>
  <c r="BF257" i="16"/>
  <c r="BD257" i="16"/>
  <c r="BC257" i="16"/>
  <c r="AW257" i="16"/>
  <c r="AP257" i="16"/>
  <c r="AX257" i="16" s="1"/>
  <c r="AO257" i="16"/>
  <c r="BH257" i="16" s="1"/>
  <c r="AB257" i="16" s="1"/>
  <c r="AL257" i="16"/>
  <c r="AJ257" i="16"/>
  <c r="AH257" i="16"/>
  <c r="AG257" i="16"/>
  <c r="AF257" i="16"/>
  <c r="AE257" i="16"/>
  <c r="AD257" i="16"/>
  <c r="Z257" i="16"/>
  <c r="L257" i="16"/>
  <c r="I257" i="16"/>
  <c r="AK257" i="16" s="1"/>
  <c r="BJ255" i="16"/>
  <c r="BI255" i="16"/>
  <c r="BF255" i="16"/>
  <c r="BD255" i="16"/>
  <c r="AW255" i="16"/>
  <c r="AV255" i="16" s="1"/>
  <c r="AP255" i="16"/>
  <c r="AX255" i="16" s="1"/>
  <c r="AO255" i="16"/>
  <c r="BH255" i="16" s="1"/>
  <c r="AB255" i="16" s="1"/>
  <c r="AL255" i="16"/>
  <c r="AJ255" i="16"/>
  <c r="AS254" i="16" s="1"/>
  <c r="AH255" i="16"/>
  <c r="AG255" i="16"/>
  <c r="AF255" i="16"/>
  <c r="AE255" i="16"/>
  <c r="AD255" i="16"/>
  <c r="AC255" i="16"/>
  <c r="Z255" i="16"/>
  <c r="L255" i="16"/>
  <c r="I255" i="16"/>
  <c r="L254" i="16"/>
  <c r="BJ251" i="16"/>
  <c r="Z251" i="16" s="1"/>
  <c r="BH251" i="16"/>
  <c r="BD251" i="16"/>
  <c r="AX251" i="16"/>
  <c r="AV251" i="16" s="1"/>
  <c r="AP251" i="16"/>
  <c r="BI251" i="16" s="1"/>
  <c r="AO251" i="16"/>
  <c r="AW251" i="16" s="1"/>
  <c r="AL251" i="16"/>
  <c r="AK251" i="16"/>
  <c r="AJ251" i="16"/>
  <c r="AH251" i="16"/>
  <c r="AG251" i="16"/>
  <c r="AF251" i="16"/>
  <c r="AE251" i="16"/>
  <c r="AD251" i="16"/>
  <c r="AC251" i="16"/>
  <c r="AB251" i="16"/>
  <c r="L251" i="16"/>
  <c r="BF251" i="16" s="1"/>
  <c r="I251" i="16"/>
  <c r="BJ249" i="16"/>
  <c r="Z249" i="16" s="1"/>
  <c r="BD249" i="16"/>
  <c r="AX249" i="16"/>
  <c r="AV249" i="16"/>
  <c r="AP249" i="16"/>
  <c r="BI249" i="16" s="1"/>
  <c r="AO249" i="16"/>
  <c r="AW249" i="16" s="1"/>
  <c r="BC249" i="16" s="1"/>
  <c r="AL249" i="16"/>
  <c r="AK249" i="16"/>
  <c r="AJ249" i="16"/>
  <c r="AH249" i="16"/>
  <c r="AG249" i="16"/>
  <c r="AF249" i="16"/>
  <c r="AE249" i="16"/>
  <c r="AD249" i="16"/>
  <c r="AC249" i="16"/>
  <c r="AB249" i="16"/>
  <c r="L249" i="16"/>
  <c r="BF249" i="16" s="1"/>
  <c r="I249" i="16"/>
  <c r="BJ247" i="16"/>
  <c r="Z247" i="16" s="1"/>
  <c r="BH247" i="16"/>
  <c r="BD247" i="16"/>
  <c r="AX247" i="16"/>
  <c r="AV247" i="16" s="1"/>
  <c r="AP247" i="16"/>
  <c r="BI247" i="16" s="1"/>
  <c r="AO247" i="16"/>
  <c r="AW247" i="16" s="1"/>
  <c r="AL247" i="16"/>
  <c r="AK247" i="16"/>
  <c r="AJ247" i="16"/>
  <c r="AH247" i="16"/>
  <c r="AG247" i="16"/>
  <c r="AF247" i="16"/>
  <c r="AE247" i="16"/>
  <c r="AD247" i="16"/>
  <c r="AC247" i="16"/>
  <c r="AB247" i="16"/>
  <c r="L247" i="16"/>
  <c r="BF247" i="16" s="1"/>
  <c r="I247" i="16"/>
  <c r="BJ245" i="16"/>
  <c r="Z245" i="16" s="1"/>
  <c r="BD245" i="16"/>
  <c r="AX245" i="16"/>
  <c r="AP245" i="16"/>
  <c r="BI245" i="16" s="1"/>
  <c r="AO245" i="16"/>
  <c r="AW245" i="16" s="1"/>
  <c r="BC245" i="16" s="1"/>
  <c r="AL245" i="16"/>
  <c r="AK245" i="16"/>
  <c r="AJ245" i="16"/>
  <c r="AH245" i="16"/>
  <c r="AG245" i="16"/>
  <c r="AF245" i="16"/>
  <c r="AE245" i="16"/>
  <c r="AD245" i="16"/>
  <c r="AC245" i="16"/>
  <c r="AB245" i="16"/>
  <c r="L245" i="16"/>
  <c r="BF245" i="16" s="1"/>
  <c r="I245" i="16"/>
  <c r="BJ243" i="16"/>
  <c r="Z243" i="16" s="1"/>
  <c r="BH243" i="16"/>
  <c r="BD243" i="16"/>
  <c r="AX243" i="16"/>
  <c r="AP243" i="16"/>
  <c r="BI243" i="16" s="1"/>
  <c r="AO243" i="16"/>
  <c r="AW243" i="16" s="1"/>
  <c r="AL243" i="16"/>
  <c r="AK243" i="16"/>
  <c r="AJ243" i="16"/>
  <c r="AH243" i="16"/>
  <c r="AG243" i="16"/>
  <c r="AF243" i="16"/>
  <c r="AE243" i="16"/>
  <c r="AD243" i="16"/>
  <c r="AC243" i="16"/>
  <c r="AB243" i="16"/>
  <c r="L243" i="16"/>
  <c r="BF243" i="16" s="1"/>
  <c r="I243" i="16"/>
  <c r="BJ241" i="16"/>
  <c r="Z241" i="16" s="1"/>
  <c r="BD241" i="16"/>
  <c r="AX241" i="16"/>
  <c r="AV241" i="16"/>
  <c r="AP241" i="16"/>
  <c r="BI241" i="16" s="1"/>
  <c r="AO241" i="16"/>
  <c r="AW241" i="16" s="1"/>
  <c r="BC241" i="16" s="1"/>
  <c r="AL241" i="16"/>
  <c r="AK241" i="16"/>
  <c r="AJ241" i="16"/>
  <c r="AH241" i="16"/>
  <c r="AG241" i="16"/>
  <c r="AF241" i="16"/>
  <c r="AE241" i="16"/>
  <c r="AD241" i="16"/>
  <c r="AC241" i="16"/>
  <c r="AB241" i="16"/>
  <c r="L241" i="16"/>
  <c r="BF241" i="16" s="1"/>
  <c r="I241" i="16"/>
  <c r="BJ239" i="16"/>
  <c r="Z239" i="16" s="1"/>
  <c r="BH239" i="16"/>
  <c r="BD239" i="16"/>
  <c r="AX239" i="16"/>
  <c r="AP239" i="16"/>
  <c r="BI239" i="16" s="1"/>
  <c r="AO239" i="16"/>
  <c r="AW239" i="16" s="1"/>
  <c r="AL239" i="16"/>
  <c r="AK239" i="16"/>
  <c r="AJ239" i="16"/>
  <c r="AH239" i="16"/>
  <c r="AG239" i="16"/>
  <c r="AF239" i="16"/>
  <c r="AE239" i="16"/>
  <c r="AD239" i="16"/>
  <c r="AC239" i="16"/>
  <c r="AB239" i="16"/>
  <c r="L239" i="16"/>
  <c r="I239" i="16"/>
  <c r="AU238" i="16"/>
  <c r="AS238" i="16"/>
  <c r="I238" i="16"/>
  <c r="BJ237" i="16"/>
  <c r="BI237" i="16"/>
  <c r="BF237" i="16"/>
  <c r="BD237" i="16"/>
  <c r="AW237" i="16"/>
  <c r="AV237" i="16" s="1"/>
  <c r="AP237" i="16"/>
  <c r="AX237" i="16" s="1"/>
  <c r="AO237" i="16"/>
  <c r="BH237" i="16" s="1"/>
  <c r="AL237" i="16"/>
  <c r="AU236" i="16" s="1"/>
  <c r="AJ237" i="16"/>
  <c r="AS236" i="16" s="1"/>
  <c r="AH237" i="16"/>
  <c r="AG237" i="16"/>
  <c r="AF237" i="16"/>
  <c r="AE237" i="16"/>
  <c r="AD237" i="16"/>
  <c r="AC237" i="16"/>
  <c r="AB237" i="16"/>
  <c r="Z237" i="16"/>
  <c r="L237" i="16"/>
  <c r="I237" i="16"/>
  <c r="L236" i="16"/>
  <c r="BJ234" i="16"/>
  <c r="BH234" i="16"/>
  <c r="AB234" i="16" s="1"/>
  <c r="BD234" i="16"/>
  <c r="AX234" i="16"/>
  <c r="AV234" i="16" s="1"/>
  <c r="AP234" i="16"/>
  <c r="BI234" i="16" s="1"/>
  <c r="AC234" i="16" s="1"/>
  <c r="AO234" i="16"/>
  <c r="AW234" i="16" s="1"/>
  <c r="AL234" i="16"/>
  <c r="AU233" i="16" s="1"/>
  <c r="AJ234" i="16"/>
  <c r="AH234" i="16"/>
  <c r="AG234" i="16"/>
  <c r="AF234" i="16"/>
  <c r="AE234" i="16"/>
  <c r="AD234" i="16"/>
  <c r="Z234" i="16"/>
  <c r="L234" i="16"/>
  <c r="BF234" i="16" s="1"/>
  <c r="I234" i="16"/>
  <c r="I233" i="16" s="1"/>
  <c r="AS233" i="16"/>
  <c r="L233" i="16"/>
  <c r="BJ230" i="16"/>
  <c r="BF230" i="16"/>
  <c r="BD230" i="16"/>
  <c r="AW230" i="16"/>
  <c r="AP230" i="16"/>
  <c r="BI230" i="16" s="1"/>
  <c r="AC230" i="16" s="1"/>
  <c r="AO230" i="16"/>
  <c r="BH230" i="16" s="1"/>
  <c r="AB230" i="16" s="1"/>
  <c r="AL230" i="16"/>
  <c r="AJ230" i="16"/>
  <c r="AH230" i="16"/>
  <c r="AG230" i="16"/>
  <c r="AF230" i="16"/>
  <c r="AE230" i="16"/>
  <c r="AD230" i="16"/>
  <c r="Z230" i="16"/>
  <c r="L230" i="16"/>
  <c r="I230" i="16"/>
  <c r="AK230" i="16" s="1"/>
  <c r="BJ228" i="16"/>
  <c r="BF228" i="16"/>
  <c r="BD228" i="16"/>
  <c r="AW228" i="16"/>
  <c r="AP228" i="16"/>
  <c r="BI228" i="16" s="1"/>
  <c r="AC228" i="16" s="1"/>
  <c r="AO228" i="16"/>
  <c r="BH228" i="16" s="1"/>
  <c r="AB228" i="16" s="1"/>
  <c r="AL228" i="16"/>
  <c r="AJ228" i="16"/>
  <c r="AH228" i="16"/>
  <c r="AG228" i="16"/>
  <c r="AF228" i="16"/>
  <c r="AE228" i="16"/>
  <c r="AD228" i="16"/>
  <c r="Z228" i="16"/>
  <c r="L228" i="16"/>
  <c r="I228" i="16"/>
  <c r="AK228" i="16" s="1"/>
  <c r="BJ226" i="16"/>
  <c r="BF226" i="16"/>
  <c r="BD226" i="16"/>
  <c r="AW226" i="16"/>
  <c r="BC226" i="16" s="1"/>
  <c r="AP226" i="16"/>
  <c r="AX226" i="16" s="1"/>
  <c r="AO226" i="16"/>
  <c r="BH226" i="16" s="1"/>
  <c r="AB226" i="16" s="1"/>
  <c r="AL226" i="16"/>
  <c r="AJ226" i="16"/>
  <c r="AH226" i="16"/>
  <c r="AG226" i="16"/>
  <c r="AF226" i="16"/>
  <c r="AE226" i="16"/>
  <c r="AD226" i="16"/>
  <c r="Z226" i="16"/>
  <c r="L226" i="16"/>
  <c r="I226" i="16"/>
  <c r="AK226" i="16" s="1"/>
  <c r="BJ224" i="16"/>
  <c r="BF224" i="16"/>
  <c r="BD224" i="16"/>
  <c r="AW224" i="16"/>
  <c r="BC224" i="16" s="1"/>
  <c r="AP224" i="16"/>
  <c r="AX224" i="16" s="1"/>
  <c r="AO224" i="16"/>
  <c r="BH224" i="16" s="1"/>
  <c r="AB224" i="16" s="1"/>
  <c r="AL224" i="16"/>
  <c r="AJ224" i="16"/>
  <c r="AH224" i="16"/>
  <c r="AG224" i="16"/>
  <c r="AF224" i="16"/>
  <c r="AE224" i="16"/>
  <c r="AD224" i="16"/>
  <c r="Z224" i="16"/>
  <c r="L224" i="16"/>
  <c r="I224" i="16"/>
  <c r="AK224" i="16" s="1"/>
  <c r="BJ222" i="16"/>
  <c r="BF222" i="16"/>
  <c r="BD222" i="16"/>
  <c r="AW222" i="16"/>
  <c r="BC222" i="16" s="1"/>
  <c r="AP222" i="16"/>
  <c r="AX222" i="16" s="1"/>
  <c r="AO222" i="16"/>
  <c r="BH222" i="16" s="1"/>
  <c r="AB222" i="16" s="1"/>
  <c r="AL222" i="16"/>
  <c r="AJ222" i="16"/>
  <c r="AH222" i="16"/>
  <c r="AG222" i="16"/>
  <c r="AF222" i="16"/>
  <c r="AE222" i="16"/>
  <c r="AD222" i="16"/>
  <c r="Z222" i="16"/>
  <c r="L222" i="16"/>
  <c r="I222" i="16"/>
  <c r="AK222" i="16" s="1"/>
  <c r="BJ220" i="16"/>
  <c r="BF220" i="16"/>
  <c r="BD220" i="16"/>
  <c r="AW220" i="16"/>
  <c r="BC220" i="16" s="1"/>
  <c r="AP220" i="16"/>
  <c r="AX220" i="16" s="1"/>
  <c r="AO220" i="16"/>
  <c r="BH220" i="16" s="1"/>
  <c r="AB220" i="16" s="1"/>
  <c r="AL220" i="16"/>
  <c r="AJ220" i="16"/>
  <c r="AH220" i="16"/>
  <c r="AG220" i="16"/>
  <c r="AF220" i="16"/>
  <c r="AE220" i="16"/>
  <c r="AD220" i="16"/>
  <c r="Z220" i="16"/>
  <c r="L220" i="16"/>
  <c r="I220" i="16"/>
  <c r="AK220" i="16" s="1"/>
  <c r="BJ218" i="16"/>
  <c r="BF218" i="16"/>
  <c r="BD218" i="16"/>
  <c r="AW218" i="16"/>
  <c r="BC218" i="16" s="1"/>
  <c r="AP218" i="16"/>
  <c r="AX218" i="16" s="1"/>
  <c r="AO218" i="16"/>
  <c r="BH218" i="16" s="1"/>
  <c r="AB218" i="16" s="1"/>
  <c r="AL218" i="16"/>
  <c r="AU217" i="16" s="1"/>
  <c r="AJ218" i="16"/>
  <c r="AS217" i="16" s="1"/>
  <c r="AH218" i="16"/>
  <c r="AG218" i="16"/>
  <c r="AF218" i="16"/>
  <c r="AE218" i="16"/>
  <c r="AD218" i="16"/>
  <c r="Z218" i="16"/>
  <c r="L218" i="16"/>
  <c r="I218" i="16"/>
  <c r="AK218" i="16" s="1"/>
  <c r="AT217" i="16" s="1"/>
  <c r="L217" i="16"/>
  <c r="BJ215" i="16"/>
  <c r="BD215" i="16"/>
  <c r="AX215" i="16"/>
  <c r="AP215" i="16"/>
  <c r="BI215" i="16" s="1"/>
  <c r="AC215" i="16" s="1"/>
  <c r="AO215" i="16"/>
  <c r="BH215" i="16" s="1"/>
  <c r="AB215" i="16" s="1"/>
  <c r="AL215" i="16"/>
  <c r="AK215" i="16"/>
  <c r="AT214" i="16" s="1"/>
  <c r="AJ215" i="16"/>
  <c r="AH215" i="16"/>
  <c r="AG215" i="16"/>
  <c r="AF215" i="16"/>
  <c r="AE215" i="16"/>
  <c r="AD215" i="16"/>
  <c r="Z215" i="16"/>
  <c r="L215" i="16"/>
  <c r="BF215" i="16" s="1"/>
  <c r="I215" i="16"/>
  <c r="AU214" i="16"/>
  <c r="AS214" i="16"/>
  <c r="I214" i="16"/>
  <c r="BJ212" i="16"/>
  <c r="BF212" i="16"/>
  <c r="BD212" i="16"/>
  <c r="AW212" i="16"/>
  <c r="AV212" i="16" s="1"/>
  <c r="AP212" i="16"/>
  <c r="AX212" i="16" s="1"/>
  <c r="BC212" i="16" s="1"/>
  <c r="AO212" i="16"/>
  <c r="BH212" i="16" s="1"/>
  <c r="AB212" i="16" s="1"/>
  <c r="AL212" i="16"/>
  <c r="AJ212" i="16"/>
  <c r="AH212" i="16"/>
  <c r="AG212" i="16"/>
  <c r="AF212" i="16"/>
  <c r="AE212" i="16"/>
  <c r="AD212" i="16"/>
  <c r="Z212" i="16"/>
  <c r="L212" i="16"/>
  <c r="I212" i="16"/>
  <c r="AK212" i="16" s="1"/>
  <c r="BJ210" i="16"/>
  <c r="BF210" i="16"/>
  <c r="BD210" i="16"/>
  <c r="AW210" i="16"/>
  <c r="AV210" i="16" s="1"/>
  <c r="AP210" i="16"/>
  <c r="AX210" i="16" s="1"/>
  <c r="BC210" i="16" s="1"/>
  <c r="AO210" i="16"/>
  <c r="BH210" i="16" s="1"/>
  <c r="AB210" i="16" s="1"/>
  <c r="AL210" i="16"/>
  <c r="AU209" i="16" s="1"/>
  <c r="AJ210" i="16"/>
  <c r="AS209" i="16" s="1"/>
  <c r="AH210" i="16"/>
  <c r="AG210" i="16"/>
  <c r="AF210" i="16"/>
  <c r="AE210" i="16"/>
  <c r="AD210" i="16"/>
  <c r="Z210" i="16"/>
  <c r="L210" i="16"/>
  <c r="I210" i="16"/>
  <c r="AK210" i="16" s="1"/>
  <c r="AT209" i="16" s="1"/>
  <c r="L209" i="16"/>
  <c r="BJ207" i="16"/>
  <c r="BD207" i="16"/>
  <c r="AX207" i="16"/>
  <c r="AP207" i="16"/>
  <c r="BI207" i="16" s="1"/>
  <c r="AC207" i="16" s="1"/>
  <c r="AO207" i="16"/>
  <c r="AW207" i="16" s="1"/>
  <c r="AL207" i="16"/>
  <c r="AK207" i="16"/>
  <c r="AJ207" i="16"/>
  <c r="AH207" i="16"/>
  <c r="AG207" i="16"/>
  <c r="AF207" i="16"/>
  <c r="AE207" i="16"/>
  <c r="AD207" i="16"/>
  <c r="Z207" i="16"/>
  <c r="L207" i="16"/>
  <c r="BF207" i="16" s="1"/>
  <c r="I207" i="16"/>
  <c r="BJ205" i="16"/>
  <c r="BD205" i="16"/>
  <c r="AX205" i="16"/>
  <c r="AP205" i="16"/>
  <c r="BI205" i="16" s="1"/>
  <c r="AC205" i="16" s="1"/>
  <c r="AO205" i="16"/>
  <c r="AW205" i="16" s="1"/>
  <c r="AL205" i="16"/>
  <c r="AK205" i="16"/>
  <c r="AJ205" i="16"/>
  <c r="AH205" i="16"/>
  <c r="AG205" i="16"/>
  <c r="AF205" i="16"/>
  <c r="AE205" i="16"/>
  <c r="AD205" i="16"/>
  <c r="Z205" i="16"/>
  <c r="L205" i="16"/>
  <c r="BF205" i="16" s="1"/>
  <c r="I205" i="16"/>
  <c r="BJ203" i="16"/>
  <c r="BD203" i="16"/>
  <c r="AX203" i="16"/>
  <c r="AP203" i="16"/>
  <c r="BI203" i="16" s="1"/>
  <c r="AC203" i="16" s="1"/>
  <c r="AO203" i="16"/>
  <c r="AW203" i="16" s="1"/>
  <c r="AL203" i="16"/>
  <c r="AK203" i="16"/>
  <c r="AT202" i="16" s="1"/>
  <c r="AJ203" i="16"/>
  <c r="AH203" i="16"/>
  <c r="AG203" i="16"/>
  <c r="AF203" i="16"/>
  <c r="AE203" i="16"/>
  <c r="AD203" i="16"/>
  <c r="Z203" i="16"/>
  <c r="L203" i="16"/>
  <c r="BF203" i="16" s="1"/>
  <c r="I203" i="16"/>
  <c r="AU202" i="16"/>
  <c r="AS202" i="16"/>
  <c r="I202" i="16"/>
  <c r="BJ200" i="16"/>
  <c r="BF200" i="16"/>
  <c r="BD200" i="16"/>
  <c r="AW200" i="16"/>
  <c r="AP200" i="16"/>
  <c r="BI200" i="16" s="1"/>
  <c r="AE200" i="16" s="1"/>
  <c r="AO200" i="16"/>
  <c r="BH200" i="16" s="1"/>
  <c r="AD200" i="16" s="1"/>
  <c r="AL200" i="16"/>
  <c r="AU199" i="16" s="1"/>
  <c r="AJ200" i="16"/>
  <c r="AS199" i="16" s="1"/>
  <c r="AH200" i="16"/>
  <c r="AG200" i="16"/>
  <c r="AF200" i="16"/>
  <c r="AC200" i="16"/>
  <c r="AB200" i="16"/>
  <c r="Z200" i="16"/>
  <c r="L200" i="16"/>
  <c r="I200" i="16"/>
  <c r="AK200" i="16" s="1"/>
  <c r="AT199" i="16" s="1"/>
  <c r="L199" i="16"/>
  <c r="BJ197" i="16"/>
  <c r="BD197" i="16"/>
  <c r="AX197" i="16"/>
  <c r="AP197" i="16"/>
  <c r="BI197" i="16" s="1"/>
  <c r="AE197" i="16" s="1"/>
  <c r="AO197" i="16"/>
  <c r="AW197" i="16" s="1"/>
  <c r="AL197" i="16"/>
  <c r="AK197" i="16"/>
  <c r="AJ197" i="16"/>
  <c r="AH197" i="16"/>
  <c r="AG197" i="16"/>
  <c r="AF197" i="16"/>
  <c r="AC197" i="16"/>
  <c r="AB197" i="16"/>
  <c r="Z197" i="16"/>
  <c r="L197" i="16"/>
  <c r="BF197" i="16" s="1"/>
  <c r="I197" i="16"/>
  <c r="BJ195" i="16"/>
  <c r="BD195" i="16"/>
  <c r="AX195" i="16"/>
  <c r="AP195" i="16"/>
  <c r="BI195" i="16" s="1"/>
  <c r="AE195" i="16" s="1"/>
  <c r="AO195" i="16"/>
  <c r="AW195" i="16" s="1"/>
  <c r="AL195" i="16"/>
  <c r="AK195" i="16"/>
  <c r="AJ195" i="16"/>
  <c r="AH195" i="16"/>
  <c r="AG195" i="16"/>
  <c r="AF195" i="16"/>
  <c r="AC195" i="16"/>
  <c r="AB195" i="16"/>
  <c r="Z195" i="16"/>
  <c r="L195" i="16"/>
  <c r="BF195" i="16" s="1"/>
  <c r="I195" i="16"/>
  <c r="BJ193" i="16"/>
  <c r="BD193" i="16"/>
  <c r="AX193" i="16"/>
  <c r="AP193" i="16"/>
  <c r="BI193" i="16" s="1"/>
  <c r="AE193" i="16" s="1"/>
  <c r="AO193" i="16"/>
  <c r="AW193" i="16" s="1"/>
  <c r="AL193" i="16"/>
  <c r="AK193" i="16"/>
  <c r="AT192" i="16" s="1"/>
  <c r="AJ193" i="16"/>
  <c r="AH193" i="16"/>
  <c r="AG193" i="16"/>
  <c r="AF193" i="16"/>
  <c r="AC193" i="16"/>
  <c r="AB193" i="16"/>
  <c r="Z193" i="16"/>
  <c r="L193" i="16"/>
  <c r="BF193" i="16" s="1"/>
  <c r="I193" i="16"/>
  <c r="AU192" i="16"/>
  <c r="AS192" i="16"/>
  <c r="I192" i="16"/>
  <c r="BJ190" i="16"/>
  <c r="BF190" i="16"/>
  <c r="BD190" i="16"/>
  <c r="AW190" i="16"/>
  <c r="AP190" i="16"/>
  <c r="BI190" i="16" s="1"/>
  <c r="AE190" i="16" s="1"/>
  <c r="AO190" i="16"/>
  <c r="BH190" i="16" s="1"/>
  <c r="AD190" i="16" s="1"/>
  <c r="AL190" i="16"/>
  <c r="AJ190" i="16"/>
  <c r="AH190" i="16"/>
  <c r="AG190" i="16"/>
  <c r="AF190" i="16"/>
  <c r="AC190" i="16"/>
  <c r="AB190" i="16"/>
  <c r="Z190" i="16"/>
  <c r="L190" i="16"/>
  <c r="I190" i="16"/>
  <c r="AK190" i="16" s="1"/>
  <c r="BJ188" i="16"/>
  <c r="BF188" i="16"/>
  <c r="BD188" i="16"/>
  <c r="AW188" i="16"/>
  <c r="AP188" i="16"/>
  <c r="BI188" i="16" s="1"/>
  <c r="AE188" i="16" s="1"/>
  <c r="AO188" i="16"/>
  <c r="BH188" i="16" s="1"/>
  <c r="AD188" i="16" s="1"/>
  <c r="AL188" i="16"/>
  <c r="AJ188" i="16"/>
  <c r="AH188" i="16"/>
  <c r="AG188" i="16"/>
  <c r="AF188" i="16"/>
  <c r="AC188" i="16"/>
  <c r="AB188" i="16"/>
  <c r="Z188" i="16"/>
  <c r="L188" i="16"/>
  <c r="I188" i="16"/>
  <c r="AK188" i="16" s="1"/>
  <c r="BJ186" i="16"/>
  <c r="BF186" i="16"/>
  <c r="BD186" i="16"/>
  <c r="AW186" i="16"/>
  <c r="AP186" i="16"/>
  <c r="BI186" i="16" s="1"/>
  <c r="AE186" i="16" s="1"/>
  <c r="AO186" i="16"/>
  <c r="BH186" i="16" s="1"/>
  <c r="AD186" i="16" s="1"/>
  <c r="AL186" i="16"/>
  <c r="AJ186" i="16"/>
  <c r="AH186" i="16"/>
  <c r="AG186" i="16"/>
  <c r="AF186" i="16"/>
  <c r="AC186" i="16"/>
  <c r="AB186" i="16"/>
  <c r="Z186" i="16"/>
  <c r="L186" i="16"/>
  <c r="I186" i="16"/>
  <c r="AK186" i="16" s="1"/>
  <c r="BJ184" i="16"/>
  <c r="BF184" i="16"/>
  <c r="BD184" i="16"/>
  <c r="AW184" i="16"/>
  <c r="AP184" i="16"/>
  <c r="BI184" i="16" s="1"/>
  <c r="AE184" i="16" s="1"/>
  <c r="AO184" i="16"/>
  <c r="BH184" i="16" s="1"/>
  <c r="AD184" i="16" s="1"/>
  <c r="AL184" i="16"/>
  <c r="AJ184" i="16"/>
  <c r="AH184" i="16"/>
  <c r="AG184" i="16"/>
  <c r="AF184" i="16"/>
  <c r="AC184" i="16"/>
  <c r="AB184" i="16"/>
  <c r="Z184" i="16"/>
  <c r="L184" i="16"/>
  <c r="I184" i="16"/>
  <c r="AK184" i="16" s="1"/>
  <c r="BJ182" i="16"/>
  <c r="BF182" i="16"/>
  <c r="BD182" i="16"/>
  <c r="AW182" i="16"/>
  <c r="AP182" i="16"/>
  <c r="BI182" i="16" s="1"/>
  <c r="AE182" i="16" s="1"/>
  <c r="AO182" i="16"/>
  <c r="BH182" i="16" s="1"/>
  <c r="AD182" i="16" s="1"/>
  <c r="AL182" i="16"/>
  <c r="AU181" i="16" s="1"/>
  <c r="AJ182" i="16"/>
  <c r="AS181" i="16" s="1"/>
  <c r="AH182" i="16"/>
  <c r="AG182" i="16"/>
  <c r="AF182" i="16"/>
  <c r="AC182" i="16"/>
  <c r="AB182" i="16"/>
  <c r="Z182" i="16"/>
  <c r="L182" i="16"/>
  <c r="I182" i="16"/>
  <c r="AK182" i="16" s="1"/>
  <c r="AT181" i="16" s="1"/>
  <c r="L181" i="16"/>
  <c r="BJ179" i="16"/>
  <c r="BD179" i="16"/>
  <c r="AX179" i="16"/>
  <c r="AP179" i="16"/>
  <c r="BI179" i="16" s="1"/>
  <c r="AE179" i="16" s="1"/>
  <c r="AO179" i="16"/>
  <c r="BH179" i="16" s="1"/>
  <c r="AD179" i="16" s="1"/>
  <c r="AL179" i="16"/>
  <c r="AK179" i="16"/>
  <c r="AT178" i="16" s="1"/>
  <c r="AJ179" i="16"/>
  <c r="AH179" i="16"/>
  <c r="AG179" i="16"/>
  <c r="AF179" i="16"/>
  <c r="AC179" i="16"/>
  <c r="AB179" i="16"/>
  <c r="Z179" i="16"/>
  <c r="L179" i="16"/>
  <c r="BF179" i="16" s="1"/>
  <c r="I179" i="16"/>
  <c r="AU178" i="16"/>
  <c r="AS178" i="16"/>
  <c r="I178" i="16"/>
  <c r="BJ177" i="16"/>
  <c r="BF177" i="16"/>
  <c r="BD177" i="16"/>
  <c r="AW177" i="16"/>
  <c r="BC177" i="16" s="1"/>
  <c r="AP177" i="16"/>
  <c r="AX177" i="16" s="1"/>
  <c r="AO177" i="16"/>
  <c r="BH177" i="16" s="1"/>
  <c r="AL177" i="16"/>
  <c r="AJ177" i="16"/>
  <c r="AH177" i="16"/>
  <c r="AG177" i="16"/>
  <c r="AF177" i="16"/>
  <c r="AE177" i="16"/>
  <c r="AD177" i="16"/>
  <c r="AC177" i="16"/>
  <c r="AB177" i="16"/>
  <c r="Z177" i="16"/>
  <c r="L177" i="16"/>
  <c r="I177" i="16"/>
  <c r="AK177" i="16" s="1"/>
  <c r="BJ175" i="16"/>
  <c r="BF175" i="16"/>
  <c r="BD175" i="16"/>
  <c r="AW175" i="16"/>
  <c r="BC175" i="16" s="1"/>
  <c r="AP175" i="16"/>
  <c r="AX175" i="16" s="1"/>
  <c r="AO175" i="16"/>
  <c r="BH175" i="16" s="1"/>
  <c r="AD175" i="16" s="1"/>
  <c r="AL175" i="16"/>
  <c r="AJ175" i="16"/>
  <c r="AH175" i="16"/>
  <c r="AG175" i="16"/>
  <c r="AF175" i="16"/>
  <c r="AC175" i="16"/>
  <c r="AB175" i="16"/>
  <c r="Z175" i="16"/>
  <c r="L175" i="16"/>
  <c r="I175" i="16"/>
  <c r="AK175" i="16" s="1"/>
  <c r="BJ173" i="16"/>
  <c r="BF173" i="16"/>
  <c r="BD173" i="16"/>
  <c r="AW173" i="16"/>
  <c r="BC173" i="16" s="1"/>
  <c r="AP173" i="16"/>
  <c r="AX173" i="16" s="1"/>
  <c r="AO173" i="16"/>
  <c r="BH173" i="16" s="1"/>
  <c r="AD173" i="16" s="1"/>
  <c r="AL173" i="16"/>
  <c r="AJ173" i="16"/>
  <c r="AH173" i="16"/>
  <c r="AG173" i="16"/>
  <c r="AF173" i="16"/>
  <c r="AC173" i="16"/>
  <c r="AB173" i="16"/>
  <c r="Z173" i="16"/>
  <c r="L173" i="16"/>
  <c r="I173" i="16"/>
  <c r="AK173" i="16" s="1"/>
  <c r="BJ171" i="16"/>
  <c r="BF171" i="16"/>
  <c r="BD171" i="16"/>
  <c r="AW171" i="16"/>
  <c r="BC171" i="16" s="1"/>
  <c r="AP171" i="16"/>
  <c r="AX171" i="16" s="1"/>
  <c r="AO171" i="16"/>
  <c r="BH171" i="16" s="1"/>
  <c r="AD171" i="16" s="1"/>
  <c r="AL171" i="16"/>
  <c r="AJ171" i="16"/>
  <c r="AH171" i="16"/>
  <c r="AG171" i="16"/>
  <c r="AF171" i="16"/>
  <c r="AC171" i="16"/>
  <c r="AB171" i="16"/>
  <c r="Z171" i="16"/>
  <c r="L171" i="16"/>
  <c r="I171" i="16"/>
  <c r="AK171" i="16" s="1"/>
  <c r="BJ165" i="16"/>
  <c r="BF165" i="16"/>
  <c r="BD165" i="16"/>
  <c r="AW165" i="16"/>
  <c r="AP165" i="16"/>
  <c r="AX165" i="16" s="1"/>
  <c r="AO165" i="16"/>
  <c r="BH165" i="16" s="1"/>
  <c r="AD165" i="16" s="1"/>
  <c r="AL165" i="16"/>
  <c r="AU164" i="16" s="1"/>
  <c r="AJ165" i="16"/>
  <c r="AS164" i="16" s="1"/>
  <c r="AH165" i="16"/>
  <c r="AG165" i="16"/>
  <c r="AF165" i="16"/>
  <c r="AC165" i="16"/>
  <c r="AB165" i="16"/>
  <c r="Z165" i="16"/>
  <c r="L165" i="16"/>
  <c r="I165" i="16"/>
  <c r="L164" i="16"/>
  <c r="BJ162" i="16"/>
  <c r="BH162" i="16"/>
  <c r="AD162" i="16" s="1"/>
  <c r="BD162" i="16"/>
  <c r="AX162" i="16"/>
  <c r="AP162" i="16"/>
  <c r="BI162" i="16" s="1"/>
  <c r="AE162" i="16" s="1"/>
  <c r="AO162" i="16"/>
  <c r="AW162" i="16" s="1"/>
  <c r="AL162" i="16"/>
  <c r="AK162" i="16"/>
  <c r="AJ162" i="16"/>
  <c r="AH162" i="16"/>
  <c r="AG162" i="16"/>
  <c r="AF162" i="16"/>
  <c r="AC162" i="16"/>
  <c r="AB162" i="16"/>
  <c r="Z162" i="16"/>
  <c r="L162" i="16"/>
  <c r="BF162" i="16" s="1"/>
  <c r="I162" i="16"/>
  <c r="BJ160" i="16"/>
  <c r="BH160" i="16"/>
  <c r="AD160" i="16" s="1"/>
  <c r="BD160" i="16"/>
  <c r="AX160" i="16"/>
  <c r="AP160" i="16"/>
  <c r="BI160" i="16" s="1"/>
  <c r="AE160" i="16" s="1"/>
  <c r="AO160" i="16"/>
  <c r="AW160" i="16" s="1"/>
  <c r="AL160" i="16"/>
  <c r="AK160" i="16"/>
  <c r="AJ160" i="16"/>
  <c r="AH160" i="16"/>
  <c r="AG160" i="16"/>
  <c r="AF160" i="16"/>
  <c r="AC160" i="16"/>
  <c r="AB160" i="16"/>
  <c r="Z160" i="16"/>
  <c r="L160" i="16"/>
  <c r="BF160" i="16" s="1"/>
  <c r="I160" i="16"/>
  <c r="BJ158" i="16"/>
  <c r="BD158" i="16"/>
  <c r="AX158" i="16"/>
  <c r="AP158" i="16"/>
  <c r="BI158" i="16" s="1"/>
  <c r="AE158" i="16" s="1"/>
  <c r="AO158" i="16"/>
  <c r="AW158" i="16" s="1"/>
  <c r="AL158" i="16"/>
  <c r="AK158" i="16"/>
  <c r="AJ158" i="16"/>
  <c r="AH158" i="16"/>
  <c r="AG158" i="16"/>
  <c r="AF158" i="16"/>
  <c r="AC158" i="16"/>
  <c r="AB158" i="16"/>
  <c r="Z158" i="16"/>
  <c r="L158" i="16"/>
  <c r="BF158" i="16" s="1"/>
  <c r="I158" i="16"/>
  <c r="BJ156" i="16"/>
  <c r="BD156" i="16"/>
  <c r="AX156" i="16"/>
  <c r="AP156" i="16"/>
  <c r="BI156" i="16" s="1"/>
  <c r="AE156" i="16" s="1"/>
  <c r="AO156" i="16"/>
  <c r="AW156" i="16" s="1"/>
  <c r="AL156" i="16"/>
  <c r="AK156" i="16"/>
  <c r="AJ156" i="16"/>
  <c r="AH156" i="16"/>
  <c r="AG156" i="16"/>
  <c r="AF156" i="16"/>
  <c r="AC156" i="16"/>
  <c r="AB156" i="16"/>
  <c r="Z156" i="16"/>
  <c r="L156" i="16"/>
  <c r="BF156" i="16" s="1"/>
  <c r="I156" i="16"/>
  <c r="AU155" i="16"/>
  <c r="AS155" i="16"/>
  <c r="I155" i="16"/>
  <c r="BJ153" i="16"/>
  <c r="BF153" i="16"/>
  <c r="BD153" i="16"/>
  <c r="AW153" i="16"/>
  <c r="AP153" i="16"/>
  <c r="AO153" i="16"/>
  <c r="BH153" i="16" s="1"/>
  <c r="AD153" i="16" s="1"/>
  <c r="AL153" i="16"/>
  <c r="AJ153" i="16"/>
  <c r="AH153" i="16"/>
  <c r="AG153" i="16"/>
  <c r="AF153" i="16"/>
  <c r="AC153" i="16"/>
  <c r="AB153" i="16"/>
  <c r="Z153" i="16"/>
  <c r="L153" i="16"/>
  <c r="I153" i="16"/>
  <c r="AK153" i="16" s="1"/>
  <c r="BJ151" i="16"/>
  <c r="BF151" i="16"/>
  <c r="BD151" i="16"/>
  <c r="AW151" i="16"/>
  <c r="AP151" i="16"/>
  <c r="AX151" i="16" s="1"/>
  <c r="BC151" i="16" s="1"/>
  <c r="AO151" i="16"/>
  <c r="BH151" i="16" s="1"/>
  <c r="AD151" i="16" s="1"/>
  <c r="AL151" i="16"/>
  <c r="AJ151" i="16"/>
  <c r="AH151" i="16"/>
  <c r="AG151" i="16"/>
  <c r="AF151" i="16"/>
  <c r="AC151" i="16"/>
  <c r="AB151" i="16"/>
  <c r="Z151" i="16"/>
  <c r="L151" i="16"/>
  <c r="I151" i="16"/>
  <c r="AK151" i="16" s="1"/>
  <c r="BJ149" i="16"/>
  <c r="BI149" i="16"/>
  <c r="AE149" i="16" s="1"/>
  <c r="BF149" i="16"/>
  <c r="BD149" i="16"/>
  <c r="AW149" i="16"/>
  <c r="AV149" i="16" s="1"/>
  <c r="AP149" i="16"/>
  <c r="AX149" i="16" s="1"/>
  <c r="AO149" i="16"/>
  <c r="BH149" i="16" s="1"/>
  <c r="AD149" i="16" s="1"/>
  <c r="AL149" i="16"/>
  <c r="AU148" i="16" s="1"/>
  <c r="AJ149" i="16"/>
  <c r="AH149" i="16"/>
  <c r="AG149" i="16"/>
  <c r="AF149" i="16"/>
  <c r="AC149" i="16"/>
  <c r="AB149" i="16"/>
  <c r="Z149" i="16"/>
  <c r="L149" i="16"/>
  <c r="I149" i="16"/>
  <c r="L148" i="16"/>
  <c r="BJ146" i="16"/>
  <c r="BD146" i="16"/>
  <c r="AX146" i="16"/>
  <c r="AP146" i="16"/>
  <c r="BI146" i="16" s="1"/>
  <c r="AC146" i="16" s="1"/>
  <c r="AO146" i="16"/>
  <c r="AW146" i="16" s="1"/>
  <c r="BC146" i="16" s="1"/>
  <c r="AL146" i="16"/>
  <c r="AK146" i="16"/>
  <c r="AT145" i="16" s="1"/>
  <c r="AJ146" i="16"/>
  <c r="AH146" i="16"/>
  <c r="AG146" i="16"/>
  <c r="AF146" i="16"/>
  <c r="AE146" i="16"/>
  <c r="AD146" i="16"/>
  <c r="Z146" i="16"/>
  <c r="L146" i="16"/>
  <c r="I146" i="16"/>
  <c r="AU145" i="16"/>
  <c r="AS145" i="16"/>
  <c r="I145" i="16"/>
  <c r="BJ143" i="16"/>
  <c r="BF143" i="16"/>
  <c r="BD143" i="16"/>
  <c r="BC143" i="16"/>
  <c r="AW143" i="16"/>
  <c r="AP143" i="16"/>
  <c r="AX143" i="16" s="1"/>
  <c r="AO143" i="16"/>
  <c r="BH143" i="16" s="1"/>
  <c r="AB143" i="16" s="1"/>
  <c r="AL143" i="16"/>
  <c r="AJ143" i="16"/>
  <c r="AH143" i="16"/>
  <c r="AG143" i="16"/>
  <c r="AF143" i="16"/>
  <c r="AE143" i="16"/>
  <c r="AD143" i="16"/>
  <c r="Z143" i="16"/>
  <c r="L143" i="16"/>
  <c r="I143" i="16"/>
  <c r="AK143" i="16" s="1"/>
  <c r="BJ141" i="16"/>
  <c r="BI141" i="16"/>
  <c r="AC141" i="16" s="1"/>
  <c r="BF141" i="16"/>
  <c r="BD141" i="16"/>
  <c r="AW141" i="16"/>
  <c r="AV141" i="16" s="1"/>
  <c r="AP141" i="16"/>
  <c r="AX141" i="16" s="1"/>
  <c r="AO141" i="16"/>
  <c r="BH141" i="16" s="1"/>
  <c r="AB141" i="16" s="1"/>
  <c r="AL141" i="16"/>
  <c r="AJ141" i="16"/>
  <c r="AH141" i="16"/>
  <c r="AG141" i="16"/>
  <c r="AF141" i="16"/>
  <c r="AE141" i="16"/>
  <c r="AD141" i="16"/>
  <c r="Z141" i="16"/>
  <c r="L141" i="16"/>
  <c r="I141" i="16"/>
  <c r="AK141" i="16" s="1"/>
  <c r="BJ139" i="16"/>
  <c r="BF139" i="16"/>
  <c r="BD139" i="16"/>
  <c r="AW139" i="16"/>
  <c r="AP139" i="16"/>
  <c r="AX139" i="16" s="1"/>
  <c r="BC139" i="16" s="1"/>
  <c r="AO139" i="16"/>
  <c r="BH139" i="16" s="1"/>
  <c r="AB139" i="16" s="1"/>
  <c r="AL139" i="16"/>
  <c r="AJ139" i="16"/>
  <c r="AH139" i="16"/>
  <c r="AG139" i="16"/>
  <c r="AF139" i="16"/>
  <c r="AE139" i="16"/>
  <c r="AD139" i="16"/>
  <c r="Z139" i="16"/>
  <c r="L139" i="16"/>
  <c r="I139" i="16"/>
  <c r="AK139" i="16" s="1"/>
  <c r="BJ137" i="16"/>
  <c r="BF137" i="16"/>
  <c r="BD137" i="16"/>
  <c r="AW137" i="16"/>
  <c r="AV137" i="16" s="1"/>
  <c r="AP137" i="16"/>
  <c r="AX137" i="16" s="1"/>
  <c r="AO137" i="16"/>
  <c r="BH137" i="16" s="1"/>
  <c r="AB137" i="16" s="1"/>
  <c r="AL137" i="16"/>
  <c r="AJ137" i="16"/>
  <c r="AH137" i="16"/>
  <c r="AG137" i="16"/>
  <c r="AF137" i="16"/>
  <c r="AE137" i="16"/>
  <c r="AD137" i="16"/>
  <c r="Z137" i="16"/>
  <c r="L137" i="16"/>
  <c r="I137" i="16"/>
  <c r="L136" i="16"/>
  <c r="BJ134" i="16"/>
  <c r="BD134" i="16"/>
  <c r="AX134" i="16"/>
  <c r="AP134" i="16"/>
  <c r="BI134" i="16" s="1"/>
  <c r="AC134" i="16" s="1"/>
  <c r="AO134" i="16"/>
  <c r="AW134" i="16" s="1"/>
  <c r="BC134" i="16" s="1"/>
  <c r="AL134" i="16"/>
  <c r="AK134" i="16"/>
  <c r="AJ134" i="16"/>
  <c r="AH134" i="16"/>
  <c r="AG134" i="16"/>
  <c r="AF134" i="16"/>
  <c r="AE134" i="16"/>
  <c r="AD134" i="16"/>
  <c r="Z134" i="16"/>
  <c r="L134" i="16"/>
  <c r="BF134" i="16" s="1"/>
  <c r="I134" i="16"/>
  <c r="BJ132" i="16"/>
  <c r="BD132" i="16"/>
  <c r="AX132" i="16"/>
  <c r="AP132" i="16"/>
  <c r="BI132" i="16" s="1"/>
  <c r="AC132" i="16" s="1"/>
  <c r="AO132" i="16"/>
  <c r="AW132" i="16" s="1"/>
  <c r="AL132" i="16"/>
  <c r="AK132" i="16"/>
  <c r="AJ132" i="16"/>
  <c r="AH132" i="16"/>
  <c r="AG132" i="16"/>
  <c r="AF132" i="16"/>
  <c r="AE132" i="16"/>
  <c r="AD132" i="16"/>
  <c r="Z132" i="16"/>
  <c r="L132" i="16"/>
  <c r="BF132" i="16" s="1"/>
  <c r="I132" i="16"/>
  <c r="BJ130" i="16"/>
  <c r="BD130" i="16"/>
  <c r="AX130" i="16"/>
  <c r="AV130" i="16"/>
  <c r="AP130" i="16"/>
  <c r="BI130" i="16" s="1"/>
  <c r="AC130" i="16" s="1"/>
  <c r="AO130" i="16"/>
  <c r="AW130" i="16" s="1"/>
  <c r="AL130" i="16"/>
  <c r="AK130" i="16"/>
  <c r="AT129" i="16" s="1"/>
  <c r="AJ130" i="16"/>
  <c r="AH130" i="16"/>
  <c r="AG130" i="16"/>
  <c r="AF130" i="16"/>
  <c r="AE130" i="16"/>
  <c r="AD130" i="16"/>
  <c r="Z130" i="16"/>
  <c r="L130" i="16"/>
  <c r="I130" i="16"/>
  <c r="AU129" i="16"/>
  <c r="AS129" i="16"/>
  <c r="I129" i="16"/>
  <c r="BJ127" i="16"/>
  <c r="BF127" i="16"/>
  <c r="BD127" i="16"/>
  <c r="AW127" i="16"/>
  <c r="AP127" i="16"/>
  <c r="AX127" i="16" s="1"/>
  <c r="BC127" i="16" s="1"/>
  <c r="AO127" i="16"/>
  <c r="BH127" i="16" s="1"/>
  <c r="AB127" i="16" s="1"/>
  <c r="AL127" i="16"/>
  <c r="AJ127" i="16"/>
  <c r="AH127" i="16"/>
  <c r="AG127" i="16"/>
  <c r="AF127" i="16"/>
  <c r="AE127" i="16"/>
  <c r="AD127" i="16"/>
  <c r="Z127" i="16"/>
  <c r="L127" i="16"/>
  <c r="I127" i="16"/>
  <c r="AK127" i="16" s="1"/>
  <c r="BJ125" i="16"/>
  <c r="BI125" i="16"/>
  <c r="BF125" i="16"/>
  <c r="BD125" i="16"/>
  <c r="AW125" i="16"/>
  <c r="AV125" i="16" s="1"/>
  <c r="AP125" i="16"/>
  <c r="AX125" i="16" s="1"/>
  <c r="AO125" i="16"/>
  <c r="BH125" i="16" s="1"/>
  <c r="AB125" i="16" s="1"/>
  <c r="AL125" i="16"/>
  <c r="AJ125" i="16"/>
  <c r="AH125" i="16"/>
  <c r="AG125" i="16"/>
  <c r="AF125" i="16"/>
  <c r="AE125" i="16"/>
  <c r="AD125" i="16"/>
  <c r="AC125" i="16"/>
  <c r="Z125" i="16"/>
  <c r="L125" i="16"/>
  <c r="I125" i="16"/>
  <c r="AK125" i="16" s="1"/>
  <c r="BJ123" i="16"/>
  <c r="BF123" i="16"/>
  <c r="BD123" i="16"/>
  <c r="BC123" i="16"/>
  <c r="AW123" i="16"/>
  <c r="AP123" i="16"/>
  <c r="AX123" i="16" s="1"/>
  <c r="AO123" i="16"/>
  <c r="BH123" i="16" s="1"/>
  <c r="AB123" i="16" s="1"/>
  <c r="AL123" i="16"/>
  <c r="AU122" i="16" s="1"/>
  <c r="AJ123" i="16"/>
  <c r="AH123" i="16"/>
  <c r="AG123" i="16"/>
  <c r="AF123" i="16"/>
  <c r="AE123" i="16"/>
  <c r="AD123" i="16"/>
  <c r="Z123" i="16"/>
  <c r="L123" i="16"/>
  <c r="I123" i="16"/>
  <c r="L122" i="16"/>
  <c r="BJ120" i="16"/>
  <c r="BH120" i="16"/>
  <c r="BD120" i="16"/>
  <c r="AX120" i="16"/>
  <c r="AV120" i="16" s="1"/>
  <c r="AP120" i="16"/>
  <c r="BI120" i="16" s="1"/>
  <c r="AC120" i="16" s="1"/>
  <c r="AO120" i="16"/>
  <c r="AW120" i="16" s="1"/>
  <c r="AL120" i="16"/>
  <c r="AK120" i="16"/>
  <c r="AJ120" i="16"/>
  <c r="AH120" i="16"/>
  <c r="AG120" i="16"/>
  <c r="AF120" i="16"/>
  <c r="AE120" i="16"/>
  <c r="AD120" i="16"/>
  <c r="AB120" i="16"/>
  <c r="Z120" i="16"/>
  <c r="L120" i="16"/>
  <c r="BF120" i="16" s="1"/>
  <c r="I120" i="16"/>
  <c r="BJ118" i="16"/>
  <c r="BD118" i="16"/>
  <c r="AX118" i="16"/>
  <c r="AV118" i="16"/>
  <c r="AP118" i="16"/>
  <c r="BI118" i="16" s="1"/>
  <c r="AC118" i="16" s="1"/>
  <c r="AO118" i="16"/>
  <c r="AW118" i="16" s="1"/>
  <c r="BC118" i="16" s="1"/>
  <c r="AL118" i="16"/>
  <c r="AK118" i="16"/>
  <c r="AT117" i="16" s="1"/>
  <c r="AJ118" i="16"/>
  <c r="AH118" i="16"/>
  <c r="AG118" i="16"/>
  <c r="AF118" i="16"/>
  <c r="AE118" i="16"/>
  <c r="AD118" i="16"/>
  <c r="Z118" i="16"/>
  <c r="L118" i="16"/>
  <c r="I118" i="16"/>
  <c r="AU117" i="16"/>
  <c r="AS117" i="16"/>
  <c r="I117" i="16"/>
  <c r="BJ114" i="16"/>
  <c r="BI114" i="16"/>
  <c r="BF114" i="16"/>
  <c r="BD114" i="16"/>
  <c r="AW114" i="16"/>
  <c r="AV114" i="16" s="1"/>
  <c r="AP114" i="16"/>
  <c r="AX114" i="16" s="1"/>
  <c r="AO114" i="16"/>
  <c r="BH114" i="16" s="1"/>
  <c r="AL114" i="16"/>
  <c r="AJ114" i="16"/>
  <c r="AH114" i="16"/>
  <c r="AG114" i="16"/>
  <c r="AF114" i="16"/>
  <c r="AE114" i="16"/>
  <c r="AD114" i="16"/>
  <c r="AC114" i="16"/>
  <c r="AB114" i="16"/>
  <c r="Z114" i="16"/>
  <c r="L114" i="16"/>
  <c r="I114" i="16"/>
  <c r="AK114" i="16" s="1"/>
  <c r="BJ112" i="16"/>
  <c r="BI112" i="16"/>
  <c r="BF112" i="16"/>
  <c r="BD112" i="16"/>
  <c r="AW112" i="16"/>
  <c r="AV112" i="16" s="1"/>
  <c r="AP112" i="16"/>
  <c r="AX112" i="16" s="1"/>
  <c r="AO112" i="16"/>
  <c r="BH112" i="16" s="1"/>
  <c r="AL112" i="16"/>
  <c r="AJ112" i="16"/>
  <c r="AH112" i="16"/>
  <c r="AG112" i="16"/>
  <c r="AF112" i="16"/>
  <c r="AE112" i="16"/>
  <c r="AD112" i="16"/>
  <c r="AC112" i="16"/>
  <c r="AB112" i="16"/>
  <c r="Z112" i="16"/>
  <c r="L112" i="16"/>
  <c r="I112" i="16"/>
  <c r="AK112" i="16" s="1"/>
  <c r="BJ110" i="16"/>
  <c r="BI110" i="16"/>
  <c r="BF110" i="16"/>
  <c r="BD110" i="16"/>
  <c r="AW110" i="16"/>
  <c r="AV110" i="16" s="1"/>
  <c r="AP110" i="16"/>
  <c r="AX110" i="16" s="1"/>
  <c r="AO110" i="16"/>
  <c r="BH110" i="16" s="1"/>
  <c r="AL110" i="16"/>
  <c r="AJ110" i="16"/>
  <c r="AH110" i="16"/>
  <c r="AG110" i="16"/>
  <c r="AF110" i="16"/>
  <c r="AE110" i="16"/>
  <c r="AD110" i="16"/>
  <c r="AC110" i="16"/>
  <c r="AB110" i="16"/>
  <c r="Z110" i="16"/>
  <c r="L110" i="16"/>
  <c r="I110" i="16"/>
  <c r="AK110" i="16" s="1"/>
  <c r="BJ108" i="16"/>
  <c r="BI108" i="16"/>
  <c r="BF108" i="16"/>
  <c r="BD108" i="16"/>
  <c r="AW108" i="16"/>
  <c r="BC108" i="16" s="1"/>
  <c r="AP108" i="16"/>
  <c r="AX108" i="16" s="1"/>
  <c r="AO108" i="16"/>
  <c r="BH108" i="16" s="1"/>
  <c r="AL108" i="16"/>
  <c r="AU105" i="16" s="1"/>
  <c r="AJ108" i="16"/>
  <c r="AH108" i="16"/>
  <c r="AG108" i="16"/>
  <c r="AF108" i="16"/>
  <c r="AE108" i="16"/>
  <c r="AD108" i="16"/>
  <c r="AC108" i="16"/>
  <c r="AB108" i="16"/>
  <c r="Z108" i="16"/>
  <c r="L108" i="16"/>
  <c r="I108" i="16"/>
  <c r="AK108" i="16" s="1"/>
  <c r="BJ106" i="16"/>
  <c r="Z106" i="16" s="1"/>
  <c r="BF106" i="16"/>
  <c r="BD106" i="16"/>
  <c r="BC106" i="16"/>
  <c r="AW106" i="16"/>
  <c r="AV106" i="16"/>
  <c r="AP106" i="16"/>
  <c r="AX106" i="16" s="1"/>
  <c r="AO106" i="16"/>
  <c r="BH106" i="16" s="1"/>
  <c r="AL106" i="16"/>
  <c r="AJ106" i="16"/>
  <c r="AH106" i="16"/>
  <c r="AG106" i="16"/>
  <c r="AF106" i="16"/>
  <c r="AE106" i="16"/>
  <c r="AD106" i="16"/>
  <c r="AC106" i="16"/>
  <c r="AB106" i="16"/>
  <c r="L106" i="16"/>
  <c r="I106" i="16"/>
  <c r="L105" i="16"/>
  <c r="BJ104" i="16"/>
  <c r="Z104" i="16" s="1"/>
  <c r="BD104" i="16"/>
  <c r="AX104" i="16"/>
  <c r="AP104" i="16"/>
  <c r="BI104" i="16" s="1"/>
  <c r="AO104" i="16"/>
  <c r="AW104" i="16" s="1"/>
  <c r="AL104" i="16"/>
  <c r="AU103" i="16" s="1"/>
  <c r="AK104" i="16"/>
  <c r="AT103" i="16" s="1"/>
  <c r="AJ104" i="16"/>
  <c r="AH104" i="16"/>
  <c r="AG104" i="16"/>
  <c r="AF104" i="16"/>
  <c r="AE104" i="16"/>
  <c r="AD104" i="16"/>
  <c r="AC104" i="16"/>
  <c r="AB104" i="16"/>
  <c r="L104" i="16"/>
  <c r="BF104" i="16" s="1"/>
  <c r="I104" i="16"/>
  <c r="AS103" i="16"/>
  <c r="L103" i="16"/>
  <c r="I103" i="16"/>
  <c r="BJ101" i="16"/>
  <c r="BD101" i="16"/>
  <c r="AP101" i="16"/>
  <c r="AX101" i="16" s="1"/>
  <c r="AO101" i="16"/>
  <c r="BH101" i="16" s="1"/>
  <c r="AB101" i="16" s="1"/>
  <c r="AL101" i="16"/>
  <c r="AU100" i="16" s="1"/>
  <c r="AJ101" i="16"/>
  <c r="AS100" i="16" s="1"/>
  <c r="AH101" i="16"/>
  <c r="AG101" i="16"/>
  <c r="AF101" i="16"/>
  <c r="AE101" i="16"/>
  <c r="AD101" i="16"/>
  <c r="Z101" i="16"/>
  <c r="L101" i="16"/>
  <c r="BF101" i="16" s="1"/>
  <c r="I101" i="16"/>
  <c r="L100" i="16"/>
  <c r="BJ98" i="16"/>
  <c r="BI98" i="16"/>
  <c r="AC98" i="16" s="1"/>
  <c r="BD98" i="16"/>
  <c r="AX98" i="16"/>
  <c r="AP98" i="16"/>
  <c r="AO98" i="16"/>
  <c r="AW98" i="16" s="1"/>
  <c r="AV98" i="16" s="1"/>
  <c r="AL98" i="16"/>
  <c r="AK98" i="16"/>
  <c r="AJ98" i="16"/>
  <c r="AH98" i="16"/>
  <c r="AG98" i="16"/>
  <c r="AF98" i="16"/>
  <c r="AE98" i="16"/>
  <c r="AD98" i="16"/>
  <c r="Z98" i="16"/>
  <c r="L98" i="16"/>
  <c r="BF98" i="16" s="1"/>
  <c r="I98" i="16"/>
  <c r="BJ96" i="16"/>
  <c r="BD96" i="16"/>
  <c r="BC96" i="16"/>
  <c r="AX96" i="16"/>
  <c r="AP96" i="16"/>
  <c r="BI96" i="16" s="1"/>
  <c r="AC96" i="16" s="1"/>
  <c r="AO96" i="16"/>
  <c r="AW96" i="16" s="1"/>
  <c r="AV96" i="16" s="1"/>
  <c r="AL96" i="16"/>
  <c r="AJ96" i="16"/>
  <c r="AH96" i="16"/>
  <c r="AG96" i="16"/>
  <c r="AF96" i="16"/>
  <c r="AE96" i="16"/>
  <c r="AD96" i="16"/>
  <c r="Z96" i="16"/>
  <c r="L96" i="16"/>
  <c r="BF96" i="16" s="1"/>
  <c r="I96" i="16"/>
  <c r="AK96" i="16" s="1"/>
  <c r="BJ94" i="16"/>
  <c r="BF94" i="16"/>
  <c r="BD94" i="16"/>
  <c r="AX94" i="16"/>
  <c r="AW94" i="16"/>
  <c r="BC94" i="16" s="1"/>
  <c r="AP94" i="16"/>
  <c r="BI94" i="16" s="1"/>
  <c r="AC94" i="16" s="1"/>
  <c r="AO94" i="16"/>
  <c r="BH94" i="16" s="1"/>
  <c r="AB94" i="16" s="1"/>
  <c r="AL94" i="16"/>
  <c r="AJ94" i="16"/>
  <c r="AH94" i="16"/>
  <c r="AG94" i="16"/>
  <c r="AF94" i="16"/>
  <c r="AE94" i="16"/>
  <c r="AD94" i="16"/>
  <c r="Z94" i="16"/>
  <c r="L94" i="16"/>
  <c r="I94" i="16"/>
  <c r="AK94" i="16" s="1"/>
  <c r="BJ92" i="16"/>
  <c r="BF92" i="16"/>
  <c r="BD92" i="16"/>
  <c r="AX92" i="16"/>
  <c r="AW92" i="16"/>
  <c r="BC92" i="16" s="1"/>
  <c r="AP92" i="16"/>
  <c r="BI92" i="16" s="1"/>
  <c r="AC92" i="16" s="1"/>
  <c r="AO92" i="16"/>
  <c r="BH92" i="16" s="1"/>
  <c r="AB92" i="16" s="1"/>
  <c r="AL92" i="16"/>
  <c r="AJ92" i="16"/>
  <c r="AH92" i="16"/>
  <c r="AG92" i="16"/>
  <c r="AF92" i="16"/>
  <c r="AE92" i="16"/>
  <c r="AD92" i="16"/>
  <c r="Z92" i="16"/>
  <c r="L92" i="16"/>
  <c r="I92" i="16"/>
  <c r="AK92" i="16" s="1"/>
  <c r="BJ90" i="16"/>
  <c r="BF90" i="16"/>
  <c r="BD90" i="16"/>
  <c r="AX90" i="16"/>
  <c r="AW90" i="16"/>
  <c r="BC90" i="16" s="1"/>
  <c r="AP90" i="16"/>
  <c r="BI90" i="16" s="1"/>
  <c r="AC90" i="16" s="1"/>
  <c r="AO90" i="16"/>
  <c r="BH90" i="16" s="1"/>
  <c r="AB90" i="16" s="1"/>
  <c r="AL90" i="16"/>
  <c r="AU89" i="16" s="1"/>
  <c r="AJ90" i="16"/>
  <c r="AS89" i="16" s="1"/>
  <c r="AH90" i="16"/>
  <c r="AG90" i="16"/>
  <c r="AF90" i="16"/>
  <c r="AE90" i="16"/>
  <c r="AD90" i="16"/>
  <c r="Z90" i="16"/>
  <c r="L90" i="16"/>
  <c r="I90" i="16"/>
  <c r="AK90" i="16" s="1"/>
  <c r="L89" i="16"/>
  <c r="BJ86" i="16"/>
  <c r="BD86" i="16"/>
  <c r="AX86" i="16"/>
  <c r="AP86" i="16"/>
  <c r="BI86" i="16" s="1"/>
  <c r="AC86" i="16" s="1"/>
  <c r="AO86" i="16"/>
  <c r="AW86" i="16" s="1"/>
  <c r="AL86" i="16"/>
  <c r="AK86" i="16"/>
  <c r="AJ86" i="16"/>
  <c r="AH86" i="16"/>
  <c r="AG86" i="16"/>
  <c r="AF86" i="16"/>
  <c r="AE86" i="16"/>
  <c r="AD86" i="16"/>
  <c r="Z86" i="16"/>
  <c r="L86" i="16"/>
  <c r="BF86" i="16" s="1"/>
  <c r="I86" i="16"/>
  <c r="AU85" i="16"/>
  <c r="AT85" i="16"/>
  <c r="AS85" i="16"/>
  <c r="I85" i="16"/>
  <c r="BJ83" i="16"/>
  <c r="BF83" i="16"/>
  <c r="BD83" i="16"/>
  <c r="AW83" i="16"/>
  <c r="AP83" i="16"/>
  <c r="BI83" i="16" s="1"/>
  <c r="AC83" i="16" s="1"/>
  <c r="AO83" i="16"/>
  <c r="BH83" i="16" s="1"/>
  <c r="AB83" i="16" s="1"/>
  <c r="AL83" i="16"/>
  <c r="AU82" i="16" s="1"/>
  <c r="AK83" i="16"/>
  <c r="AJ83" i="16"/>
  <c r="AS82" i="16" s="1"/>
  <c r="AH83" i="16"/>
  <c r="AG83" i="16"/>
  <c r="AF83" i="16"/>
  <c r="AE83" i="16"/>
  <c r="AD83" i="16"/>
  <c r="Z83" i="16"/>
  <c r="L83" i="16"/>
  <c r="I83" i="16"/>
  <c r="AT82" i="16"/>
  <c r="L82" i="16"/>
  <c r="I82" i="16"/>
  <c r="BJ80" i="16"/>
  <c r="BD80" i="16"/>
  <c r="AX80" i="16"/>
  <c r="AW80" i="16"/>
  <c r="BC80" i="16" s="1"/>
  <c r="AV80" i="16"/>
  <c r="AP80" i="16"/>
  <c r="BI80" i="16" s="1"/>
  <c r="AC80" i="16" s="1"/>
  <c r="AO80" i="16"/>
  <c r="BH80" i="16" s="1"/>
  <c r="AB80" i="16" s="1"/>
  <c r="AL80" i="16"/>
  <c r="AK80" i="16"/>
  <c r="AT79" i="16" s="1"/>
  <c r="AJ80" i="16"/>
  <c r="AH80" i="16"/>
  <c r="AG80" i="16"/>
  <c r="AF80" i="16"/>
  <c r="AE80" i="16"/>
  <c r="AD80" i="16"/>
  <c r="Z80" i="16"/>
  <c r="L80" i="16"/>
  <c r="BF80" i="16" s="1"/>
  <c r="I80" i="16"/>
  <c r="AU79" i="16"/>
  <c r="AS79" i="16"/>
  <c r="I79" i="16"/>
  <c r="BJ77" i="16"/>
  <c r="BF77" i="16"/>
  <c r="BD77" i="16"/>
  <c r="AW77" i="16"/>
  <c r="AP77" i="16"/>
  <c r="BI77" i="16" s="1"/>
  <c r="AE77" i="16" s="1"/>
  <c r="AO77" i="16"/>
  <c r="BH77" i="16" s="1"/>
  <c r="AD77" i="16" s="1"/>
  <c r="AL77" i="16"/>
  <c r="AU76" i="16" s="1"/>
  <c r="AJ77" i="16"/>
  <c r="AH77" i="16"/>
  <c r="AG77" i="16"/>
  <c r="AF77" i="16"/>
  <c r="AC77" i="16"/>
  <c r="AB77" i="16"/>
  <c r="Z77" i="16"/>
  <c r="L77" i="16"/>
  <c r="I77" i="16"/>
  <c r="AK77" i="16" s="1"/>
  <c r="AT76" i="16" s="1"/>
  <c r="AS76" i="16"/>
  <c r="L76" i="16"/>
  <c r="BJ73" i="16"/>
  <c r="BD73" i="16"/>
  <c r="AX73" i="16"/>
  <c r="AP73" i="16"/>
  <c r="BI73" i="16" s="1"/>
  <c r="AE73" i="16" s="1"/>
  <c r="AO73" i="16"/>
  <c r="BH73" i="16" s="1"/>
  <c r="AD73" i="16" s="1"/>
  <c r="AL73" i="16"/>
  <c r="AK73" i="16"/>
  <c r="AJ73" i="16"/>
  <c r="AH73" i="16"/>
  <c r="AG73" i="16"/>
  <c r="AF73" i="16"/>
  <c r="AC73" i="16"/>
  <c r="AB73" i="16"/>
  <c r="Z73" i="16"/>
  <c r="L73" i="16"/>
  <c r="BF73" i="16" s="1"/>
  <c r="I73" i="16"/>
  <c r="BJ71" i="16"/>
  <c r="BD71" i="16"/>
  <c r="AX71" i="16"/>
  <c r="AP71" i="16"/>
  <c r="BI71" i="16" s="1"/>
  <c r="AE71" i="16" s="1"/>
  <c r="AO71" i="16"/>
  <c r="BH71" i="16" s="1"/>
  <c r="AD71" i="16" s="1"/>
  <c r="AL71" i="16"/>
  <c r="AK71" i="16"/>
  <c r="AJ71" i="16"/>
  <c r="AH71" i="16"/>
  <c r="AG71" i="16"/>
  <c r="AF71" i="16"/>
  <c r="AC71" i="16"/>
  <c r="AB71" i="16"/>
  <c r="Z71" i="16"/>
  <c r="L71" i="16"/>
  <c r="BF71" i="16" s="1"/>
  <c r="I71" i="16"/>
  <c r="BJ68" i="16"/>
  <c r="BD68" i="16"/>
  <c r="AX68" i="16"/>
  <c r="AP68" i="16"/>
  <c r="BI68" i="16" s="1"/>
  <c r="AE68" i="16" s="1"/>
  <c r="AO68" i="16"/>
  <c r="BH68" i="16" s="1"/>
  <c r="AD68" i="16" s="1"/>
  <c r="AL68" i="16"/>
  <c r="AK68" i="16"/>
  <c r="AT67" i="16" s="1"/>
  <c r="AJ68" i="16"/>
  <c r="AH68" i="16"/>
  <c r="AG68" i="16"/>
  <c r="AF68" i="16"/>
  <c r="AC68" i="16"/>
  <c r="AB68" i="16"/>
  <c r="Z68" i="16"/>
  <c r="L68" i="16"/>
  <c r="BF68" i="16" s="1"/>
  <c r="I68" i="16"/>
  <c r="AU67" i="16"/>
  <c r="AS67" i="16"/>
  <c r="I67" i="16"/>
  <c r="BJ65" i="16"/>
  <c r="BF65" i="16"/>
  <c r="BD65" i="16"/>
  <c r="AW65" i="16"/>
  <c r="AV65" i="16" s="1"/>
  <c r="AP65" i="16"/>
  <c r="AX65" i="16" s="1"/>
  <c r="BC65" i="16" s="1"/>
  <c r="AO65" i="16"/>
  <c r="BH65" i="16" s="1"/>
  <c r="AD65" i="16" s="1"/>
  <c r="AL65" i="16"/>
  <c r="AJ65" i="16"/>
  <c r="AH65" i="16"/>
  <c r="AG65" i="16"/>
  <c r="AF65" i="16"/>
  <c r="AC65" i="16"/>
  <c r="AB65" i="16"/>
  <c r="Z65" i="16"/>
  <c r="L65" i="16"/>
  <c r="I65" i="16"/>
  <c r="AK65" i="16" s="1"/>
  <c r="BJ63" i="16"/>
  <c r="BF63" i="16"/>
  <c r="BD63" i="16"/>
  <c r="AW63" i="16"/>
  <c r="AV63" i="16" s="1"/>
  <c r="AP63" i="16"/>
  <c r="AX63" i="16" s="1"/>
  <c r="BC63" i="16" s="1"/>
  <c r="AO63" i="16"/>
  <c r="BH63" i="16" s="1"/>
  <c r="AD63" i="16" s="1"/>
  <c r="AL63" i="16"/>
  <c r="AJ63" i="16"/>
  <c r="AS62" i="16" s="1"/>
  <c r="AH63" i="16"/>
  <c r="AG63" i="16"/>
  <c r="AF63" i="16"/>
  <c r="AC63" i="16"/>
  <c r="AB63" i="16"/>
  <c r="Z63" i="16"/>
  <c r="L63" i="16"/>
  <c r="I63" i="16"/>
  <c r="AK63" i="16" s="1"/>
  <c r="AT62" i="16" s="1"/>
  <c r="AU62" i="16"/>
  <c r="L62" i="16"/>
  <c r="BJ61" i="16"/>
  <c r="Z61" i="16" s="1"/>
  <c r="BF61" i="16"/>
  <c r="BD61" i="16"/>
  <c r="AX61" i="16"/>
  <c r="AP61" i="16"/>
  <c r="BI61" i="16" s="1"/>
  <c r="AO61" i="16"/>
  <c r="BH61" i="16" s="1"/>
  <c r="AL61" i="16"/>
  <c r="AK61" i="16"/>
  <c r="AJ61" i="16"/>
  <c r="AH61" i="16"/>
  <c r="AG61" i="16"/>
  <c r="AF61" i="16"/>
  <c r="AE61" i="16"/>
  <c r="AD61" i="16"/>
  <c r="AC61" i="16"/>
  <c r="AB61" i="16"/>
  <c r="L61" i="16"/>
  <c r="I61" i="16"/>
  <c r="BJ59" i="16"/>
  <c r="BF59" i="16"/>
  <c r="BD59" i="16"/>
  <c r="AX59" i="16"/>
  <c r="AP59" i="16"/>
  <c r="BI59" i="16" s="1"/>
  <c r="AE59" i="16" s="1"/>
  <c r="AO59" i="16"/>
  <c r="BH59" i="16" s="1"/>
  <c r="AD59" i="16" s="1"/>
  <c r="AL59" i="16"/>
  <c r="AK59" i="16"/>
  <c r="AJ59" i="16"/>
  <c r="AH59" i="16"/>
  <c r="AG59" i="16"/>
  <c r="AF59" i="16"/>
  <c r="AC59" i="16"/>
  <c r="AB59" i="16"/>
  <c r="Z59" i="16"/>
  <c r="L59" i="16"/>
  <c r="I59" i="16"/>
  <c r="BJ57" i="16"/>
  <c r="BF57" i="16"/>
  <c r="BD57" i="16"/>
  <c r="AX57" i="16"/>
  <c r="AP57" i="16"/>
  <c r="BI57" i="16" s="1"/>
  <c r="AE57" i="16" s="1"/>
  <c r="AO57" i="16"/>
  <c r="BH57" i="16" s="1"/>
  <c r="AD57" i="16" s="1"/>
  <c r="AL57" i="16"/>
  <c r="AK57" i="16"/>
  <c r="AJ57" i="16"/>
  <c r="AH57" i="16"/>
  <c r="AG57" i="16"/>
  <c r="AF57" i="16"/>
  <c r="AC57" i="16"/>
  <c r="AB57" i="16"/>
  <c r="Z57" i="16"/>
  <c r="L57" i="16"/>
  <c r="I57" i="16"/>
  <c r="BJ55" i="16"/>
  <c r="BF55" i="16"/>
  <c r="BD55" i="16"/>
  <c r="AX55" i="16"/>
  <c r="AP55" i="16"/>
  <c r="BI55" i="16" s="1"/>
  <c r="AE55" i="16" s="1"/>
  <c r="AO55" i="16"/>
  <c r="BH55" i="16" s="1"/>
  <c r="AD55" i="16" s="1"/>
  <c r="AL55" i="16"/>
  <c r="AK55" i="16"/>
  <c r="AJ55" i="16"/>
  <c r="AH55" i="16"/>
  <c r="AG55" i="16"/>
  <c r="AF55" i="16"/>
  <c r="AC55" i="16"/>
  <c r="AB55" i="16"/>
  <c r="Z55" i="16"/>
  <c r="L55" i="16"/>
  <c r="I55" i="16"/>
  <c r="BJ53" i="16"/>
  <c r="BF53" i="16"/>
  <c r="BD53" i="16"/>
  <c r="AX53" i="16"/>
  <c r="AP53" i="16"/>
  <c r="BI53" i="16" s="1"/>
  <c r="AE53" i="16" s="1"/>
  <c r="AO53" i="16"/>
  <c r="BH53" i="16" s="1"/>
  <c r="AD53" i="16" s="1"/>
  <c r="AL53" i="16"/>
  <c r="AK53" i="16"/>
  <c r="AJ53" i="16"/>
  <c r="AH53" i="16"/>
  <c r="AG53" i="16"/>
  <c r="AF53" i="16"/>
  <c r="AC53" i="16"/>
  <c r="AB53" i="16"/>
  <c r="Z53" i="16"/>
  <c r="L53" i="16"/>
  <c r="I53" i="16"/>
  <c r="BJ45" i="16"/>
  <c r="BF45" i="16"/>
  <c r="BD45" i="16"/>
  <c r="AX45" i="16"/>
  <c r="AP45" i="16"/>
  <c r="BI45" i="16" s="1"/>
  <c r="AE45" i="16" s="1"/>
  <c r="AO45" i="16"/>
  <c r="BH45" i="16" s="1"/>
  <c r="AD45" i="16" s="1"/>
  <c r="AL45" i="16"/>
  <c r="AK45" i="16"/>
  <c r="AJ45" i="16"/>
  <c r="AH45" i="16"/>
  <c r="AG45" i="16"/>
  <c r="AF45" i="16"/>
  <c r="AC45" i="16"/>
  <c r="AB45" i="16"/>
  <c r="Z45" i="16"/>
  <c r="L45" i="16"/>
  <c r="I45" i="16"/>
  <c r="BJ43" i="16"/>
  <c r="BF43" i="16"/>
  <c r="BD43" i="16"/>
  <c r="AX43" i="16"/>
  <c r="AP43" i="16"/>
  <c r="BI43" i="16" s="1"/>
  <c r="AE43" i="16" s="1"/>
  <c r="AO43" i="16"/>
  <c r="BH43" i="16" s="1"/>
  <c r="AD43" i="16" s="1"/>
  <c r="AL43" i="16"/>
  <c r="AK43" i="16"/>
  <c r="AT42" i="16" s="1"/>
  <c r="AJ43" i="16"/>
  <c r="AH43" i="16"/>
  <c r="AG43" i="16"/>
  <c r="AF43" i="16"/>
  <c r="AC43" i="16"/>
  <c r="AB43" i="16"/>
  <c r="Z43" i="16"/>
  <c r="L43" i="16"/>
  <c r="I43" i="16"/>
  <c r="AU42" i="16"/>
  <c r="AS42" i="16"/>
  <c r="L42" i="16"/>
  <c r="I42" i="16"/>
  <c r="BJ40" i="16"/>
  <c r="BF40" i="16"/>
  <c r="BD40" i="16"/>
  <c r="AX40" i="16"/>
  <c r="AW40" i="16"/>
  <c r="BC40" i="16" s="1"/>
  <c r="AP40" i="16"/>
  <c r="BI40" i="16" s="1"/>
  <c r="AE40" i="16" s="1"/>
  <c r="AO40" i="16"/>
  <c r="BH40" i="16" s="1"/>
  <c r="AD40" i="16" s="1"/>
  <c r="AL40" i="16"/>
  <c r="AJ40" i="16"/>
  <c r="AH40" i="16"/>
  <c r="AG40" i="16"/>
  <c r="AF40" i="16"/>
  <c r="AC40" i="16"/>
  <c r="AB40" i="16"/>
  <c r="Z40" i="16"/>
  <c r="L40" i="16"/>
  <c r="I40" i="16"/>
  <c r="AK40" i="16" s="1"/>
  <c r="BJ38" i="16"/>
  <c r="BF38" i="16"/>
  <c r="BD38" i="16"/>
  <c r="AX38" i="16"/>
  <c r="AW38" i="16"/>
  <c r="BC38" i="16" s="1"/>
  <c r="AP38" i="16"/>
  <c r="BI38" i="16" s="1"/>
  <c r="AE38" i="16" s="1"/>
  <c r="AO38" i="16"/>
  <c r="BH38" i="16" s="1"/>
  <c r="AD38" i="16" s="1"/>
  <c r="AL38" i="16"/>
  <c r="AJ38" i="16"/>
  <c r="AH38" i="16"/>
  <c r="AG38" i="16"/>
  <c r="AF38" i="16"/>
  <c r="AC38" i="16"/>
  <c r="AB38" i="16"/>
  <c r="Z38" i="16"/>
  <c r="L38" i="16"/>
  <c r="I38" i="16"/>
  <c r="AK38" i="16" s="1"/>
  <c r="BJ36" i="16"/>
  <c r="BF36" i="16"/>
  <c r="BD36" i="16"/>
  <c r="AX36" i="16"/>
  <c r="AW36" i="16"/>
  <c r="BC36" i="16" s="1"/>
  <c r="AP36" i="16"/>
  <c r="BI36" i="16" s="1"/>
  <c r="AE36" i="16" s="1"/>
  <c r="AO36" i="16"/>
  <c r="BH36" i="16" s="1"/>
  <c r="AD36" i="16" s="1"/>
  <c r="AL36" i="16"/>
  <c r="AU35" i="16" s="1"/>
  <c r="AJ36" i="16"/>
  <c r="AS35" i="16" s="1"/>
  <c r="AH36" i="16"/>
  <c r="AG36" i="16"/>
  <c r="AF36" i="16"/>
  <c r="AC36" i="16"/>
  <c r="AB36" i="16"/>
  <c r="Z36" i="16"/>
  <c r="L36" i="16"/>
  <c r="I36" i="16"/>
  <c r="AK36" i="16" s="1"/>
  <c r="L35" i="16"/>
  <c r="BJ33" i="16"/>
  <c r="BD33" i="16"/>
  <c r="AX33" i="16"/>
  <c r="AP33" i="16"/>
  <c r="BI33" i="16" s="1"/>
  <c r="AC33" i="16" s="1"/>
  <c r="AO33" i="16"/>
  <c r="AW33" i="16" s="1"/>
  <c r="AL33" i="16"/>
  <c r="AK33" i="16"/>
  <c r="AJ33" i="16"/>
  <c r="AH33" i="16"/>
  <c r="AG33" i="16"/>
  <c r="AF33" i="16"/>
  <c r="AE33" i="16"/>
  <c r="AD33" i="16"/>
  <c r="Z33" i="16"/>
  <c r="L33" i="16"/>
  <c r="BF33" i="16" s="1"/>
  <c r="I33" i="16"/>
  <c r="AU32" i="16"/>
  <c r="AT32" i="16"/>
  <c r="AS32" i="16"/>
  <c r="I32" i="16"/>
  <c r="BJ30" i="16"/>
  <c r="BF30" i="16"/>
  <c r="BD30" i="16"/>
  <c r="AW30" i="16"/>
  <c r="AP30" i="16"/>
  <c r="BI30" i="16" s="1"/>
  <c r="AC30" i="16" s="1"/>
  <c r="AO30" i="16"/>
  <c r="BH30" i="16" s="1"/>
  <c r="AB30" i="16" s="1"/>
  <c r="AL30" i="16"/>
  <c r="AK30" i="16"/>
  <c r="AJ30" i="16"/>
  <c r="AH30" i="16"/>
  <c r="AG30" i="16"/>
  <c r="AF30" i="16"/>
  <c r="AE30" i="16"/>
  <c r="AD30" i="16"/>
  <c r="Z30" i="16"/>
  <c r="L30" i="16"/>
  <c r="I30" i="16"/>
  <c r="BJ28" i="16"/>
  <c r="BF28" i="16"/>
  <c r="BD28" i="16"/>
  <c r="AW28" i="16"/>
  <c r="AP28" i="16"/>
  <c r="BI28" i="16" s="1"/>
  <c r="AC28" i="16" s="1"/>
  <c r="AO28" i="16"/>
  <c r="BH28" i="16" s="1"/>
  <c r="AB28" i="16" s="1"/>
  <c r="AL28" i="16"/>
  <c r="AK28" i="16"/>
  <c r="AJ28" i="16"/>
  <c r="AH28" i="16"/>
  <c r="AG28" i="16"/>
  <c r="AF28" i="16"/>
  <c r="AE28" i="16"/>
  <c r="AD28" i="16"/>
  <c r="Z28" i="16"/>
  <c r="L28" i="16"/>
  <c r="I28" i="16"/>
  <c r="BJ26" i="16"/>
  <c r="BF26" i="16"/>
  <c r="BD26" i="16"/>
  <c r="AW26" i="16"/>
  <c r="AP26" i="16"/>
  <c r="BI26" i="16" s="1"/>
  <c r="AC26" i="16" s="1"/>
  <c r="AO26" i="16"/>
  <c r="BH26" i="16" s="1"/>
  <c r="AB26" i="16" s="1"/>
  <c r="AL26" i="16"/>
  <c r="AU25" i="16" s="1"/>
  <c r="AJ26" i="16"/>
  <c r="AS25" i="16" s="1"/>
  <c r="AH26" i="16"/>
  <c r="AG26" i="16"/>
  <c r="AF26" i="16"/>
  <c r="AE26" i="16"/>
  <c r="AD26" i="16"/>
  <c r="Z26" i="16"/>
  <c r="L26" i="16"/>
  <c r="I26" i="16"/>
  <c r="AK26" i="16" s="1"/>
  <c r="AT25" i="16" s="1"/>
  <c r="L25" i="16"/>
  <c r="I25" i="16"/>
  <c r="BJ23" i="16"/>
  <c r="BD23" i="16"/>
  <c r="AX23" i="16"/>
  <c r="AW23" i="16"/>
  <c r="BC23" i="16" s="1"/>
  <c r="AV23" i="16"/>
  <c r="AP23" i="16"/>
  <c r="BI23" i="16" s="1"/>
  <c r="AC23" i="16" s="1"/>
  <c r="AO23" i="16"/>
  <c r="BH23" i="16" s="1"/>
  <c r="AB23" i="16" s="1"/>
  <c r="AL23" i="16"/>
  <c r="AK23" i="16"/>
  <c r="AJ23" i="16"/>
  <c r="AH23" i="16"/>
  <c r="AG23" i="16"/>
  <c r="AF23" i="16"/>
  <c r="AE23" i="16"/>
  <c r="AD23" i="16"/>
  <c r="Z23" i="16"/>
  <c r="L23" i="16"/>
  <c r="BF23" i="16" s="1"/>
  <c r="I23" i="16"/>
  <c r="BJ21" i="16"/>
  <c r="BD21" i="16"/>
  <c r="AX21" i="16"/>
  <c r="AW21" i="16"/>
  <c r="BC21" i="16" s="1"/>
  <c r="AV21" i="16"/>
  <c r="AP21" i="16"/>
  <c r="BI21" i="16" s="1"/>
  <c r="AC21" i="16" s="1"/>
  <c r="AO21" i="16"/>
  <c r="BH21" i="16" s="1"/>
  <c r="AB21" i="16" s="1"/>
  <c r="AL21" i="16"/>
  <c r="AK21" i="16"/>
  <c r="AJ21" i="16"/>
  <c r="AH21" i="16"/>
  <c r="AG21" i="16"/>
  <c r="AF21" i="16"/>
  <c r="AE21" i="16"/>
  <c r="AD21" i="16"/>
  <c r="Z21" i="16"/>
  <c r="L21" i="16"/>
  <c r="BF21" i="16" s="1"/>
  <c r="I21" i="16"/>
  <c r="BJ19" i="16"/>
  <c r="BD19" i="16"/>
  <c r="AX19" i="16"/>
  <c r="AW19" i="16"/>
  <c r="BC19" i="16" s="1"/>
  <c r="AV19" i="16"/>
  <c r="AP19" i="16"/>
  <c r="BI19" i="16" s="1"/>
  <c r="AC19" i="16" s="1"/>
  <c r="AO19" i="16"/>
  <c r="BH19" i="16" s="1"/>
  <c r="AB19" i="16" s="1"/>
  <c r="AL19" i="16"/>
  <c r="AK19" i="16"/>
  <c r="AT18" i="16" s="1"/>
  <c r="AJ19" i="16"/>
  <c r="AH19" i="16"/>
  <c r="AG19" i="16"/>
  <c r="AF19" i="16"/>
  <c r="AE19" i="16"/>
  <c r="AD19" i="16"/>
  <c r="Z19" i="16"/>
  <c r="L19" i="16"/>
  <c r="BF19" i="16" s="1"/>
  <c r="I19" i="16"/>
  <c r="AU18" i="16"/>
  <c r="AS18" i="16"/>
  <c r="I18" i="16"/>
  <c r="BJ16" i="16"/>
  <c r="BF16" i="16"/>
  <c r="BD16" i="16"/>
  <c r="AW16" i="16"/>
  <c r="AP16" i="16"/>
  <c r="BI16" i="16" s="1"/>
  <c r="AC16" i="16" s="1"/>
  <c r="AO16" i="16"/>
  <c r="BH16" i="16" s="1"/>
  <c r="AB16" i="16" s="1"/>
  <c r="AL16" i="16"/>
  <c r="AJ16" i="16"/>
  <c r="AH16" i="16"/>
  <c r="AG16" i="16"/>
  <c r="AF16" i="16"/>
  <c r="AE16" i="16"/>
  <c r="AD16" i="16"/>
  <c r="Z16" i="16"/>
  <c r="L16" i="16"/>
  <c r="I16" i="16"/>
  <c r="AK16" i="16" s="1"/>
  <c r="BJ14" i="16"/>
  <c r="BF14" i="16"/>
  <c r="BD14" i="16"/>
  <c r="AW14" i="16"/>
  <c r="AP14" i="16"/>
  <c r="BI14" i="16" s="1"/>
  <c r="AC14" i="16" s="1"/>
  <c r="AO14" i="16"/>
  <c r="BH14" i="16" s="1"/>
  <c r="AB14" i="16" s="1"/>
  <c r="AL14" i="16"/>
  <c r="AU13" i="16" s="1"/>
  <c r="AJ14" i="16"/>
  <c r="AH14" i="16"/>
  <c r="AG14" i="16"/>
  <c r="AF14" i="16"/>
  <c r="AE14" i="16"/>
  <c r="AD14" i="16"/>
  <c r="Z14" i="16"/>
  <c r="L14" i="16"/>
  <c r="I14" i="16"/>
  <c r="AK14" i="16" s="1"/>
  <c r="AT13" i="16" s="1"/>
  <c r="AS13" i="16"/>
  <c r="L13" i="16"/>
  <c r="AU1" i="16"/>
  <c r="AT1" i="16"/>
  <c r="AS1" i="16"/>
  <c r="AL173" i="15"/>
  <c r="AJ173" i="15"/>
  <c r="AH173" i="15"/>
  <c r="AG173" i="15"/>
  <c r="AF173" i="15"/>
  <c r="AE173" i="15"/>
  <c r="AD173" i="15"/>
  <c r="AC173" i="15"/>
  <c r="AB173" i="15"/>
  <c r="L173" i="15"/>
  <c r="BF173" i="15" s="1"/>
  <c r="K173" i="15"/>
  <c r="J173" i="15"/>
  <c r="H173" i="15"/>
  <c r="AO173" i="15" s="1"/>
  <c r="G173" i="15"/>
  <c r="BH173" i="15" s="1"/>
  <c r="AL171" i="15"/>
  <c r="AJ171" i="15"/>
  <c r="AH171" i="15"/>
  <c r="AG171" i="15"/>
  <c r="AF171" i="15"/>
  <c r="AE171" i="15"/>
  <c r="AD171" i="15"/>
  <c r="AC171" i="15"/>
  <c r="AB171" i="15"/>
  <c r="L171" i="15"/>
  <c r="BF171" i="15" s="1"/>
  <c r="K171" i="15"/>
  <c r="J171" i="15"/>
  <c r="H171" i="15"/>
  <c r="AP171" i="15" s="1"/>
  <c r="G171" i="15"/>
  <c r="BJ169" i="15"/>
  <c r="AL169" i="15"/>
  <c r="AJ169" i="15"/>
  <c r="AH169" i="15"/>
  <c r="AG169" i="15"/>
  <c r="AF169" i="15"/>
  <c r="AE169" i="15"/>
  <c r="AD169" i="15"/>
  <c r="AC169" i="15"/>
  <c r="AB169" i="15"/>
  <c r="Z169" i="15"/>
  <c r="L169" i="15"/>
  <c r="BF169" i="15" s="1"/>
  <c r="K169" i="15"/>
  <c r="J169" i="15"/>
  <c r="H169" i="15"/>
  <c r="AO169" i="15" s="1"/>
  <c r="BH169" i="15" s="1"/>
  <c r="G169" i="15"/>
  <c r="AW169" i="15" s="1"/>
  <c r="AL167" i="15"/>
  <c r="AJ167" i="15"/>
  <c r="AH167" i="15"/>
  <c r="AG167" i="15"/>
  <c r="AF167" i="15"/>
  <c r="AE167" i="15"/>
  <c r="AD167" i="15"/>
  <c r="AC167" i="15"/>
  <c r="AB167" i="15"/>
  <c r="L167" i="15"/>
  <c r="BF167" i="15" s="1"/>
  <c r="K167" i="15"/>
  <c r="J167" i="15"/>
  <c r="H167" i="15"/>
  <c r="BJ167" i="15" s="1"/>
  <c r="Z167" i="15" s="1"/>
  <c r="G167" i="15"/>
  <c r="BJ165" i="15"/>
  <c r="AL165" i="15"/>
  <c r="AJ165" i="15"/>
  <c r="AH165" i="15"/>
  <c r="AG165" i="15"/>
  <c r="AF165" i="15"/>
  <c r="AE165" i="15"/>
  <c r="AD165" i="15"/>
  <c r="AC165" i="15"/>
  <c r="AB165" i="15"/>
  <c r="Z165" i="15"/>
  <c r="L165" i="15"/>
  <c r="BF165" i="15" s="1"/>
  <c r="K165" i="15"/>
  <c r="J165" i="15"/>
  <c r="H165" i="15"/>
  <c r="AO165" i="15" s="1"/>
  <c r="BH165" i="15" s="1"/>
  <c r="G165" i="15"/>
  <c r="AW165" i="15" s="1"/>
  <c r="AL163" i="15"/>
  <c r="AJ163" i="15"/>
  <c r="AH163" i="15"/>
  <c r="AG163" i="15"/>
  <c r="AF163" i="15"/>
  <c r="AE163" i="15"/>
  <c r="AD163" i="15"/>
  <c r="AC163" i="15"/>
  <c r="AB163" i="15"/>
  <c r="L163" i="15"/>
  <c r="BF163" i="15" s="1"/>
  <c r="K163" i="15"/>
  <c r="J163" i="15"/>
  <c r="H163" i="15"/>
  <c r="BJ163" i="15" s="1"/>
  <c r="Z163" i="15" s="1"/>
  <c r="G163" i="15"/>
  <c r="BJ161" i="15"/>
  <c r="AL161" i="15"/>
  <c r="AJ161" i="15"/>
  <c r="AS158" i="15" s="1"/>
  <c r="AH161" i="15"/>
  <c r="AG161" i="15"/>
  <c r="AF161" i="15"/>
  <c r="AE161" i="15"/>
  <c r="AD161" i="15"/>
  <c r="AC161" i="15"/>
  <c r="AB161" i="15"/>
  <c r="Z161" i="15"/>
  <c r="L161" i="15"/>
  <c r="BF161" i="15" s="1"/>
  <c r="K161" i="15"/>
  <c r="J161" i="15"/>
  <c r="H161" i="15"/>
  <c r="AO161" i="15" s="1"/>
  <c r="BH161" i="15" s="1"/>
  <c r="G161" i="15"/>
  <c r="AL159" i="15"/>
  <c r="AJ159" i="15"/>
  <c r="AH159" i="15"/>
  <c r="AG159" i="15"/>
  <c r="AF159" i="15"/>
  <c r="AE159" i="15"/>
  <c r="AD159" i="15"/>
  <c r="AC159" i="15"/>
  <c r="AB159" i="15"/>
  <c r="L159" i="15"/>
  <c r="L158" i="15" s="1"/>
  <c r="K159" i="15"/>
  <c r="J159" i="15"/>
  <c r="H159" i="15"/>
  <c r="AP159" i="15" s="1"/>
  <c r="G159" i="15"/>
  <c r="AU158" i="15"/>
  <c r="AP157" i="15"/>
  <c r="AL157" i="15"/>
  <c r="AU156" i="15" s="1"/>
  <c r="AJ157" i="15"/>
  <c r="AS156" i="15" s="1"/>
  <c r="AH157" i="15"/>
  <c r="AG157" i="15"/>
  <c r="AF157" i="15"/>
  <c r="AE157" i="15"/>
  <c r="AD157" i="15"/>
  <c r="AC157" i="15"/>
  <c r="AB157" i="15"/>
  <c r="K157" i="15"/>
  <c r="J157" i="15"/>
  <c r="H157" i="15"/>
  <c r="AO157" i="15" s="1"/>
  <c r="G157" i="15"/>
  <c r="AL154" i="15"/>
  <c r="AJ154" i="15"/>
  <c r="AH154" i="15"/>
  <c r="AG154" i="15"/>
  <c r="AF154" i="15"/>
  <c r="AE154" i="15"/>
  <c r="AD154" i="15"/>
  <c r="Z154" i="15"/>
  <c r="K154" i="15"/>
  <c r="L154" i="15" s="1"/>
  <c r="BF154" i="15" s="1"/>
  <c r="J154" i="15"/>
  <c r="H154" i="15"/>
  <c r="BJ154" i="15" s="1"/>
  <c r="G154" i="15"/>
  <c r="AU153" i="15"/>
  <c r="AS153" i="15"/>
  <c r="AP150" i="15"/>
  <c r="AL150" i="15"/>
  <c r="AJ150" i="15"/>
  <c r="AH150" i="15"/>
  <c r="AG150" i="15"/>
  <c r="AF150" i="15"/>
  <c r="AE150" i="15"/>
  <c r="AD150" i="15"/>
  <c r="Z150" i="15"/>
  <c r="K150" i="15"/>
  <c r="J150" i="15"/>
  <c r="H150" i="15"/>
  <c r="BD150" i="15" s="1"/>
  <c r="G150" i="15"/>
  <c r="AO148" i="15"/>
  <c r="AL148" i="15"/>
  <c r="AJ148" i="15"/>
  <c r="AH148" i="15"/>
  <c r="AG148" i="15"/>
  <c r="AF148" i="15"/>
  <c r="AE148" i="15"/>
  <c r="AD148" i="15"/>
  <c r="Z148" i="15"/>
  <c r="K148" i="15"/>
  <c r="J148" i="15"/>
  <c r="H148" i="15"/>
  <c r="G148" i="15"/>
  <c r="AW148" i="15" s="1"/>
  <c r="AP146" i="15"/>
  <c r="AL146" i="15"/>
  <c r="AJ146" i="15"/>
  <c r="AH146" i="15"/>
  <c r="AG146" i="15"/>
  <c r="AF146" i="15"/>
  <c r="AE146" i="15"/>
  <c r="AD146" i="15"/>
  <c r="Z146" i="15"/>
  <c r="K146" i="15"/>
  <c r="J146" i="15"/>
  <c r="H146" i="15"/>
  <c r="BD146" i="15" s="1"/>
  <c r="G146" i="15"/>
  <c r="L146" i="15" s="1"/>
  <c r="BF146" i="15" s="1"/>
  <c r="AP144" i="15"/>
  <c r="AO144" i="15"/>
  <c r="AL144" i="15"/>
  <c r="AJ144" i="15"/>
  <c r="AH144" i="15"/>
  <c r="AG144" i="15"/>
  <c r="AF144" i="15"/>
  <c r="AE144" i="15"/>
  <c r="AD144" i="15"/>
  <c r="Z144" i="15"/>
  <c r="K144" i="15"/>
  <c r="J144" i="15"/>
  <c r="H144" i="15"/>
  <c r="BD144" i="15" s="1"/>
  <c r="G144" i="15"/>
  <c r="BI144" i="15" s="1"/>
  <c r="AC144" i="15" s="1"/>
  <c r="BF142" i="15"/>
  <c r="AP142" i="15"/>
  <c r="BI142" i="15" s="1"/>
  <c r="AC142" i="15" s="1"/>
  <c r="AL142" i="15"/>
  <c r="AJ142" i="15"/>
  <c r="AH142" i="15"/>
  <c r="AG142" i="15"/>
  <c r="AF142" i="15"/>
  <c r="AE142" i="15"/>
  <c r="AD142" i="15"/>
  <c r="Z142" i="15"/>
  <c r="L142" i="15"/>
  <c r="K142" i="15"/>
  <c r="J142" i="15"/>
  <c r="I142" i="15"/>
  <c r="AK142" i="15" s="1"/>
  <c r="H142" i="15"/>
  <c r="BD142" i="15" s="1"/>
  <c r="G142" i="15"/>
  <c r="AP140" i="15"/>
  <c r="AO140" i="15"/>
  <c r="AL140" i="15"/>
  <c r="AJ140" i="15"/>
  <c r="AH140" i="15"/>
  <c r="AG140" i="15"/>
  <c r="AF140" i="15"/>
  <c r="AE140" i="15"/>
  <c r="AD140" i="15"/>
  <c r="Z140" i="15"/>
  <c r="K140" i="15"/>
  <c r="J140" i="15"/>
  <c r="H140" i="15"/>
  <c r="BD140" i="15" s="1"/>
  <c r="G140" i="15"/>
  <c r="BI140" i="15" s="1"/>
  <c r="AC140" i="15" s="1"/>
  <c r="BI138" i="15"/>
  <c r="AC138" i="15" s="1"/>
  <c r="AP138" i="15"/>
  <c r="AX138" i="15" s="1"/>
  <c r="AL138" i="15"/>
  <c r="AJ138" i="15"/>
  <c r="AS137" i="15" s="1"/>
  <c r="AH138" i="15"/>
  <c r="AG138" i="15"/>
  <c r="AF138" i="15"/>
  <c r="AE138" i="15"/>
  <c r="AD138" i="15"/>
  <c r="Z138" i="15"/>
  <c r="K138" i="15"/>
  <c r="L138" i="15" s="1"/>
  <c r="J138" i="15"/>
  <c r="H138" i="15"/>
  <c r="BD138" i="15" s="1"/>
  <c r="G138" i="15"/>
  <c r="BJ134" i="15"/>
  <c r="BH134" i="15"/>
  <c r="AO134" i="15"/>
  <c r="AL134" i="15"/>
  <c r="AJ134" i="15"/>
  <c r="AH134" i="15"/>
  <c r="AG134" i="15"/>
  <c r="AF134" i="15"/>
  <c r="AE134" i="15"/>
  <c r="AD134" i="15"/>
  <c r="AB134" i="15"/>
  <c r="Z134" i="15"/>
  <c r="L134" i="15"/>
  <c r="K134" i="15"/>
  <c r="J134" i="15"/>
  <c r="H134" i="15"/>
  <c r="G134" i="15"/>
  <c r="AW134" i="15" s="1"/>
  <c r="AU133" i="15"/>
  <c r="AS133" i="15"/>
  <c r="BD131" i="15"/>
  <c r="AP131" i="15"/>
  <c r="AL131" i="15"/>
  <c r="AJ131" i="15"/>
  <c r="AH131" i="15"/>
  <c r="AG131" i="15"/>
  <c r="AF131" i="15"/>
  <c r="AE131" i="15"/>
  <c r="AD131" i="15"/>
  <c r="Z131" i="15"/>
  <c r="K131" i="15"/>
  <c r="J131" i="15"/>
  <c r="H131" i="15"/>
  <c r="AO131" i="15" s="1"/>
  <c r="G131" i="15"/>
  <c r="BI131" i="15" s="1"/>
  <c r="AC131" i="15" s="1"/>
  <c r="BD129" i="15"/>
  <c r="AP129" i="15"/>
  <c r="AL129" i="15"/>
  <c r="AJ129" i="15"/>
  <c r="AS128" i="15" s="1"/>
  <c r="AH129" i="15"/>
  <c r="AG129" i="15"/>
  <c r="AF129" i="15"/>
  <c r="AE129" i="15"/>
  <c r="AD129" i="15"/>
  <c r="Z129" i="15"/>
  <c r="K129" i="15"/>
  <c r="J129" i="15"/>
  <c r="H129" i="15"/>
  <c r="AO129" i="15" s="1"/>
  <c r="G129" i="15"/>
  <c r="BJ129" i="15" s="1"/>
  <c r="AU128" i="15"/>
  <c r="BH125" i="15"/>
  <c r="BD125" i="15"/>
  <c r="AX125" i="15"/>
  <c r="AW125" i="15"/>
  <c r="AV125" i="15" s="1"/>
  <c r="AO125" i="15"/>
  <c r="AL125" i="15"/>
  <c r="AJ125" i="15"/>
  <c r="AH125" i="15"/>
  <c r="AG125" i="15"/>
  <c r="AF125" i="15"/>
  <c r="AE125" i="15"/>
  <c r="AD125" i="15"/>
  <c r="AB125" i="15"/>
  <c r="Z125" i="15"/>
  <c r="K125" i="15"/>
  <c r="L125" i="15" s="1"/>
  <c r="BF125" i="15" s="1"/>
  <c r="J125" i="15"/>
  <c r="H125" i="15"/>
  <c r="AP125" i="15" s="1"/>
  <c r="G125" i="15"/>
  <c r="BJ125" i="15" s="1"/>
  <c r="BH122" i="15"/>
  <c r="BD122" i="15"/>
  <c r="AX122" i="15"/>
  <c r="AW122" i="15"/>
  <c r="AV122" i="15" s="1"/>
  <c r="AO122" i="15"/>
  <c r="AL122" i="15"/>
  <c r="AJ122" i="15"/>
  <c r="AH122" i="15"/>
  <c r="AG122" i="15"/>
  <c r="AF122" i="15"/>
  <c r="AE122" i="15"/>
  <c r="AD122" i="15"/>
  <c r="AB122" i="15"/>
  <c r="Z122" i="15"/>
  <c r="K122" i="15"/>
  <c r="L122" i="15" s="1"/>
  <c r="BF122" i="15" s="1"/>
  <c r="J122" i="15"/>
  <c r="H122" i="15"/>
  <c r="AP122" i="15" s="1"/>
  <c r="G122" i="15"/>
  <c r="BJ122" i="15" s="1"/>
  <c r="BH119" i="15"/>
  <c r="BD119" i="15"/>
  <c r="AX119" i="15"/>
  <c r="AW119" i="15"/>
  <c r="AV119" i="15" s="1"/>
  <c r="AO119" i="15"/>
  <c r="AL119" i="15"/>
  <c r="AJ119" i="15"/>
  <c r="AH119" i="15"/>
  <c r="AG119" i="15"/>
  <c r="AF119" i="15"/>
  <c r="AE119" i="15"/>
  <c r="AD119" i="15"/>
  <c r="AB119" i="15"/>
  <c r="Z119" i="15"/>
  <c r="K119" i="15"/>
  <c r="L119" i="15" s="1"/>
  <c r="J119" i="15"/>
  <c r="H119" i="15"/>
  <c r="AP119" i="15" s="1"/>
  <c r="G119" i="15"/>
  <c r="BJ119" i="15" s="1"/>
  <c r="AU118" i="15"/>
  <c r="AS118" i="15"/>
  <c r="AO115" i="15"/>
  <c r="AL115" i="15"/>
  <c r="AU114" i="15" s="1"/>
  <c r="AJ115" i="15"/>
  <c r="AH115" i="15"/>
  <c r="AG115" i="15"/>
  <c r="AF115" i="15"/>
  <c r="AC115" i="15"/>
  <c r="AB115" i="15"/>
  <c r="Z115" i="15"/>
  <c r="K115" i="15"/>
  <c r="J115" i="15"/>
  <c r="H115" i="15"/>
  <c r="BD115" i="15" s="1"/>
  <c r="G115" i="15"/>
  <c r="BJ115" i="15" s="1"/>
  <c r="AS114" i="15"/>
  <c r="AL111" i="15"/>
  <c r="AJ111" i="15"/>
  <c r="AH111" i="15"/>
  <c r="AG111" i="15"/>
  <c r="AF111" i="15"/>
  <c r="AC111" i="15"/>
  <c r="AB111" i="15"/>
  <c r="Z111" i="15"/>
  <c r="L111" i="15"/>
  <c r="BF111" i="15" s="1"/>
  <c r="K111" i="15"/>
  <c r="J111" i="15"/>
  <c r="H111" i="15"/>
  <c r="BD111" i="15" s="1"/>
  <c r="G111" i="15"/>
  <c r="BD108" i="15"/>
  <c r="AL108" i="15"/>
  <c r="AJ108" i="15"/>
  <c r="AS104" i="15" s="1"/>
  <c r="AH108" i="15"/>
  <c r="AG108" i="15"/>
  <c r="AF108" i="15"/>
  <c r="AC108" i="15"/>
  <c r="AB108" i="15"/>
  <c r="Z108" i="15"/>
  <c r="L108" i="15"/>
  <c r="BF108" i="15" s="1"/>
  <c r="K108" i="15"/>
  <c r="J108" i="15"/>
  <c r="H108" i="15"/>
  <c r="BJ108" i="15" s="1"/>
  <c r="G108" i="15"/>
  <c r="AL105" i="15"/>
  <c r="AJ105" i="15"/>
  <c r="AH105" i="15"/>
  <c r="AG105" i="15"/>
  <c r="AF105" i="15"/>
  <c r="AC105" i="15"/>
  <c r="AB105" i="15"/>
  <c r="Z105" i="15"/>
  <c r="L105" i="15"/>
  <c r="K105" i="15"/>
  <c r="J105" i="15"/>
  <c r="H105" i="15"/>
  <c r="AP105" i="15" s="1"/>
  <c r="G105" i="15"/>
  <c r="AU104" i="15"/>
  <c r="BJ101" i="15"/>
  <c r="BD101" i="15"/>
  <c r="AP101" i="15"/>
  <c r="AL101" i="15"/>
  <c r="AJ101" i="15"/>
  <c r="AH101" i="15"/>
  <c r="AG101" i="15"/>
  <c r="AF101" i="15"/>
  <c r="AC101" i="15"/>
  <c r="AB101" i="15"/>
  <c r="Z101" i="15"/>
  <c r="K101" i="15"/>
  <c r="J101" i="15"/>
  <c r="I101" i="15"/>
  <c r="AK101" i="15" s="1"/>
  <c r="H101" i="15"/>
  <c r="AO101" i="15" s="1"/>
  <c r="G101" i="15"/>
  <c r="BI98" i="15"/>
  <c r="AE98" i="15" s="1"/>
  <c r="BD98" i="15"/>
  <c r="AP98" i="15"/>
  <c r="AL98" i="15"/>
  <c r="AJ98" i="15"/>
  <c r="AH98" i="15"/>
  <c r="AG98" i="15"/>
  <c r="AF98" i="15"/>
  <c r="AC98" i="15"/>
  <c r="AB98" i="15"/>
  <c r="Z98" i="15"/>
  <c r="K98" i="15"/>
  <c r="J98" i="15"/>
  <c r="I98" i="15"/>
  <c r="AK98" i="15" s="1"/>
  <c r="H98" i="15"/>
  <c r="AO98" i="15" s="1"/>
  <c r="AW98" i="15" s="1"/>
  <c r="G98" i="15"/>
  <c r="BJ98" i="15" s="1"/>
  <c r="BD95" i="15"/>
  <c r="AP95" i="15"/>
  <c r="AL95" i="15"/>
  <c r="AJ95" i="15"/>
  <c r="AH95" i="15"/>
  <c r="AG95" i="15"/>
  <c r="AF95" i="15"/>
  <c r="AC95" i="15"/>
  <c r="AB95" i="15"/>
  <c r="Z95" i="15"/>
  <c r="K95" i="15"/>
  <c r="J95" i="15"/>
  <c r="I95" i="15"/>
  <c r="AK95" i="15" s="1"/>
  <c r="H95" i="15"/>
  <c r="AO95" i="15" s="1"/>
  <c r="AW95" i="15" s="1"/>
  <c r="G95" i="15"/>
  <c r="BJ95" i="15" s="1"/>
  <c r="BD92" i="15"/>
  <c r="AP92" i="15"/>
  <c r="AL92" i="15"/>
  <c r="AJ92" i="15"/>
  <c r="AH92" i="15"/>
  <c r="AG92" i="15"/>
  <c r="AF92" i="15"/>
  <c r="AC92" i="15"/>
  <c r="AB92" i="15"/>
  <c r="Z92" i="15"/>
  <c r="K92" i="15"/>
  <c r="J92" i="15"/>
  <c r="H92" i="15"/>
  <c r="AO92" i="15" s="1"/>
  <c r="G92" i="15"/>
  <c r="BJ92" i="15" s="1"/>
  <c r="BD89" i="15"/>
  <c r="AP89" i="15"/>
  <c r="AL89" i="15"/>
  <c r="AJ89" i="15"/>
  <c r="AH89" i="15"/>
  <c r="AG89" i="15"/>
  <c r="AF89" i="15"/>
  <c r="AC89" i="15"/>
  <c r="AB89" i="15"/>
  <c r="Z89" i="15"/>
  <c r="K89" i="15"/>
  <c r="J89" i="15"/>
  <c r="H89" i="15"/>
  <c r="AO89" i="15" s="1"/>
  <c r="G89" i="15"/>
  <c r="BJ89" i="15" s="1"/>
  <c r="AU88" i="15"/>
  <c r="BD86" i="15"/>
  <c r="AX86" i="15"/>
  <c r="AL86" i="15"/>
  <c r="AJ86" i="15"/>
  <c r="AH86" i="15"/>
  <c r="AG86" i="15"/>
  <c r="AF86" i="15"/>
  <c r="AC86" i="15"/>
  <c r="AB86" i="15"/>
  <c r="Z86" i="15"/>
  <c r="K86" i="15"/>
  <c r="L86" i="15" s="1"/>
  <c r="J86" i="15"/>
  <c r="H86" i="15"/>
  <c r="AP86" i="15" s="1"/>
  <c r="G86" i="15"/>
  <c r="BJ86" i="15" s="1"/>
  <c r="AU85" i="15"/>
  <c r="AS85" i="15"/>
  <c r="AL84" i="15"/>
  <c r="AJ84" i="15"/>
  <c r="AH84" i="15"/>
  <c r="AG84" i="15"/>
  <c r="AF84" i="15"/>
  <c r="AE84" i="15"/>
  <c r="AD84" i="15"/>
  <c r="AC84" i="15"/>
  <c r="AB84" i="15"/>
  <c r="L84" i="15"/>
  <c r="BF84" i="15" s="1"/>
  <c r="K84" i="15"/>
  <c r="J84" i="15"/>
  <c r="H84" i="15"/>
  <c r="BD84" i="15" s="1"/>
  <c r="G84" i="15"/>
  <c r="AL81" i="15"/>
  <c r="AJ81" i="15"/>
  <c r="AH81" i="15"/>
  <c r="AG81" i="15"/>
  <c r="AF81" i="15"/>
  <c r="AC81" i="15"/>
  <c r="AB81" i="15"/>
  <c r="Z81" i="15"/>
  <c r="L81" i="15"/>
  <c r="BF81" i="15" s="1"/>
  <c r="K81" i="15"/>
  <c r="J81" i="15"/>
  <c r="H81" i="15"/>
  <c r="BD81" i="15" s="1"/>
  <c r="G81" i="15"/>
  <c r="AL78" i="15"/>
  <c r="AJ78" i="15"/>
  <c r="AH78" i="15"/>
  <c r="AG78" i="15"/>
  <c r="AF78" i="15"/>
  <c r="AC78" i="15"/>
  <c r="AB78" i="15"/>
  <c r="Z78" i="15"/>
  <c r="L78" i="15"/>
  <c r="BF78" i="15" s="1"/>
  <c r="K78" i="15"/>
  <c r="J78" i="15"/>
  <c r="H78" i="15"/>
  <c r="BD78" i="15" s="1"/>
  <c r="G78" i="15"/>
  <c r="AL75" i="15"/>
  <c r="AJ75" i="15"/>
  <c r="AH75" i="15"/>
  <c r="AG75" i="15"/>
  <c r="AF75" i="15"/>
  <c r="AC75" i="15"/>
  <c r="AB75" i="15"/>
  <c r="Z75" i="15"/>
  <c r="L75" i="15"/>
  <c r="BF75" i="15" s="1"/>
  <c r="K75" i="15"/>
  <c r="J75" i="15"/>
  <c r="H75" i="15"/>
  <c r="BD75" i="15" s="1"/>
  <c r="G75" i="15"/>
  <c r="AL68" i="15"/>
  <c r="AU67" i="15" s="1"/>
  <c r="AJ68" i="15"/>
  <c r="AH68" i="15"/>
  <c r="AG68" i="15"/>
  <c r="AF68" i="15"/>
  <c r="AC68" i="15"/>
  <c r="AB68" i="15"/>
  <c r="Z68" i="15"/>
  <c r="L68" i="15"/>
  <c r="BF68" i="15" s="1"/>
  <c r="K68" i="15"/>
  <c r="J68" i="15"/>
  <c r="H68" i="15"/>
  <c r="BD68" i="15" s="1"/>
  <c r="G68" i="15"/>
  <c r="AS67" i="15"/>
  <c r="L67" i="15"/>
  <c r="BD65" i="15"/>
  <c r="AX65" i="15"/>
  <c r="AP65" i="15"/>
  <c r="BI65" i="15" s="1"/>
  <c r="AE65" i="15" s="1"/>
  <c r="AL65" i="15"/>
  <c r="AJ65" i="15"/>
  <c r="AH65" i="15"/>
  <c r="AG65" i="15"/>
  <c r="AF65" i="15"/>
  <c r="AC65" i="15"/>
  <c r="AB65" i="15"/>
  <c r="Z65" i="15"/>
  <c r="L65" i="15"/>
  <c r="BF65" i="15" s="1"/>
  <c r="K65" i="15"/>
  <c r="J65" i="15"/>
  <c r="I65" i="15"/>
  <c r="AK65" i="15" s="1"/>
  <c r="H65" i="15"/>
  <c r="BJ65" i="15" s="1"/>
  <c r="G65" i="15"/>
  <c r="BI62" i="15"/>
  <c r="AE62" i="15" s="1"/>
  <c r="BD62" i="15"/>
  <c r="AX62" i="15"/>
  <c r="AP62" i="15"/>
  <c r="AL62" i="15"/>
  <c r="AK62" i="15"/>
  <c r="AJ62" i="15"/>
  <c r="AH62" i="15"/>
  <c r="AG62" i="15"/>
  <c r="AF62" i="15"/>
  <c r="AC62" i="15"/>
  <c r="AB62" i="15"/>
  <c r="Z62" i="15"/>
  <c r="L62" i="15"/>
  <c r="BF62" i="15" s="1"/>
  <c r="K62" i="15"/>
  <c r="J62" i="15"/>
  <c r="I62" i="15"/>
  <c r="H62" i="15"/>
  <c r="BJ62" i="15" s="1"/>
  <c r="G62" i="15"/>
  <c r="BI59" i="15"/>
  <c r="AE59" i="15" s="1"/>
  <c r="BD59" i="15"/>
  <c r="AP59" i="15"/>
  <c r="AX59" i="15" s="1"/>
  <c r="AL59" i="15"/>
  <c r="AK59" i="15"/>
  <c r="AJ59" i="15"/>
  <c r="AH59" i="15"/>
  <c r="AG59" i="15"/>
  <c r="AF59" i="15"/>
  <c r="AC59" i="15"/>
  <c r="AB59" i="15"/>
  <c r="Z59" i="15"/>
  <c r="L59" i="15"/>
  <c r="BF59" i="15" s="1"/>
  <c r="K59" i="15"/>
  <c r="J59" i="15"/>
  <c r="I59" i="15"/>
  <c r="H59" i="15"/>
  <c r="BJ59" i="15" s="1"/>
  <c r="G59" i="15"/>
  <c r="AL57" i="15"/>
  <c r="AJ57" i="15"/>
  <c r="AS56" i="15" s="1"/>
  <c r="AH57" i="15"/>
  <c r="AG57" i="15"/>
  <c r="AF57" i="15"/>
  <c r="AC57" i="15"/>
  <c r="AB57" i="15"/>
  <c r="Z57" i="15"/>
  <c r="L57" i="15"/>
  <c r="K57" i="15"/>
  <c r="J57" i="15"/>
  <c r="H57" i="15"/>
  <c r="AP57" i="15" s="1"/>
  <c r="G57" i="15"/>
  <c r="AU56" i="15"/>
  <c r="BJ54" i="15"/>
  <c r="BI54" i="15"/>
  <c r="AE54" i="15" s="1"/>
  <c r="BD54" i="15"/>
  <c r="AP54" i="15"/>
  <c r="AL54" i="15"/>
  <c r="AK54" i="15"/>
  <c r="AJ54" i="15"/>
  <c r="AH54" i="15"/>
  <c r="AG54" i="15"/>
  <c r="AF54" i="15"/>
  <c r="AC54" i="15"/>
  <c r="AB54" i="15"/>
  <c r="Z54" i="15"/>
  <c r="K54" i="15"/>
  <c r="J54" i="15"/>
  <c r="I54" i="15"/>
  <c r="H54" i="15"/>
  <c r="AO54" i="15" s="1"/>
  <c r="AW54" i="15" s="1"/>
  <c r="G54" i="15"/>
  <c r="BJ52" i="15"/>
  <c r="BI52" i="15"/>
  <c r="AE52" i="15" s="1"/>
  <c r="BD52" i="15"/>
  <c r="AP52" i="15"/>
  <c r="AL52" i="15"/>
  <c r="AU49" i="15" s="1"/>
  <c r="AJ52" i="15"/>
  <c r="AH52" i="15"/>
  <c r="AG52" i="15"/>
  <c r="AF52" i="15"/>
  <c r="AC52" i="15"/>
  <c r="AB52" i="15"/>
  <c r="Z52" i="15"/>
  <c r="K52" i="15"/>
  <c r="J52" i="15"/>
  <c r="I52" i="15"/>
  <c r="AK52" i="15" s="1"/>
  <c r="H52" i="15"/>
  <c r="AO52" i="15" s="1"/>
  <c r="G52" i="15"/>
  <c r="BI50" i="15"/>
  <c r="AE50" i="15" s="1"/>
  <c r="BD50" i="15"/>
  <c r="AP50" i="15"/>
  <c r="AL50" i="15"/>
  <c r="AJ50" i="15"/>
  <c r="AH50" i="15"/>
  <c r="AG50" i="15"/>
  <c r="AF50" i="15"/>
  <c r="AC50" i="15"/>
  <c r="AB50" i="15"/>
  <c r="Z50" i="15"/>
  <c r="K50" i="15"/>
  <c r="J50" i="15"/>
  <c r="I50" i="15"/>
  <c r="AK50" i="15" s="1"/>
  <c r="AT49" i="15" s="1"/>
  <c r="H50" i="15"/>
  <c r="AO50" i="15" s="1"/>
  <c r="AW50" i="15" s="1"/>
  <c r="G50" i="15"/>
  <c r="BJ50" i="15" s="1"/>
  <c r="BJ46" i="15"/>
  <c r="AL46" i="15"/>
  <c r="AJ46" i="15"/>
  <c r="AH46" i="15"/>
  <c r="AG46" i="15"/>
  <c r="AF46" i="15"/>
  <c r="AE46" i="15"/>
  <c r="AD46" i="15"/>
  <c r="Z46" i="15"/>
  <c r="K46" i="15"/>
  <c r="J46" i="15"/>
  <c r="H46" i="15"/>
  <c r="AP46" i="15" s="1"/>
  <c r="G46" i="15"/>
  <c r="L46" i="15" s="1"/>
  <c r="AU45" i="15"/>
  <c r="AS45" i="15"/>
  <c r="AL43" i="15"/>
  <c r="AJ43" i="15"/>
  <c r="AH43" i="15"/>
  <c r="AG43" i="15"/>
  <c r="AF43" i="15"/>
  <c r="AE43" i="15"/>
  <c r="AD43" i="15"/>
  <c r="Z43" i="15"/>
  <c r="K43" i="15"/>
  <c r="J43" i="15"/>
  <c r="H43" i="15"/>
  <c r="BD43" i="15" s="1"/>
  <c r="G43" i="15"/>
  <c r="AP41" i="15"/>
  <c r="AL41" i="15"/>
  <c r="AJ41" i="15"/>
  <c r="AH41" i="15"/>
  <c r="AG41" i="15"/>
  <c r="AF41" i="15"/>
  <c r="AE41" i="15"/>
  <c r="AD41" i="15"/>
  <c r="Z41" i="15"/>
  <c r="K41" i="15"/>
  <c r="J41" i="15"/>
  <c r="H41" i="15"/>
  <c r="BD41" i="15" s="1"/>
  <c r="G41" i="15"/>
  <c r="BJ41" i="15" s="1"/>
  <c r="AP39" i="15"/>
  <c r="AO39" i="15"/>
  <c r="AL39" i="15"/>
  <c r="AJ39" i="15"/>
  <c r="AH39" i="15"/>
  <c r="AG39" i="15"/>
  <c r="AF39" i="15"/>
  <c r="AE39" i="15"/>
  <c r="AD39" i="15"/>
  <c r="Z39" i="15"/>
  <c r="K39" i="15"/>
  <c r="J39" i="15"/>
  <c r="H39" i="15"/>
  <c r="BD39" i="15" s="1"/>
  <c r="G39" i="15"/>
  <c r="BJ39" i="15" s="1"/>
  <c r="AO37" i="15"/>
  <c r="AW37" i="15" s="1"/>
  <c r="AL37" i="15"/>
  <c r="AU36" i="15" s="1"/>
  <c r="AJ37" i="15"/>
  <c r="AH37" i="15"/>
  <c r="AG37" i="15"/>
  <c r="AF37" i="15"/>
  <c r="AE37" i="15"/>
  <c r="AD37" i="15"/>
  <c r="Z37" i="15"/>
  <c r="L37" i="15"/>
  <c r="BF37" i="15" s="1"/>
  <c r="K37" i="15"/>
  <c r="J37" i="15"/>
  <c r="H37" i="15"/>
  <c r="BD37" i="15" s="1"/>
  <c r="G37" i="15"/>
  <c r="AS36" i="15"/>
  <c r="BD34" i="15"/>
  <c r="AX34" i="15"/>
  <c r="AP34" i="15"/>
  <c r="AL34" i="15"/>
  <c r="AJ34" i="15"/>
  <c r="AH34" i="15"/>
  <c r="AG34" i="15"/>
  <c r="AF34" i="15"/>
  <c r="AE34" i="15"/>
  <c r="AD34" i="15"/>
  <c r="Z34" i="15"/>
  <c r="K34" i="15"/>
  <c r="J34" i="15"/>
  <c r="I34" i="15"/>
  <c r="AK34" i="15" s="1"/>
  <c r="H34" i="15"/>
  <c r="AO34" i="15" s="1"/>
  <c r="G34" i="15"/>
  <c r="BD31" i="15"/>
  <c r="AP31" i="15"/>
  <c r="AL31" i="15"/>
  <c r="AJ31" i="15"/>
  <c r="AH31" i="15"/>
  <c r="AG31" i="15"/>
  <c r="AF31" i="15"/>
  <c r="AE31" i="15"/>
  <c r="AD31" i="15"/>
  <c r="Z31" i="15"/>
  <c r="K31" i="15"/>
  <c r="J31" i="15"/>
  <c r="H31" i="15"/>
  <c r="AO31" i="15" s="1"/>
  <c r="G31" i="15"/>
  <c r="BI31" i="15" s="1"/>
  <c r="AC31" i="15" s="1"/>
  <c r="BJ29" i="15"/>
  <c r="AP29" i="15"/>
  <c r="BI29" i="15" s="1"/>
  <c r="AC29" i="15" s="1"/>
  <c r="AL29" i="15"/>
  <c r="AU28" i="15" s="1"/>
  <c r="AJ29" i="15"/>
  <c r="AS28" i="15" s="1"/>
  <c r="AH29" i="15"/>
  <c r="AG29" i="15"/>
  <c r="AF29" i="15"/>
  <c r="AE29" i="15"/>
  <c r="AD29" i="15"/>
  <c r="Z29" i="15"/>
  <c r="K29" i="15"/>
  <c r="J29" i="15"/>
  <c r="I29" i="15"/>
  <c r="AK29" i="15" s="1"/>
  <c r="H29" i="15"/>
  <c r="AO29" i="15" s="1"/>
  <c r="AW29" i="15" s="1"/>
  <c r="G29" i="15"/>
  <c r="AX29" i="15" s="1"/>
  <c r="BJ25" i="15"/>
  <c r="BD25" i="15"/>
  <c r="AL25" i="15"/>
  <c r="AJ25" i="15"/>
  <c r="AH25" i="15"/>
  <c r="AG25" i="15"/>
  <c r="AF25" i="15"/>
  <c r="AE25" i="15"/>
  <c r="AD25" i="15"/>
  <c r="Z25" i="15"/>
  <c r="K25" i="15"/>
  <c r="L25" i="15" s="1"/>
  <c r="BF25" i="15" s="1"/>
  <c r="J25" i="15"/>
  <c r="H25" i="15"/>
  <c r="AP25" i="15" s="1"/>
  <c r="AX25" i="15" s="1"/>
  <c r="G25" i="15"/>
  <c r="BI25" i="15" s="1"/>
  <c r="AC25" i="15" s="1"/>
  <c r="AL23" i="15"/>
  <c r="AU19" i="15" s="1"/>
  <c r="AJ23" i="15"/>
  <c r="AH23" i="15"/>
  <c r="AG23" i="15"/>
  <c r="AF23" i="15"/>
  <c r="AE23" i="15"/>
  <c r="AD23" i="15"/>
  <c r="Z23" i="15"/>
  <c r="K23" i="15"/>
  <c r="J23" i="15"/>
  <c r="H23" i="15"/>
  <c r="AP23" i="15" s="1"/>
  <c r="G23" i="15"/>
  <c r="BJ23" i="15" s="1"/>
  <c r="BJ20" i="15"/>
  <c r="BD20" i="15"/>
  <c r="AL20" i="15"/>
  <c r="AJ20" i="15"/>
  <c r="AH20" i="15"/>
  <c r="AG20" i="15"/>
  <c r="AF20" i="15"/>
  <c r="AE20" i="15"/>
  <c r="AD20" i="15"/>
  <c r="Z20" i="15"/>
  <c r="K20" i="15"/>
  <c r="L20" i="15" s="1"/>
  <c r="J20" i="15"/>
  <c r="H20" i="15"/>
  <c r="AP20" i="15" s="1"/>
  <c r="AX20" i="15" s="1"/>
  <c r="G20" i="15"/>
  <c r="BI20" i="15" s="1"/>
  <c r="AC20" i="15" s="1"/>
  <c r="AS19" i="15"/>
  <c r="BD17" i="15"/>
  <c r="AX17" i="15"/>
  <c r="AP17" i="15"/>
  <c r="AL17" i="15"/>
  <c r="AJ17" i="15"/>
  <c r="AH17" i="15"/>
  <c r="AG17" i="15"/>
  <c r="AF17" i="15"/>
  <c r="AE17" i="15"/>
  <c r="AD17" i="15"/>
  <c r="Z17" i="15"/>
  <c r="L17" i="15"/>
  <c r="BF17" i="15" s="1"/>
  <c r="K17" i="15"/>
  <c r="J17" i="15"/>
  <c r="H17" i="15"/>
  <c r="AO17" i="15" s="1"/>
  <c r="G17" i="15"/>
  <c r="AW17" i="15" s="1"/>
  <c r="AL14" i="15"/>
  <c r="AU13" i="15" s="1"/>
  <c r="AJ14" i="15"/>
  <c r="AS13" i="15" s="1"/>
  <c r="AH14" i="15"/>
  <c r="AG14" i="15"/>
  <c r="AF14" i="15"/>
  <c r="AE14" i="15"/>
  <c r="AD14" i="15"/>
  <c r="Z14" i="15"/>
  <c r="K14" i="15"/>
  <c r="J14" i="15"/>
  <c r="H14" i="15"/>
  <c r="AP14" i="15" s="1"/>
  <c r="BI14" i="15" s="1"/>
  <c r="AC14" i="15" s="1"/>
  <c r="G14" i="15"/>
  <c r="K8" i="15"/>
  <c r="H8" i="15"/>
  <c r="D8" i="15"/>
  <c r="K6" i="15"/>
  <c r="H6" i="15"/>
  <c r="D6" i="15"/>
  <c r="K4" i="15"/>
  <c r="D4" i="15"/>
  <c r="K2" i="15"/>
  <c r="H2" i="15"/>
  <c r="D2" i="15"/>
  <c r="AU1" i="15"/>
  <c r="AT1" i="15"/>
  <c r="AS1" i="15"/>
  <c r="F44" i="14"/>
  <c r="I44" i="14" s="1"/>
  <c r="F43" i="14"/>
  <c r="I43" i="14" s="1"/>
  <c r="F42" i="14"/>
  <c r="I42" i="14" s="1"/>
  <c r="F41" i="14"/>
  <c r="I41" i="14" s="1"/>
  <c r="F40" i="14"/>
  <c r="I40" i="14" s="1"/>
  <c r="F39" i="14"/>
  <c r="I39" i="14" s="1"/>
  <c r="F38" i="14"/>
  <c r="I38" i="14" s="1"/>
  <c r="F37" i="14"/>
  <c r="I37" i="14" s="1"/>
  <c r="F36" i="14"/>
  <c r="I36" i="14" s="1"/>
  <c r="F35" i="14"/>
  <c r="I35" i="14" s="1"/>
  <c r="I26" i="14"/>
  <c r="I25" i="14"/>
  <c r="I18" i="13" s="1"/>
  <c r="I24" i="14"/>
  <c r="I17" i="13" s="1"/>
  <c r="I23" i="14"/>
  <c r="I27" i="14" s="1"/>
  <c r="I22" i="14"/>
  <c r="I21" i="14"/>
  <c r="I14" i="13" s="1"/>
  <c r="I17" i="14"/>
  <c r="I16" i="14"/>
  <c r="F15" i="13" s="1"/>
  <c r="I15" i="14"/>
  <c r="I10" i="14"/>
  <c r="F10" i="14"/>
  <c r="C10" i="14"/>
  <c r="F8" i="14"/>
  <c r="C8" i="14"/>
  <c r="F6" i="14"/>
  <c r="C6" i="14"/>
  <c r="F4" i="14"/>
  <c r="C4" i="14"/>
  <c r="F2" i="14"/>
  <c r="C2" i="14"/>
  <c r="C27" i="13"/>
  <c r="F27" i="13" s="1"/>
  <c r="C25" i="13"/>
  <c r="C20" i="13"/>
  <c r="I19" i="13"/>
  <c r="C19" i="13"/>
  <c r="C18" i="13"/>
  <c r="F16" i="13"/>
  <c r="I15" i="13"/>
  <c r="F14" i="13"/>
  <c r="I10" i="13"/>
  <c r="F10" i="13"/>
  <c r="C10" i="13"/>
  <c r="F8" i="13"/>
  <c r="F6" i="13"/>
  <c r="C6" i="13"/>
  <c r="F4" i="13"/>
  <c r="C4" i="13"/>
  <c r="F2" i="13"/>
  <c r="C2" i="13"/>
  <c r="BI173" i="12"/>
  <c r="BD173" i="12"/>
  <c r="AW173" i="12"/>
  <c r="AP173" i="12"/>
  <c r="AL173" i="12"/>
  <c r="AK173" i="12"/>
  <c r="AJ173" i="12"/>
  <c r="AH173" i="12"/>
  <c r="AG173" i="12"/>
  <c r="AF173" i="12"/>
  <c r="AE173" i="12"/>
  <c r="AD173" i="12"/>
  <c r="AC173" i="12"/>
  <c r="AB173" i="12"/>
  <c r="L173" i="12"/>
  <c r="BF173" i="12" s="1"/>
  <c r="K173" i="12"/>
  <c r="J173" i="12"/>
  <c r="I173" i="12"/>
  <c r="H173" i="12"/>
  <c r="AO173" i="12" s="1"/>
  <c r="G173" i="12"/>
  <c r="AX173" i="12" s="1"/>
  <c r="BJ171" i="12"/>
  <c r="BI171" i="12"/>
  <c r="BH171" i="12"/>
  <c r="AP171" i="12"/>
  <c r="AO171" i="12"/>
  <c r="AW171" i="12" s="1"/>
  <c r="AL171" i="12"/>
  <c r="AJ171" i="12"/>
  <c r="AH171" i="12"/>
  <c r="AG171" i="12"/>
  <c r="AF171" i="12"/>
  <c r="AE171" i="12"/>
  <c r="AD171" i="12"/>
  <c r="AC171" i="12"/>
  <c r="AB171" i="12"/>
  <c r="Z171" i="12"/>
  <c r="K171" i="12"/>
  <c r="J171" i="12"/>
  <c r="I171" i="12"/>
  <c r="AK171" i="12" s="1"/>
  <c r="H171" i="12"/>
  <c r="BD171" i="12" s="1"/>
  <c r="G171" i="12"/>
  <c r="BI169" i="12"/>
  <c r="BD169" i="12"/>
  <c r="AW169" i="12"/>
  <c r="AP169" i="12"/>
  <c r="AL169" i="12"/>
  <c r="AK169" i="12"/>
  <c r="AJ169" i="12"/>
  <c r="AH169" i="12"/>
  <c r="AG169" i="12"/>
  <c r="AF169" i="12"/>
  <c r="AE169" i="12"/>
  <c r="AD169" i="12"/>
  <c r="AC169" i="12"/>
  <c r="AB169" i="12"/>
  <c r="L169" i="12"/>
  <c r="BF169" i="12" s="1"/>
  <c r="K169" i="12"/>
  <c r="J169" i="12"/>
  <c r="I169" i="12"/>
  <c r="H169" i="12"/>
  <c r="AO169" i="12" s="1"/>
  <c r="G169" i="12"/>
  <c r="AX169" i="12" s="1"/>
  <c r="BJ167" i="12"/>
  <c r="BI167" i="12"/>
  <c r="BH167" i="12"/>
  <c r="AP167" i="12"/>
  <c r="AO167" i="12"/>
  <c r="AW167" i="12" s="1"/>
  <c r="AL167" i="12"/>
  <c r="AJ167" i="12"/>
  <c r="AH167" i="12"/>
  <c r="AG167" i="12"/>
  <c r="AF167" i="12"/>
  <c r="AE167" i="12"/>
  <c r="AD167" i="12"/>
  <c r="AC167" i="12"/>
  <c r="AB167" i="12"/>
  <c r="Z167" i="12"/>
  <c r="K167" i="12"/>
  <c r="J167" i="12"/>
  <c r="I167" i="12"/>
  <c r="AK167" i="12" s="1"/>
  <c r="H167" i="12"/>
  <c r="BD167" i="12" s="1"/>
  <c r="G167" i="12"/>
  <c r="BI165" i="12"/>
  <c r="BD165" i="12"/>
  <c r="AW165" i="12"/>
  <c r="AP165" i="12"/>
  <c r="AL165" i="12"/>
  <c r="AK165" i="12"/>
  <c r="AJ165" i="12"/>
  <c r="AH165" i="12"/>
  <c r="AG165" i="12"/>
  <c r="AF165" i="12"/>
  <c r="AE165" i="12"/>
  <c r="AD165" i="12"/>
  <c r="AC165" i="12"/>
  <c r="AB165" i="12"/>
  <c r="L165" i="12"/>
  <c r="BF165" i="12" s="1"/>
  <c r="K165" i="12"/>
  <c r="J165" i="12"/>
  <c r="I165" i="12"/>
  <c r="H165" i="12"/>
  <c r="AO165" i="12" s="1"/>
  <c r="G165" i="12"/>
  <c r="AX165" i="12" s="1"/>
  <c r="BJ163" i="12"/>
  <c r="BI163" i="12"/>
  <c r="BH163" i="12"/>
  <c r="AP163" i="12"/>
  <c r="AO163" i="12"/>
  <c r="AW163" i="12" s="1"/>
  <c r="AL163" i="12"/>
  <c r="AJ163" i="12"/>
  <c r="AH163" i="12"/>
  <c r="AG163" i="12"/>
  <c r="AF163" i="12"/>
  <c r="AE163" i="12"/>
  <c r="AD163" i="12"/>
  <c r="AC163" i="12"/>
  <c r="AB163" i="12"/>
  <c r="Z163" i="12"/>
  <c r="K163" i="12"/>
  <c r="J163" i="12"/>
  <c r="I163" i="12"/>
  <c r="AK163" i="12" s="1"/>
  <c r="H163" i="12"/>
  <c r="BD163" i="12" s="1"/>
  <c r="G163" i="12"/>
  <c r="BI161" i="12"/>
  <c r="BD161" i="12"/>
  <c r="AW161" i="12"/>
  <c r="AP161" i="12"/>
  <c r="AL161" i="12"/>
  <c r="AK161" i="12"/>
  <c r="AJ161" i="12"/>
  <c r="AH161" i="12"/>
  <c r="AG161" i="12"/>
  <c r="AF161" i="12"/>
  <c r="AE161" i="12"/>
  <c r="AD161" i="12"/>
  <c r="AC161" i="12"/>
  <c r="AB161" i="12"/>
  <c r="L161" i="12"/>
  <c r="BF161" i="12" s="1"/>
  <c r="K161" i="12"/>
  <c r="J161" i="12"/>
  <c r="I161" i="12"/>
  <c r="H161" i="12"/>
  <c r="AO161" i="12" s="1"/>
  <c r="G161" i="12"/>
  <c r="AX161" i="12" s="1"/>
  <c r="BJ159" i="12"/>
  <c r="BI159" i="12"/>
  <c r="BH159" i="12"/>
  <c r="AP159" i="12"/>
  <c r="AO159" i="12"/>
  <c r="AW159" i="12" s="1"/>
  <c r="AL159" i="12"/>
  <c r="AU158" i="12" s="1"/>
  <c r="AJ159" i="12"/>
  <c r="AS158" i="12" s="1"/>
  <c r="AH159" i="12"/>
  <c r="AG159" i="12"/>
  <c r="AF159" i="12"/>
  <c r="AE159" i="12"/>
  <c r="AD159" i="12"/>
  <c r="AC159" i="12"/>
  <c r="AB159" i="12"/>
  <c r="Z159" i="12"/>
  <c r="K159" i="12"/>
  <c r="J159" i="12"/>
  <c r="I159" i="12"/>
  <c r="AK159" i="12" s="1"/>
  <c r="H159" i="12"/>
  <c r="BD159" i="12" s="1"/>
  <c r="G159" i="12"/>
  <c r="AT158" i="12"/>
  <c r="I158" i="12"/>
  <c r="AL157" i="12"/>
  <c r="AJ157" i="12"/>
  <c r="AH157" i="12"/>
  <c r="AG157" i="12"/>
  <c r="AF157" i="12"/>
  <c r="AE157" i="12"/>
  <c r="AD157" i="12"/>
  <c r="AC157" i="12"/>
  <c r="AB157" i="12"/>
  <c r="K157" i="12"/>
  <c r="L157" i="12" s="1"/>
  <c r="J157" i="12"/>
  <c r="H157" i="12"/>
  <c r="I157" i="12" s="1"/>
  <c r="G157" i="12"/>
  <c r="AU156" i="12"/>
  <c r="AS156" i="12"/>
  <c r="BJ154" i="12"/>
  <c r="BI154" i="12"/>
  <c r="AC154" i="12" s="1"/>
  <c r="AP154" i="12"/>
  <c r="AX154" i="12" s="1"/>
  <c r="AL154" i="12"/>
  <c r="AU153" i="12" s="1"/>
  <c r="AJ154" i="12"/>
  <c r="AS153" i="12" s="1"/>
  <c r="AH154" i="12"/>
  <c r="AG154" i="12"/>
  <c r="AF154" i="12"/>
  <c r="AE154" i="12"/>
  <c r="AD154" i="12"/>
  <c r="Z154" i="12"/>
  <c r="K154" i="12"/>
  <c r="L154" i="12" s="1"/>
  <c r="J154" i="12"/>
  <c r="I154" i="12"/>
  <c r="AK154" i="12" s="1"/>
  <c r="H154" i="12"/>
  <c r="AO154" i="12" s="1"/>
  <c r="AW154" i="12" s="1"/>
  <c r="G154" i="12"/>
  <c r="AT153" i="12"/>
  <c r="I153" i="12"/>
  <c r="AO150" i="12"/>
  <c r="AW150" i="12" s="1"/>
  <c r="AL150" i="12"/>
  <c r="AJ150" i="12"/>
  <c r="AH150" i="12"/>
  <c r="AG150" i="12"/>
  <c r="AF150" i="12"/>
  <c r="AE150" i="12"/>
  <c r="AD150" i="12"/>
  <c r="Z150" i="12"/>
  <c r="L150" i="12"/>
  <c r="BF150" i="12" s="1"/>
  <c r="K150" i="12"/>
  <c r="J150" i="12"/>
  <c r="H150" i="12"/>
  <c r="AP150" i="12" s="1"/>
  <c r="AX150" i="12" s="1"/>
  <c r="G150" i="12"/>
  <c r="BI150" i="12" s="1"/>
  <c r="AC150" i="12" s="1"/>
  <c r="AL148" i="12"/>
  <c r="AJ148" i="12"/>
  <c r="AH148" i="12"/>
  <c r="AG148" i="12"/>
  <c r="AF148" i="12"/>
  <c r="AE148" i="12"/>
  <c r="AD148" i="12"/>
  <c r="Z148" i="12"/>
  <c r="K148" i="12"/>
  <c r="J148" i="12"/>
  <c r="H148" i="12"/>
  <c r="AP148" i="12" s="1"/>
  <c r="G148" i="12"/>
  <c r="AL146" i="12"/>
  <c r="AJ146" i="12"/>
  <c r="AH146" i="12"/>
  <c r="AG146" i="12"/>
  <c r="AF146" i="12"/>
  <c r="AE146" i="12"/>
  <c r="AD146" i="12"/>
  <c r="Z146" i="12"/>
  <c r="K146" i="12"/>
  <c r="L146" i="12" s="1"/>
  <c r="BF146" i="12" s="1"/>
  <c r="J146" i="12"/>
  <c r="H146" i="12"/>
  <c r="AP146" i="12" s="1"/>
  <c r="AX146" i="12" s="1"/>
  <c r="G146" i="12"/>
  <c r="BI146" i="12" s="1"/>
  <c r="AC146" i="12" s="1"/>
  <c r="AP144" i="12"/>
  <c r="AX144" i="12" s="1"/>
  <c r="AL144" i="12"/>
  <c r="AJ144" i="12"/>
  <c r="AH144" i="12"/>
  <c r="AG144" i="12"/>
  <c r="AF144" i="12"/>
  <c r="AE144" i="12"/>
  <c r="AD144" i="12"/>
  <c r="Z144" i="12"/>
  <c r="L144" i="12"/>
  <c r="BF144" i="12" s="1"/>
  <c r="K144" i="12"/>
  <c r="J144" i="12"/>
  <c r="I144" i="12"/>
  <c r="AK144" i="12" s="1"/>
  <c r="H144" i="12"/>
  <c r="BD144" i="12" s="1"/>
  <c r="G144" i="12"/>
  <c r="AL142" i="12"/>
  <c r="AJ142" i="12"/>
  <c r="AH142" i="12"/>
  <c r="AG142" i="12"/>
  <c r="AF142" i="12"/>
  <c r="AE142" i="12"/>
  <c r="AD142" i="12"/>
  <c r="Z142" i="12"/>
  <c r="K142" i="12"/>
  <c r="L142" i="12" s="1"/>
  <c r="BF142" i="12" s="1"/>
  <c r="J142" i="12"/>
  <c r="H142" i="12"/>
  <c r="AP142" i="12" s="1"/>
  <c r="AX142" i="12" s="1"/>
  <c r="G142" i="12"/>
  <c r="BD140" i="12"/>
  <c r="AX140" i="12"/>
  <c r="AP140" i="12"/>
  <c r="AL140" i="12"/>
  <c r="AJ140" i="12"/>
  <c r="AH140" i="12"/>
  <c r="AG140" i="12"/>
  <c r="AF140" i="12"/>
  <c r="AE140" i="12"/>
  <c r="AD140" i="12"/>
  <c r="Z140" i="12"/>
  <c r="L140" i="12"/>
  <c r="BF140" i="12" s="1"/>
  <c r="K140" i="12"/>
  <c r="J140" i="12"/>
  <c r="H140" i="12"/>
  <c r="AO140" i="12" s="1"/>
  <c r="G140" i="12"/>
  <c r="BH140" i="12" s="1"/>
  <c r="AB140" i="12" s="1"/>
  <c r="BD138" i="12"/>
  <c r="AX138" i="12"/>
  <c r="AO138" i="12"/>
  <c r="BH138" i="12" s="1"/>
  <c r="AB138" i="12" s="1"/>
  <c r="AL138" i="12"/>
  <c r="AJ138" i="12"/>
  <c r="AS137" i="12" s="1"/>
  <c r="AH138" i="12"/>
  <c r="AG138" i="12"/>
  <c r="AF138" i="12"/>
  <c r="AE138" i="12"/>
  <c r="AD138" i="12"/>
  <c r="Z138" i="12"/>
  <c r="K138" i="12"/>
  <c r="L138" i="12" s="1"/>
  <c r="J138" i="12"/>
  <c r="H138" i="12"/>
  <c r="AP138" i="12" s="1"/>
  <c r="G138" i="12"/>
  <c r="AU137" i="12"/>
  <c r="BI134" i="12"/>
  <c r="AC134" i="12" s="1"/>
  <c r="BD134" i="12"/>
  <c r="AP134" i="12"/>
  <c r="AL134" i="12"/>
  <c r="AJ134" i="12"/>
  <c r="AS133" i="12" s="1"/>
  <c r="AH134" i="12"/>
  <c r="AG134" i="12"/>
  <c r="AF134" i="12"/>
  <c r="AE134" i="12"/>
  <c r="AD134" i="12"/>
  <c r="Z134" i="12"/>
  <c r="K134" i="12"/>
  <c r="J134" i="12"/>
  <c r="H134" i="12"/>
  <c r="AO134" i="12" s="1"/>
  <c r="G134" i="12"/>
  <c r="L134" i="12" s="1"/>
  <c r="AU133" i="12"/>
  <c r="BD131" i="12"/>
  <c r="AO131" i="12"/>
  <c r="AL131" i="12"/>
  <c r="AJ131" i="12"/>
  <c r="AH131" i="12"/>
  <c r="AG131" i="12"/>
  <c r="AF131" i="12"/>
  <c r="AE131" i="12"/>
  <c r="AD131" i="12"/>
  <c r="Z131" i="12"/>
  <c r="L131" i="12"/>
  <c r="BF131" i="12" s="1"/>
  <c r="K131" i="12"/>
  <c r="J131" i="12"/>
  <c r="H131" i="12"/>
  <c r="AP131" i="12" s="1"/>
  <c r="G131" i="12"/>
  <c r="BJ131" i="12" s="1"/>
  <c r="BD129" i="12"/>
  <c r="AL129" i="12"/>
  <c r="AJ129" i="12"/>
  <c r="AH129" i="12"/>
  <c r="AG129" i="12"/>
  <c r="AF129" i="12"/>
  <c r="AE129" i="12"/>
  <c r="AD129" i="12"/>
  <c r="Z129" i="12"/>
  <c r="K129" i="12"/>
  <c r="L129" i="12" s="1"/>
  <c r="J129" i="12"/>
  <c r="H129" i="12"/>
  <c r="I129" i="12" s="1"/>
  <c r="G129" i="12"/>
  <c r="AU128" i="12"/>
  <c r="AS128" i="12"/>
  <c r="AP125" i="12"/>
  <c r="AL125" i="12"/>
  <c r="AJ125" i="12"/>
  <c r="AH125" i="12"/>
  <c r="AG125" i="12"/>
  <c r="AF125" i="12"/>
  <c r="AE125" i="12"/>
  <c r="AD125" i="12"/>
  <c r="Z125" i="12"/>
  <c r="K125" i="12"/>
  <c r="J125" i="12"/>
  <c r="H125" i="12"/>
  <c r="AO125" i="12" s="1"/>
  <c r="G125" i="12"/>
  <c r="BH125" i="12" s="1"/>
  <c r="AB125" i="12" s="1"/>
  <c r="AO122" i="12"/>
  <c r="AL122" i="12"/>
  <c r="AJ122" i="12"/>
  <c r="AH122" i="12"/>
  <c r="AG122" i="12"/>
  <c r="AF122" i="12"/>
  <c r="AE122" i="12"/>
  <c r="AD122" i="12"/>
  <c r="Z122" i="12"/>
  <c r="K122" i="12"/>
  <c r="J122" i="12"/>
  <c r="H122" i="12"/>
  <c r="AP122" i="12" s="1"/>
  <c r="G122" i="12"/>
  <c r="BI122" i="12" s="1"/>
  <c r="AC122" i="12" s="1"/>
  <c r="BJ119" i="12"/>
  <c r="AP119" i="12"/>
  <c r="AL119" i="12"/>
  <c r="AU118" i="12" s="1"/>
  <c r="AJ119" i="12"/>
  <c r="AH119" i="12"/>
  <c r="AG119" i="12"/>
  <c r="AF119" i="12"/>
  <c r="AE119" i="12"/>
  <c r="AD119" i="12"/>
  <c r="Z119" i="12"/>
  <c r="K119" i="12"/>
  <c r="J119" i="12"/>
  <c r="H119" i="12"/>
  <c r="AO119" i="12" s="1"/>
  <c r="G119" i="12"/>
  <c r="BH119" i="12" s="1"/>
  <c r="AB119" i="12" s="1"/>
  <c r="AS118" i="12"/>
  <c r="AL115" i="12"/>
  <c r="AJ115" i="12"/>
  <c r="AS114" i="12" s="1"/>
  <c r="AH115" i="12"/>
  <c r="AG115" i="12"/>
  <c r="AF115" i="12"/>
  <c r="AC115" i="12"/>
  <c r="AB115" i="12"/>
  <c r="Z115" i="12"/>
  <c r="K115" i="12"/>
  <c r="L115" i="12" s="1"/>
  <c r="J115" i="12"/>
  <c r="H115" i="12"/>
  <c r="AP115" i="12" s="1"/>
  <c r="AX115" i="12" s="1"/>
  <c r="G115" i="12"/>
  <c r="AU114" i="12"/>
  <c r="BI111" i="12"/>
  <c r="AE111" i="12" s="1"/>
  <c r="BD111" i="12"/>
  <c r="AX111" i="12"/>
  <c r="AP111" i="12"/>
  <c r="AL111" i="12"/>
  <c r="AK111" i="12"/>
  <c r="AT104" i="12" s="1"/>
  <c r="AJ111" i="12"/>
  <c r="AH111" i="12"/>
  <c r="AG111" i="12"/>
  <c r="AF111" i="12"/>
  <c r="AC111" i="12"/>
  <c r="AB111" i="12"/>
  <c r="Z111" i="12"/>
  <c r="L111" i="12"/>
  <c r="BF111" i="12" s="1"/>
  <c r="K111" i="12"/>
  <c r="J111" i="12"/>
  <c r="I111" i="12"/>
  <c r="H111" i="12"/>
  <c r="AO111" i="12" s="1"/>
  <c r="G111" i="12"/>
  <c r="AW111" i="12" s="1"/>
  <c r="BJ108" i="12"/>
  <c r="BI108" i="12"/>
  <c r="AE108" i="12" s="1"/>
  <c r="BH108" i="12"/>
  <c r="AD108" i="12" s="1"/>
  <c r="AP108" i="12"/>
  <c r="AO108" i="12"/>
  <c r="AW108" i="12" s="1"/>
  <c r="AL108" i="12"/>
  <c r="AU104" i="12" s="1"/>
  <c r="AJ108" i="12"/>
  <c r="AH108" i="12"/>
  <c r="AG108" i="12"/>
  <c r="AF108" i="12"/>
  <c r="AC108" i="12"/>
  <c r="AB108" i="12"/>
  <c r="Z108" i="12"/>
  <c r="K108" i="12"/>
  <c r="J108" i="12"/>
  <c r="I108" i="12"/>
  <c r="AK108" i="12" s="1"/>
  <c r="H108" i="12"/>
  <c r="BD108" i="12" s="1"/>
  <c r="G108" i="12"/>
  <c r="BI105" i="12"/>
  <c r="AE105" i="12" s="1"/>
  <c r="BD105" i="12"/>
  <c r="AX105" i="12"/>
  <c r="AP105" i="12"/>
  <c r="AL105" i="12"/>
  <c r="AK105" i="12"/>
  <c r="AJ105" i="12"/>
  <c r="AH105" i="12"/>
  <c r="AG105" i="12"/>
  <c r="AF105" i="12"/>
  <c r="AC105" i="12"/>
  <c r="AB105" i="12"/>
  <c r="Z105" i="12"/>
  <c r="K105" i="12"/>
  <c r="L105" i="12" s="1"/>
  <c r="J105" i="12"/>
  <c r="I105" i="12"/>
  <c r="H105" i="12"/>
  <c r="AO105" i="12" s="1"/>
  <c r="AW105" i="12" s="1"/>
  <c r="G105" i="12"/>
  <c r="AS104" i="12"/>
  <c r="AO101" i="12"/>
  <c r="AL101" i="12"/>
  <c r="AJ101" i="12"/>
  <c r="AH101" i="12"/>
  <c r="AG101" i="12"/>
  <c r="AF101" i="12"/>
  <c r="AC101" i="12"/>
  <c r="AB101" i="12"/>
  <c r="Z101" i="12"/>
  <c r="K101" i="12"/>
  <c r="J101" i="12"/>
  <c r="H101" i="12"/>
  <c r="AP101" i="12" s="1"/>
  <c r="G101" i="12"/>
  <c r="BJ101" i="12" s="1"/>
  <c r="AL98" i="12"/>
  <c r="AJ98" i="12"/>
  <c r="AH98" i="12"/>
  <c r="AG98" i="12"/>
  <c r="AF98" i="12"/>
  <c r="AC98" i="12"/>
  <c r="AB98" i="12"/>
  <c r="Z98" i="12"/>
  <c r="K98" i="12"/>
  <c r="L98" i="12" s="1"/>
  <c r="BF98" i="12" s="1"/>
  <c r="J98" i="12"/>
  <c r="H98" i="12"/>
  <c r="AP98" i="12" s="1"/>
  <c r="G98" i="12"/>
  <c r="AL95" i="12"/>
  <c r="AJ95" i="12"/>
  <c r="AH95" i="12"/>
  <c r="AG95" i="12"/>
  <c r="AF95" i="12"/>
  <c r="AC95" i="12"/>
  <c r="AB95" i="12"/>
  <c r="Z95" i="12"/>
  <c r="K95" i="12"/>
  <c r="J95" i="12"/>
  <c r="H95" i="12"/>
  <c r="AP95" i="12" s="1"/>
  <c r="G95" i="12"/>
  <c r="BJ95" i="12" s="1"/>
  <c r="AP92" i="12"/>
  <c r="AX92" i="12" s="1"/>
  <c r="AL92" i="12"/>
  <c r="AJ92" i="12"/>
  <c r="AH92" i="12"/>
  <c r="AG92" i="12"/>
  <c r="AF92" i="12"/>
  <c r="AC92" i="12"/>
  <c r="AB92" i="12"/>
  <c r="Z92" i="12"/>
  <c r="K92" i="12"/>
  <c r="L92" i="12" s="1"/>
  <c r="BF92" i="12" s="1"/>
  <c r="J92" i="12"/>
  <c r="I92" i="12"/>
  <c r="AK92" i="12" s="1"/>
  <c r="H92" i="12"/>
  <c r="BJ92" i="12" s="1"/>
  <c r="G92" i="12"/>
  <c r="AL89" i="12"/>
  <c r="AU88" i="12" s="1"/>
  <c r="AJ89" i="12"/>
  <c r="AS88" i="12" s="1"/>
  <c r="AH89" i="12"/>
  <c r="AG89" i="12"/>
  <c r="AF89" i="12"/>
  <c r="AC89" i="12"/>
  <c r="AB89" i="12"/>
  <c r="Z89" i="12"/>
  <c r="K89" i="12"/>
  <c r="J89" i="12"/>
  <c r="H89" i="12"/>
  <c r="G89" i="12"/>
  <c r="BH86" i="12"/>
  <c r="AD86" i="12" s="1"/>
  <c r="BD86" i="12"/>
  <c r="AW86" i="12"/>
  <c r="AO86" i="12"/>
  <c r="AL86" i="12"/>
  <c r="AK86" i="12"/>
  <c r="AT85" i="12" s="1"/>
  <c r="AJ86" i="12"/>
  <c r="AS85" i="12" s="1"/>
  <c r="AH86" i="12"/>
  <c r="AG86" i="12"/>
  <c r="AF86" i="12"/>
  <c r="AC86" i="12"/>
  <c r="AB86" i="12"/>
  <c r="Z86" i="12"/>
  <c r="K86" i="12"/>
  <c r="J86" i="12"/>
  <c r="I86" i="12"/>
  <c r="I85" i="12" s="1"/>
  <c r="H86" i="12"/>
  <c r="AP86" i="12" s="1"/>
  <c r="BI86" i="12" s="1"/>
  <c r="AE86" i="12" s="1"/>
  <c r="G86" i="12"/>
  <c r="AU85" i="12"/>
  <c r="AP84" i="12"/>
  <c r="AX84" i="12" s="1"/>
  <c r="AL84" i="12"/>
  <c r="AJ84" i="12"/>
  <c r="AH84" i="12"/>
  <c r="AG84" i="12"/>
  <c r="AF84" i="12"/>
  <c r="AE84" i="12"/>
  <c r="AD84" i="12"/>
  <c r="AC84" i="12"/>
  <c r="AB84" i="12"/>
  <c r="K84" i="12"/>
  <c r="L84" i="12" s="1"/>
  <c r="BF84" i="12" s="1"/>
  <c r="J84" i="12"/>
  <c r="I84" i="12"/>
  <c r="AK84" i="12" s="1"/>
  <c r="H84" i="12"/>
  <c r="BD84" i="12" s="1"/>
  <c r="G84" i="12"/>
  <c r="BD81" i="12"/>
  <c r="AL81" i="12"/>
  <c r="AJ81" i="12"/>
  <c r="AH81" i="12"/>
  <c r="AG81" i="12"/>
  <c r="AF81" i="12"/>
  <c r="AC81" i="12"/>
  <c r="AB81" i="12"/>
  <c r="Z81" i="12"/>
  <c r="K81" i="12"/>
  <c r="J81" i="12"/>
  <c r="H81" i="12"/>
  <c r="AO81" i="12" s="1"/>
  <c r="G81" i="12"/>
  <c r="BH81" i="12" s="1"/>
  <c r="AD81" i="12" s="1"/>
  <c r="BJ78" i="12"/>
  <c r="BI78" i="12"/>
  <c r="AE78" i="12" s="1"/>
  <c r="BD78" i="12"/>
  <c r="AP78" i="12"/>
  <c r="AX78" i="12" s="1"/>
  <c r="AL78" i="12"/>
  <c r="AJ78" i="12"/>
  <c r="AH78" i="12"/>
  <c r="AG78" i="12"/>
  <c r="AF78" i="12"/>
  <c r="AC78" i="12"/>
  <c r="AB78" i="12"/>
  <c r="Z78" i="12"/>
  <c r="K78" i="12"/>
  <c r="L78" i="12" s="1"/>
  <c r="BF78" i="12" s="1"/>
  <c r="J78" i="12"/>
  <c r="I78" i="12"/>
  <c r="AK78" i="12" s="1"/>
  <c r="H78" i="12"/>
  <c r="AO78" i="12" s="1"/>
  <c r="G78" i="12"/>
  <c r="BD75" i="12"/>
  <c r="AL75" i="12"/>
  <c r="AJ75" i="12"/>
  <c r="AS67" i="12" s="1"/>
  <c r="AH75" i="12"/>
  <c r="AG75" i="12"/>
  <c r="AF75" i="12"/>
  <c r="AC75" i="12"/>
  <c r="AB75" i="12"/>
  <c r="Z75" i="12"/>
  <c r="K75" i="12"/>
  <c r="J75" i="12"/>
  <c r="H75" i="12"/>
  <c r="AO75" i="12" s="1"/>
  <c r="G75" i="12"/>
  <c r="BJ68" i="12"/>
  <c r="BD68" i="12"/>
  <c r="AP68" i="12"/>
  <c r="AX68" i="12" s="1"/>
  <c r="AL68" i="12"/>
  <c r="AK68" i="12"/>
  <c r="AJ68" i="12"/>
  <c r="AH68" i="12"/>
  <c r="AG68" i="12"/>
  <c r="AF68" i="12"/>
  <c r="AC68" i="12"/>
  <c r="AB68" i="12"/>
  <c r="Z68" i="12"/>
  <c r="K68" i="12"/>
  <c r="L68" i="12" s="1"/>
  <c r="BF68" i="12" s="1"/>
  <c r="J68" i="12"/>
  <c r="I68" i="12"/>
  <c r="H68" i="12"/>
  <c r="AO68" i="12" s="1"/>
  <c r="BH68" i="12" s="1"/>
  <c r="AD68" i="12" s="1"/>
  <c r="G68" i="12"/>
  <c r="AU67" i="12"/>
  <c r="AW65" i="12"/>
  <c r="AP65" i="12"/>
  <c r="AL65" i="12"/>
  <c r="AJ65" i="12"/>
  <c r="AH65" i="12"/>
  <c r="AG65" i="12"/>
  <c r="AF65" i="12"/>
  <c r="AC65" i="12"/>
  <c r="AB65" i="12"/>
  <c r="Z65" i="12"/>
  <c r="K65" i="12"/>
  <c r="J65" i="12"/>
  <c r="H65" i="12"/>
  <c r="AO65" i="12" s="1"/>
  <c r="G65" i="12"/>
  <c r="BD62" i="12"/>
  <c r="AO62" i="12"/>
  <c r="BH62" i="12" s="1"/>
  <c r="AD62" i="12" s="1"/>
  <c r="AL62" i="12"/>
  <c r="AJ62" i="12"/>
  <c r="AH62" i="12"/>
  <c r="AG62" i="12"/>
  <c r="AF62" i="12"/>
  <c r="AC62" i="12"/>
  <c r="AB62" i="12"/>
  <c r="Z62" i="12"/>
  <c r="K62" i="12"/>
  <c r="J62" i="12"/>
  <c r="H62" i="12"/>
  <c r="AP62" i="12" s="1"/>
  <c r="G62" i="12"/>
  <c r="AW62" i="12" s="1"/>
  <c r="AP59" i="12"/>
  <c r="AL59" i="12"/>
  <c r="AJ59" i="12"/>
  <c r="AH59" i="12"/>
  <c r="AG59" i="12"/>
  <c r="AF59" i="12"/>
  <c r="AC59" i="12"/>
  <c r="AB59" i="12"/>
  <c r="Z59" i="12"/>
  <c r="K59" i="12"/>
  <c r="J59" i="12"/>
  <c r="H59" i="12"/>
  <c r="AO59" i="12" s="1"/>
  <c r="AW59" i="12" s="1"/>
  <c r="G59" i="12"/>
  <c r="L59" i="12" s="1"/>
  <c r="BF59" i="12" s="1"/>
  <c r="BD57" i="12"/>
  <c r="AO57" i="12"/>
  <c r="AL57" i="12"/>
  <c r="AJ57" i="12"/>
  <c r="AS56" i="12" s="1"/>
  <c r="AH57" i="12"/>
  <c r="AG57" i="12"/>
  <c r="AF57" i="12"/>
  <c r="AC57" i="12"/>
  <c r="AB57" i="12"/>
  <c r="Z57" i="12"/>
  <c r="K57" i="12"/>
  <c r="J57" i="12"/>
  <c r="H57" i="12"/>
  <c r="AP57" i="12" s="1"/>
  <c r="G57" i="12"/>
  <c r="AW57" i="12" s="1"/>
  <c r="AU56" i="12"/>
  <c r="BH54" i="12"/>
  <c r="AD54" i="12" s="1"/>
  <c r="AO54" i="12"/>
  <c r="AL54" i="12"/>
  <c r="AJ54" i="12"/>
  <c r="AH54" i="12"/>
  <c r="AG54" i="12"/>
  <c r="AF54" i="12"/>
  <c r="AC54" i="12"/>
  <c r="AB54" i="12"/>
  <c r="Z54" i="12"/>
  <c r="K54" i="12"/>
  <c r="J54" i="12"/>
  <c r="H54" i="12"/>
  <c r="BD54" i="12" s="1"/>
  <c r="G54" i="12"/>
  <c r="AL52" i="12"/>
  <c r="AJ52" i="12"/>
  <c r="AH52" i="12"/>
  <c r="AG52" i="12"/>
  <c r="AF52" i="12"/>
  <c r="AC52" i="12"/>
  <c r="AB52" i="12"/>
  <c r="Z52" i="12"/>
  <c r="K52" i="12"/>
  <c r="L52" i="12" s="1"/>
  <c r="BF52" i="12" s="1"/>
  <c r="J52" i="12"/>
  <c r="H52" i="12"/>
  <c r="AO52" i="12" s="1"/>
  <c r="G52" i="12"/>
  <c r="AL50" i="12"/>
  <c r="AU49" i="12" s="1"/>
  <c r="AJ50" i="12"/>
  <c r="AH50" i="12"/>
  <c r="AG50" i="12"/>
  <c r="AF50" i="12"/>
  <c r="AC50" i="12"/>
  <c r="AB50" i="12"/>
  <c r="Z50" i="12"/>
  <c r="L50" i="12"/>
  <c r="BF50" i="12" s="1"/>
  <c r="K50" i="12"/>
  <c r="J50" i="12"/>
  <c r="H50" i="12"/>
  <c r="BD50" i="12" s="1"/>
  <c r="G50" i="12"/>
  <c r="AS49" i="12"/>
  <c r="BJ46" i="12"/>
  <c r="BI46" i="12"/>
  <c r="AC46" i="12" s="1"/>
  <c r="AP46" i="12"/>
  <c r="AO46" i="12"/>
  <c r="BH46" i="12" s="1"/>
  <c r="AB46" i="12" s="1"/>
  <c r="AL46" i="12"/>
  <c r="AU45" i="12" s="1"/>
  <c r="AJ46" i="12"/>
  <c r="AS45" i="12" s="1"/>
  <c r="AH46" i="12"/>
  <c r="AG46" i="12"/>
  <c r="AF46" i="12"/>
  <c r="AE46" i="12"/>
  <c r="AD46" i="12"/>
  <c r="Z46" i="12"/>
  <c r="K46" i="12"/>
  <c r="J46" i="12"/>
  <c r="I46" i="12"/>
  <c r="AK46" i="12" s="1"/>
  <c r="AT45" i="12" s="1"/>
  <c r="H46" i="12"/>
  <c r="BD46" i="12" s="1"/>
  <c r="G46" i="12"/>
  <c r="AW46" i="12" s="1"/>
  <c r="BJ43" i="12"/>
  <c r="BI43" i="12"/>
  <c r="AC43" i="12" s="1"/>
  <c r="BD43" i="12"/>
  <c r="AP43" i="12"/>
  <c r="AX43" i="12" s="1"/>
  <c r="AL43" i="12"/>
  <c r="AK43" i="12"/>
  <c r="AJ43" i="12"/>
  <c r="AH43" i="12"/>
  <c r="AG43" i="12"/>
  <c r="AF43" i="12"/>
  <c r="AE43" i="12"/>
  <c r="AD43" i="12"/>
  <c r="Z43" i="12"/>
  <c r="K43" i="12"/>
  <c r="L43" i="12" s="1"/>
  <c r="BF43" i="12" s="1"/>
  <c r="J43" i="12"/>
  <c r="I43" i="12"/>
  <c r="H43" i="12"/>
  <c r="AO43" i="12" s="1"/>
  <c r="BH43" i="12" s="1"/>
  <c r="AB43" i="12" s="1"/>
  <c r="G43" i="12"/>
  <c r="BJ41" i="12"/>
  <c r="BD41" i="12"/>
  <c r="AL41" i="12"/>
  <c r="AJ41" i="12"/>
  <c r="AH41" i="12"/>
  <c r="AG41" i="12"/>
  <c r="AF41" i="12"/>
  <c r="AE41" i="12"/>
  <c r="AD41" i="12"/>
  <c r="Z41" i="12"/>
  <c r="K41" i="12"/>
  <c r="J41" i="12"/>
  <c r="H41" i="12"/>
  <c r="AO41" i="12" s="1"/>
  <c r="G41" i="12"/>
  <c r="BJ39" i="12"/>
  <c r="BD39" i="12"/>
  <c r="AP39" i="12"/>
  <c r="AX39" i="12" s="1"/>
  <c r="AL39" i="12"/>
  <c r="AJ39" i="12"/>
  <c r="AH39" i="12"/>
  <c r="AG39" i="12"/>
  <c r="AF39" i="12"/>
  <c r="AE39" i="12"/>
  <c r="AD39" i="12"/>
  <c r="AB39" i="12"/>
  <c r="Z39" i="12"/>
  <c r="K39" i="12"/>
  <c r="L39" i="12" s="1"/>
  <c r="BF39" i="12" s="1"/>
  <c r="J39" i="12"/>
  <c r="I39" i="12"/>
  <c r="AK39" i="12" s="1"/>
  <c r="H39" i="12"/>
  <c r="AO39" i="12" s="1"/>
  <c r="BH39" i="12" s="1"/>
  <c r="G39" i="12"/>
  <c r="AO37" i="12"/>
  <c r="AL37" i="12"/>
  <c r="AJ37" i="12"/>
  <c r="AH37" i="12"/>
  <c r="AG37" i="12"/>
  <c r="AF37" i="12"/>
  <c r="AE37" i="12"/>
  <c r="AD37" i="12"/>
  <c r="Z37" i="12"/>
  <c r="K37" i="12"/>
  <c r="J37" i="12"/>
  <c r="H37" i="12"/>
  <c r="AP37" i="12" s="1"/>
  <c r="G37" i="12"/>
  <c r="BJ37" i="12" s="1"/>
  <c r="AU36" i="12"/>
  <c r="AS36" i="12"/>
  <c r="BD34" i="12"/>
  <c r="AO34" i="12"/>
  <c r="AL34" i="12"/>
  <c r="AJ34" i="12"/>
  <c r="AH34" i="12"/>
  <c r="AG34" i="12"/>
  <c r="AF34" i="12"/>
  <c r="AE34" i="12"/>
  <c r="AD34" i="12"/>
  <c r="Z34" i="12"/>
  <c r="K34" i="12"/>
  <c r="J34" i="12"/>
  <c r="H34" i="12"/>
  <c r="AP34" i="12" s="1"/>
  <c r="G34" i="12"/>
  <c r="AP31" i="12"/>
  <c r="BI31" i="12" s="1"/>
  <c r="AC31" i="12" s="1"/>
  <c r="AL31" i="12"/>
  <c r="AJ31" i="12"/>
  <c r="AH31" i="12"/>
  <c r="AG31" i="12"/>
  <c r="AF31" i="12"/>
  <c r="AE31" i="12"/>
  <c r="AD31" i="12"/>
  <c r="Z31" i="12"/>
  <c r="L31" i="12"/>
  <c r="BF31" i="12" s="1"/>
  <c r="K31" i="12"/>
  <c r="J31" i="12"/>
  <c r="H31" i="12"/>
  <c r="AO31" i="12" s="1"/>
  <c r="AW31" i="12" s="1"/>
  <c r="G31" i="12"/>
  <c r="BJ31" i="12" s="1"/>
  <c r="AL29" i="12"/>
  <c r="AJ29" i="12"/>
  <c r="AS28" i="12" s="1"/>
  <c r="AH29" i="12"/>
  <c r="AG29" i="12"/>
  <c r="C19" i="10" s="1"/>
  <c r="AF29" i="12"/>
  <c r="AE29" i="12"/>
  <c r="AD29" i="12"/>
  <c r="Z29" i="12"/>
  <c r="K29" i="12"/>
  <c r="J29" i="12"/>
  <c r="H29" i="12"/>
  <c r="BD29" i="12" s="1"/>
  <c r="G29" i="12"/>
  <c r="AU28" i="12"/>
  <c r="BD25" i="12"/>
  <c r="AP25" i="12"/>
  <c r="AL25" i="12"/>
  <c r="AU19" i="12" s="1"/>
  <c r="AJ25" i="12"/>
  <c r="AH25" i="12"/>
  <c r="AG25" i="12"/>
  <c r="AF25" i="12"/>
  <c r="AE25" i="12"/>
  <c r="AD25" i="12"/>
  <c r="Z25" i="12"/>
  <c r="K25" i="12"/>
  <c r="J25" i="12"/>
  <c r="H25" i="12"/>
  <c r="AO25" i="12" s="1"/>
  <c r="G25" i="12"/>
  <c r="BH25" i="12" s="1"/>
  <c r="AB25" i="12" s="1"/>
  <c r="AO23" i="12"/>
  <c r="AW23" i="12" s="1"/>
  <c r="AL23" i="12"/>
  <c r="AJ23" i="12"/>
  <c r="AH23" i="12"/>
  <c r="AG23" i="12"/>
  <c r="AF23" i="12"/>
  <c r="AE23" i="12"/>
  <c r="AD23" i="12"/>
  <c r="Z23" i="12"/>
  <c r="K23" i="12"/>
  <c r="L23" i="12" s="1"/>
  <c r="BF23" i="12" s="1"/>
  <c r="J23" i="12"/>
  <c r="H23" i="12"/>
  <c r="AP23" i="12" s="1"/>
  <c r="AX23" i="12" s="1"/>
  <c r="G23" i="12"/>
  <c r="AL20" i="12"/>
  <c r="AJ20" i="12"/>
  <c r="AH20" i="12"/>
  <c r="AG20" i="12"/>
  <c r="AF20" i="12"/>
  <c r="AE20" i="12"/>
  <c r="AD20" i="12"/>
  <c r="Z20" i="12"/>
  <c r="L20" i="12"/>
  <c r="K20" i="12"/>
  <c r="J20" i="12"/>
  <c r="H20" i="12"/>
  <c r="AP20" i="12" s="1"/>
  <c r="G20" i="12"/>
  <c r="AX20" i="12" s="1"/>
  <c r="AS19" i="12"/>
  <c r="AP17" i="12"/>
  <c r="BI17" i="12" s="1"/>
  <c r="AC17" i="12" s="1"/>
  <c r="AL17" i="12"/>
  <c r="AJ17" i="12"/>
  <c r="AH17" i="12"/>
  <c r="AG17" i="12"/>
  <c r="AF17" i="12"/>
  <c r="C18" i="10" s="1"/>
  <c r="AE17" i="12"/>
  <c r="AD17" i="12"/>
  <c r="Z17" i="12"/>
  <c r="K17" i="12"/>
  <c r="J17" i="12"/>
  <c r="H17" i="12"/>
  <c r="BD17" i="12" s="1"/>
  <c r="G17" i="12"/>
  <c r="BJ17" i="12" s="1"/>
  <c r="BI14" i="12"/>
  <c r="AC14" i="12" s="1"/>
  <c r="BD14" i="12"/>
  <c r="AX14" i="12"/>
  <c r="AP14" i="12"/>
  <c r="AL14" i="12"/>
  <c r="AJ14" i="12"/>
  <c r="AH14" i="12"/>
  <c r="C20" i="10" s="1"/>
  <c r="AG14" i="12"/>
  <c r="AF14" i="12"/>
  <c r="AE14" i="12"/>
  <c r="AD14" i="12"/>
  <c r="Z14" i="12"/>
  <c r="L14" i="12"/>
  <c r="K14" i="12"/>
  <c r="J14" i="12"/>
  <c r="H14" i="12"/>
  <c r="AO14" i="12" s="1"/>
  <c r="G14" i="12"/>
  <c r="AU13" i="12"/>
  <c r="AS13" i="12"/>
  <c r="K8" i="12"/>
  <c r="H8" i="12"/>
  <c r="D8" i="12"/>
  <c r="K6" i="12"/>
  <c r="H6" i="12"/>
  <c r="D6" i="12"/>
  <c r="K4" i="12"/>
  <c r="D4" i="12"/>
  <c r="K2" i="12"/>
  <c r="H2" i="12"/>
  <c r="D2" i="12"/>
  <c r="AU1" i="12"/>
  <c r="AT1" i="12"/>
  <c r="AS1" i="12"/>
  <c r="F44" i="11"/>
  <c r="I44" i="11" s="1"/>
  <c r="F43" i="11"/>
  <c r="I43" i="11" s="1"/>
  <c r="F42" i="11"/>
  <c r="I42" i="11" s="1"/>
  <c r="F41" i="11"/>
  <c r="I41" i="11" s="1"/>
  <c r="F40" i="11"/>
  <c r="I40" i="11" s="1"/>
  <c r="F39" i="11"/>
  <c r="I39" i="11" s="1"/>
  <c r="F38" i="11"/>
  <c r="I38" i="11" s="1"/>
  <c r="F37" i="11"/>
  <c r="I37" i="11" s="1"/>
  <c r="F36" i="11"/>
  <c r="I36" i="11" s="1"/>
  <c r="F35" i="11"/>
  <c r="I35" i="11" s="1"/>
  <c r="I26" i="11"/>
  <c r="I25" i="11"/>
  <c r="I24" i="11"/>
  <c r="I23" i="11"/>
  <c r="I16" i="10" s="1"/>
  <c r="I22" i="11"/>
  <c r="I15" i="10" s="1"/>
  <c r="I22" i="10" s="1"/>
  <c r="I21" i="11"/>
  <c r="I17" i="11"/>
  <c r="F16" i="10" s="1"/>
  <c r="I16" i="11"/>
  <c r="I15" i="11"/>
  <c r="I18" i="11" s="1"/>
  <c r="I10" i="11"/>
  <c r="F10" i="11"/>
  <c r="C10" i="11"/>
  <c r="F8" i="11"/>
  <c r="C8" i="11"/>
  <c r="F6" i="11"/>
  <c r="C6" i="11"/>
  <c r="F4" i="11"/>
  <c r="C4" i="11"/>
  <c r="F2" i="11"/>
  <c r="C2" i="11"/>
  <c r="C27" i="10"/>
  <c r="F27" i="10" s="1"/>
  <c r="C25" i="10"/>
  <c r="I19" i="10"/>
  <c r="I18" i="10"/>
  <c r="I17" i="10"/>
  <c r="F15" i="10"/>
  <c r="I14" i="10"/>
  <c r="I10" i="10"/>
  <c r="F10" i="10"/>
  <c r="C10" i="10"/>
  <c r="F8" i="10"/>
  <c r="F6" i="10"/>
  <c r="C6" i="10"/>
  <c r="F4" i="10"/>
  <c r="C4" i="10"/>
  <c r="F2" i="10"/>
  <c r="C2" i="10"/>
  <c r="BI173" i="9"/>
  <c r="AP173" i="9"/>
  <c r="AL173" i="9"/>
  <c r="AJ173" i="9"/>
  <c r="AH173" i="9"/>
  <c r="AG173" i="9"/>
  <c r="AF173" i="9"/>
  <c r="AE173" i="9"/>
  <c r="AD173" i="9"/>
  <c r="AC173" i="9"/>
  <c r="AB173" i="9"/>
  <c r="K173" i="9"/>
  <c r="J173" i="9"/>
  <c r="I173" i="9"/>
  <c r="AK173" i="9" s="1"/>
  <c r="H173" i="9"/>
  <c r="BD173" i="9" s="1"/>
  <c r="G173" i="9"/>
  <c r="BJ173" i="9" s="1"/>
  <c r="Z173" i="9" s="1"/>
  <c r="BD171" i="9"/>
  <c r="AW171" i="9"/>
  <c r="AP171" i="9"/>
  <c r="AL171" i="9"/>
  <c r="AJ171" i="9"/>
  <c r="AH171" i="9"/>
  <c r="AG171" i="9"/>
  <c r="AF171" i="9"/>
  <c r="AE171" i="9"/>
  <c r="AD171" i="9"/>
  <c r="AC171" i="9"/>
  <c r="AB171" i="9"/>
  <c r="K171" i="9"/>
  <c r="J171" i="9"/>
  <c r="I171" i="9"/>
  <c r="AK171" i="9" s="1"/>
  <c r="H171" i="9"/>
  <c r="AO171" i="9" s="1"/>
  <c r="G171" i="9"/>
  <c r="BI171" i="9" s="1"/>
  <c r="BI169" i="9"/>
  <c r="AP169" i="9"/>
  <c r="AL169" i="9"/>
  <c r="AJ169" i="9"/>
  <c r="AH169" i="9"/>
  <c r="AG169" i="9"/>
  <c r="AF169" i="9"/>
  <c r="AE169" i="9"/>
  <c r="AD169" i="9"/>
  <c r="AC169" i="9"/>
  <c r="AB169" i="9"/>
  <c r="K169" i="9"/>
  <c r="J169" i="9"/>
  <c r="I169" i="9"/>
  <c r="AK169" i="9" s="1"/>
  <c r="H169" i="9"/>
  <c r="BD169" i="9" s="1"/>
  <c r="G169" i="9"/>
  <c r="BJ169" i="9" s="1"/>
  <c r="Z169" i="9" s="1"/>
  <c r="AW167" i="9"/>
  <c r="AL167" i="9"/>
  <c r="AJ167" i="9"/>
  <c r="AH167" i="9"/>
  <c r="AG167" i="9"/>
  <c r="AF167" i="9"/>
  <c r="AE167" i="9"/>
  <c r="AD167" i="9"/>
  <c r="AC167" i="9"/>
  <c r="AB167" i="9"/>
  <c r="K167" i="9"/>
  <c r="J167" i="9"/>
  <c r="I167" i="9"/>
  <c r="AK167" i="9" s="1"/>
  <c r="H167" i="9"/>
  <c r="AO167" i="9" s="1"/>
  <c r="G167" i="9"/>
  <c r="BD165" i="9"/>
  <c r="AP165" i="9"/>
  <c r="BI165" i="9" s="1"/>
  <c r="AL165" i="9"/>
  <c r="AJ165" i="9"/>
  <c r="AH165" i="9"/>
  <c r="AG165" i="9"/>
  <c r="AF165" i="9"/>
  <c r="AE165" i="9"/>
  <c r="AD165" i="9"/>
  <c r="AC165" i="9"/>
  <c r="AB165" i="9"/>
  <c r="K165" i="9"/>
  <c r="J165" i="9"/>
  <c r="I165" i="9"/>
  <c r="AK165" i="9" s="1"/>
  <c r="H165" i="9"/>
  <c r="AO165" i="9" s="1"/>
  <c r="G165" i="9"/>
  <c r="AW165" i="9" s="1"/>
  <c r="AP163" i="9"/>
  <c r="BI163" i="9" s="1"/>
  <c r="AL163" i="9"/>
  <c r="AJ163" i="9"/>
  <c r="AH163" i="9"/>
  <c r="AG163" i="9"/>
  <c r="AF163" i="9"/>
  <c r="AE163" i="9"/>
  <c r="AD163" i="9"/>
  <c r="AC163" i="9"/>
  <c r="AB163" i="9"/>
  <c r="K163" i="9"/>
  <c r="J163" i="9"/>
  <c r="I163" i="9"/>
  <c r="AK163" i="9" s="1"/>
  <c r="H163" i="9"/>
  <c r="BD163" i="9" s="1"/>
  <c r="G163" i="9"/>
  <c r="AX163" i="9" s="1"/>
  <c r="BD161" i="9"/>
  <c r="AP161" i="9"/>
  <c r="BI161" i="9" s="1"/>
  <c r="AL161" i="9"/>
  <c r="AJ161" i="9"/>
  <c r="AH161" i="9"/>
  <c r="AG161" i="9"/>
  <c r="AF161" i="9"/>
  <c r="AE161" i="9"/>
  <c r="AD161" i="9"/>
  <c r="AC161" i="9"/>
  <c r="AB161" i="9"/>
  <c r="K161" i="9"/>
  <c r="J161" i="9"/>
  <c r="I161" i="9"/>
  <c r="AK161" i="9" s="1"/>
  <c r="H161" i="9"/>
  <c r="AO161" i="9" s="1"/>
  <c r="G161" i="9"/>
  <c r="AP159" i="9"/>
  <c r="BI159" i="9" s="1"/>
  <c r="AL159" i="9"/>
  <c r="AU158" i="9" s="1"/>
  <c r="AJ159" i="9"/>
  <c r="AS158" i="9" s="1"/>
  <c r="AH159" i="9"/>
  <c r="AG159" i="9"/>
  <c r="AF159" i="9"/>
  <c r="AE159" i="9"/>
  <c r="AD159" i="9"/>
  <c r="AC159" i="9"/>
  <c r="AB159" i="9"/>
  <c r="K159" i="9"/>
  <c r="J159" i="9"/>
  <c r="I159" i="9"/>
  <c r="AK159" i="9" s="1"/>
  <c r="AT158" i="9" s="1"/>
  <c r="H159" i="9"/>
  <c r="BD159" i="9" s="1"/>
  <c r="G159" i="9"/>
  <c r="AX159" i="9" s="1"/>
  <c r="BJ157" i="9"/>
  <c r="Z157" i="9" s="1"/>
  <c r="BD157" i="9"/>
  <c r="AL157" i="9"/>
  <c r="AJ157" i="9"/>
  <c r="AH157" i="9"/>
  <c r="AG157" i="9"/>
  <c r="AF157" i="9"/>
  <c r="AE157" i="9"/>
  <c r="AD157" i="9"/>
  <c r="AC157" i="9"/>
  <c r="AB157" i="9"/>
  <c r="L157" i="9"/>
  <c r="BF157" i="9" s="1"/>
  <c r="K157" i="9"/>
  <c r="J157" i="9"/>
  <c r="H157" i="9"/>
  <c r="AO157" i="9" s="1"/>
  <c r="G157" i="9"/>
  <c r="AU156" i="9"/>
  <c r="AS156" i="9"/>
  <c r="AP154" i="9"/>
  <c r="AL154" i="9"/>
  <c r="AU153" i="9" s="1"/>
  <c r="AJ154" i="9"/>
  <c r="AS153" i="9" s="1"/>
  <c r="AH154" i="9"/>
  <c r="AG154" i="9"/>
  <c r="AF154" i="9"/>
  <c r="AE154" i="9"/>
  <c r="AD154" i="9"/>
  <c r="Z154" i="9"/>
  <c r="K154" i="9"/>
  <c r="J154" i="9"/>
  <c r="H154" i="9"/>
  <c r="AO154" i="9" s="1"/>
  <c r="G154" i="9"/>
  <c r="BI154" i="9" s="1"/>
  <c r="AC154" i="9" s="1"/>
  <c r="AL150" i="9"/>
  <c r="AJ150" i="9"/>
  <c r="AH150" i="9"/>
  <c r="AG150" i="9"/>
  <c r="AF150" i="9"/>
  <c r="AE150" i="9"/>
  <c r="AD150" i="9"/>
  <c r="Z150" i="9"/>
  <c r="L150" i="9"/>
  <c r="BF150" i="9" s="1"/>
  <c r="K150" i="9"/>
  <c r="J150" i="9"/>
  <c r="H150" i="9"/>
  <c r="BJ150" i="9" s="1"/>
  <c r="G150" i="9"/>
  <c r="AL148" i="9"/>
  <c r="AJ148" i="9"/>
  <c r="AH148" i="9"/>
  <c r="AG148" i="9"/>
  <c r="AF148" i="9"/>
  <c r="AE148" i="9"/>
  <c r="AD148" i="9"/>
  <c r="Z148" i="9"/>
  <c r="L148" i="9"/>
  <c r="BF148" i="9" s="1"/>
  <c r="K148" i="9"/>
  <c r="J148" i="9"/>
  <c r="H148" i="9"/>
  <c r="BD148" i="9" s="1"/>
  <c r="G148" i="9"/>
  <c r="AL146" i="9"/>
  <c r="AJ146" i="9"/>
  <c r="AH146" i="9"/>
  <c r="AG146" i="9"/>
  <c r="AF146" i="9"/>
  <c r="AE146" i="9"/>
  <c r="AD146" i="9"/>
  <c r="Z146" i="9"/>
  <c r="L146" i="9"/>
  <c r="BF146" i="9" s="1"/>
  <c r="K146" i="9"/>
  <c r="J146" i="9"/>
  <c r="H146" i="9"/>
  <c r="BJ146" i="9" s="1"/>
  <c r="G146" i="9"/>
  <c r="AL144" i="9"/>
  <c r="AJ144" i="9"/>
  <c r="AH144" i="9"/>
  <c r="AG144" i="9"/>
  <c r="AF144" i="9"/>
  <c r="AE144" i="9"/>
  <c r="AD144" i="9"/>
  <c r="Z144" i="9"/>
  <c r="L144" i="9"/>
  <c r="BF144" i="9" s="1"/>
  <c r="K144" i="9"/>
  <c r="J144" i="9"/>
  <c r="H144" i="9"/>
  <c r="BD144" i="9" s="1"/>
  <c r="G144" i="9"/>
  <c r="AL142" i="9"/>
  <c r="AJ142" i="9"/>
  <c r="AH142" i="9"/>
  <c r="AG142" i="9"/>
  <c r="AF142" i="9"/>
  <c r="AE142" i="9"/>
  <c r="AD142" i="9"/>
  <c r="Z142" i="9"/>
  <c r="L142" i="9"/>
  <c r="BF142" i="9" s="1"/>
  <c r="K142" i="9"/>
  <c r="J142" i="9"/>
  <c r="H142" i="9"/>
  <c r="BJ142" i="9" s="1"/>
  <c r="G142" i="9"/>
  <c r="AL140" i="9"/>
  <c r="AJ140" i="9"/>
  <c r="AH140" i="9"/>
  <c r="AG140" i="9"/>
  <c r="AF140" i="9"/>
  <c r="AE140" i="9"/>
  <c r="AD140" i="9"/>
  <c r="Z140" i="9"/>
  <c r="L140" i="9"/>
  <c r="BF140" i="9" s="1"/>
  <c r="K140" i="9"/>
  <c r="J140" i="9"/>
  <c r="H140" i="9"/>
  <c r="BD140" i="9" s="1"/>
  <c r="G140" i="9"/>
  <c r="AL138" i="9"/>
  <c r="AJ138" i="9"/>
  <c r="AH138" i="9"/>
  <c r="AG138" i="9"/>
  <c r="AF138" i="9"/>
  <c r="AE138" i="9"/>
  <c r="AD138" i="9"/>
  <c r="Z138" i="9"/>
  <c r="L138" i="9"/>
  <c r="BF138" i="9" s="1"/>
  <c r="K138" i="9"/>
  <c r="J138" i="9"/>
  <c r="H138" i="9"/>
  <c r="BJ138" i="9" s="1"/>
  <c r="G138" i="9"/>
  <c r="AU137" i="9"/>
  <c r="AS137" i="9"/>
  <c r="BD134" i="9"/>
  <c r="AP134" i="9"/>
  <c r="BI134" i="9" s="1"/>
  <c r="AC134" i="9" s="1"/>
  <c r="AL134" i="9"/>
  <c r="AU133" i="9" s="1"/>
  <c r="AJ134" i="9"/>
  <c r="AS133" i="9" s="1"/>
  <c r="AH134" i="9"/>
  <c r="AG134" i="9"/>
  <c r="AF134" i="9"/>
  <c r="AE134" i="9"/>
  <c r="AD134" i="9"/>
  <c r="Z134" i="9"/>
  <c r="K134" i="9"/>
  <c r="J134" i="9"/>
  <c r="I134" i="9"/>
  <c r="I133" i="9" s="1"/>
  <c r="H134" i="9"/>
  <c r="AO134" i="9" s="1"/>
  <c r="G134" i="9"/>
  <c r="BJ131" i="9"/>
  <c r="BD131" i="9"/>
  <c r="AL131" i="9"/>
  <c r="AJ131" i="9"/>
  <c r="AH131" i="9"/>
  <c r="AG131" i="9"/>
  <c r="AF131" i="9"/>
  <c r="AE131" i="9"/>
  <c r="AD131" i="9"/>
  <c r="Z131" i="9"/>
  <c r="L131" i="9"/>
  <c r="BF131" i="9" s="1"/>
  <c r="K131" i="9"/>
  <c r="J131" i="9"/>
  <c r="H131" i="9"/>
  <c r="AP131" i="9" s="1"/>
  <c r="AX131" i="9" s="1"/>
  <c r="G131" i="9"/>
  <c r="BJ129" i="9"/>
  <c r="BD129" i="9"/>
  <c r="AL129" i="9"/>
  <c r="AJ129" i="9"/>
  <c r="AH129" i="9"/>
  <c r="AG129" i="9"/>
  <c r="AF129" i="9"/>
  <c r="AE129" i="9"/>
  <c r="AD129" i="9"/>
  <c r="Z129" i="9"/>
  <c r="L129" i="9"/>
  <c r="BF129" i="9" s="1"/>
  <c r="K129" i="9"/>
  <c r="J129" i="9"/>
  <c r="H129" i="9"/>
  <c r="AO129" i="9" s="1"/>
  <c r="G129" i="9"/>
  <c r="AU128" i="9"/>
  <c r="AS128" i="9"/>
  <c r="AP125" i="9"/>
  <c r="AL125" i="9"/>
  <c r="AJ125" i="9"/>
  <c r="AH125" i="9"/>
  <c r="AG125" i="9"/>
  <c r="AF125" i="9"/>
  <c r="AE125" i="9"/>
  <c r="AD125" i="9"/>
  <c r="Z125" i="9"/>
  <c r="K125" i="9"/>
  <c r="J125" i="9"/>
  <c r="H125" i="9"/>
  <c r="AO125" i="9" s="1"/>
  <c r="G125" i="9"/>
  <c r="BI125" i="9" s="1"/>
  <c r="AC125" i="9" s="1"/>
  <c r="AP122" i="9"/>
  <c r="AL122" i="9"/>
  <c r="AJ122" i="9"/>
  <c r="AH122" i="9"/>
  <c r="AG122" i="9"/>
  <c r="AF122" i="9"/>
  <c r="AE122" i="9"/>
  <c r="AD122" i="9"/>
  <c r="Z122" i="9"/>
  <c r="K122" i="9"/>
  <c r="J122" i="9"/>
  <c r="H122" i="9"/>
  <c r="AO122" i="9" s="1"/>
  <c r="G122" i="9"/>
  <c r="AX122" i="9" s="1"/>
  <c r="AP119" i="9"/>
  <c r="AL119" i="9"/>
  <c r="AU118" i="9" s="1"/>
  <c r="AJ119" i="9"/>
  <c r="AS118" i="9" s="1"/>
  <c r="AH119" i="9"/>
  <c r="AG119" i="9"/>
  <c r="AF119" i="9"/>
  <c r="AE119" i="9"/>
  <c r="AD119" i="9"/>
  <c r="Z119" i="9"/>
  <c r="K119" i="9"/>
  <c r="J119" i="9"/>
  <c r="H119" i="9"/>
  <c r="AO119" i="9" s="1"/>
  <c r="G119" i="9"/>
  <c r="BI119" i="9" s="1"/>
  <c r="AC119" i="9" s="1"/>
  <c r="AL115" i="9"/>
  <c r="AJ115" i="9"/>
  <c r="AH115" i="9"/>
  <c r="AG115" i="9"/>
  <c r="AF115" i="9"/>
  <c r="AC115" i="9"/>
  <c r="AB115" i="9"/>
  <c r="Z115" i="9"/>
  <c r="L115" i="9"/>
  <c r="BF115" i="9" s="1"/>
  <c r="K115" i="9"/>
  <c r="J115" i="9"/>
  <c r="H115" i="9"/>
  <c r="BJ115" i="9" s="1"/>
  <c r="G115" i="9"/>
  <c r="AU114" i="9"/>
  <c r="AS114" i="9"/>
  <c r="BD111" i="9"/>
  <c r="AP111" i="9"/>
  <c r="BI111" i="9" s="1"/>
  <c r="AE111" i="9" s="1"/>
  <c r="AL111" i="9"/>
  <c r="AJ111" i="9"/>
  <c r="AH111" i="9"/>
  <c r="AG111" i="9"/>
  <c r="AF111" i="9"/>
  <c r="AC111" i="9"/>
  <c r="AB111" i="9"/>
  <c r="Z111" i="9"/>
  <c r="K111" i="9"/>
  <c r="J111" i="9"/>
  <c r="I111" i="9"/>
  <c r="AK111" i="9" s="1"/>
  <c r="H111" i="9"/>
  <c r="AO111" i="9" s="1"/>
  <c r="G111" i="9"/>
  <c r="AW111" i="9" s="1"/>
  <c r="AP108" i="9"/>
  <c r="BI108" i="9" s="1"/>
  <c r="AE108" i="9" s="1"/>
  <c r="AL108" i="9"/>
  <c r="AJ108" i="9"/>
  <c r="AH108" i="9"/>
  <c r="AG108" i="9"/>
  <c r="AF108" i="9"/>
  <c r="AC108" i="9"/>
  <c r="AB108" i="9"/>
  <c r="Z108" i="9"/>
  <c r="K108" i="9"/>
  <c r="J108" i="9"/>
  <c r="I108" i="9"/>
  <c r="AK108" i="9" s="1"/>
  <c r="H108" i="9"/>
  <c r="BD108" i="9" s="1"/>
  <c r="G108" i="9"/>
  <c r="AX108" i="9" s="1"/>
  <c r="BD105" i="9"/>
  <c r="AP105" i="9"/>
  <c r="BI105" i="9" s="1"/>
  <c r="AE105" i="9" s="1"/>
  <c r="AL105" i="9"/>
  <c r="AU104" i="9" s="1"/>
  <c r="AJ105" i="9"/>
  <c r="AS104" i="9" s="1"/>
  <c r="AH105" i="9"/>
  <c r="AG105" i="9"/>
  <c r="AF105" i="9"/>
  <c r="AC105" i="9"/>
  <c r="AB105" i="9"/>
  <c r="Z105" i="9"/>
  <c r="K105" i="9"/>
  <c r="J105" i="9"/>
  <c r="I105" i="9"/>
  <c r="I104" i="9" s="1"/>
  <c r="H105" i="9"/>
  <c r="AO105" i="9" s="1"/>
  <c r="G105" i="9"/>
  <c r="BJ101" i="9"/>
  <c r="BD101" i="9"/>
  <c r="AL101" i="9"/>
  <c r="AJ101" i="9"/>
  <c r="AH101" i="9"/>
  <c r="AG101" i="9"/>
  <c r="AF101" i="9"/>
  <c r="AC101" i="9"/>
  <c r="AB101" i="9"/>
  <c r="Z101" i="9"/>
  <c r="L101" i="9"/>
  <c r="BF101" i="9" s="1"/>
  <c r="K101" i="9"/>
  <c r="J101" i="9"/>
  <c r="H101" i="9"/>
  <c r="AP101" i="9" s="1"/>
  <c r="AX101" i="9" s="1"/>
  <c r="G101" i="9"/>
  <c r="BJ98" i="9"/>
  <c r="BD98" i="9"/>
  <c r="AL98" i="9"/>
  <c r="AJ98" i="9"/>
  <c r="AH98" i="9"/>
  <c r="AG98" i="9"/>
  <c r="AF98" i="9"/>
  <c r="AC98" i="9"/>
  <c r="AB98" i="9"/>
  <c r="Z98" i="9"/>
  <c r="L98" i="9"/>
  <c r="BF98" i="9" s="1"/>
  <c r="K98" i="9"/>
  <c r="J98" i="9"/>
  <c r="H98" i="9"/>
  <c r="AO98" i="9" s="1"/>
  <c r="G98" i="9"/>
  <c r="BJ95" i="9"/>
  <c r="BD95" i="9"/>
  <c r="AL95" i="9"/>
  <c r="AJ95" i="9"/>
  <c r="AH95" i="9"/>
  <c r="AG95" i="9"/>
  <c r="AF95" i="9"/>
  <c r="AC95" i="9"/>
  <c r="AB95" i="9"/>
  <c r="Z95" i="9"/>
  <c r="L95" i="9"/>
  <c r="BF95" i="9" s="1"/>
  <c r="K95" i="9"/>
  <c r="J95" i="9"/>
  <c r="H95" i="9"/>
  <c r="AP95" i="9" s="1"/>
  <c r="AX95" i="9" s="1"/>
  <c r="G95" i="9"/>
  <c r="BJ92" i="9"/>
  <c r="BD92" i="9"/>
  <c r="AL92" i="9"/>
  <c r="AJ92" i="9"/>
  <c r="AH92" i="9"/>
  <c r="AG92" i="9"/>
  <c r="AF92" i="9"/>
  <c r="AC92" i="9"/>
  <c r="AB92" i="9"/>
  <c r="Z92" i="9"/>
  <c r="L92" i="9"/>
  <c r="BF92" i="9" s="1"/>
  <c r="K92" i="9"/>
  <c r="J92" i="9"/>
  <c r="H92" i="9"/>
  <c r="AO92" i="9" s="1"/>
  <c r="BH92" i="9" s="1"/>
  <c r="AD92" i="9" s="1"/>
  <c r="G92" i="9"/>
  <c r="BJ89" i="9"/>
  <c r="BD89" i="9"/>
  <c r="AL89" i="9"/>
  <c r="AJ89" i="9"/>
  <c r="AH89" i="9"/>
  <c r="AG89" i="9"/>
  <c r="AF89" i="9"/>
  <c r="AC89" i="9"/>
  <c r="AB89" i="9"/>
  <c r="Z89" i="9"/>
  <c r="L89" i="9"/>
  <c r="L88" i="9" s="1"/>
  <c r="K89" i="9"/>
  <c r="J89" i="9"/>
  <c r="H89" i="9"/>
  <c r="AP89" i="9" s="1"/>
  <c r="AX89" i="9" s="1"/>
  <c r="G89" i="9"/>
  <c r="AU88" i="9"/>
  <c r="AS88" i="9"/>
  <c r="AP86" i="9"/>
  <c r="AL86" i="9"/>
  <c r="AU85" i="9" s="1"/>
  <c r="AJ86" i="9"/>
  <c r="AS85" i="9" s="1"/>
  <c r="AH86" i="9"/>
  <c r="AG86" i="9"/>
  <c r="AF86" i="9"/>
  <c r="AC86" i="9"/>
  <c r="AB86" i="9"/>
  <c r="Z86" i="9"/>
  <c r="K86" i="9"/>
  <c r="J86" i="9"/>
  <c r="H86" i="9"/>
  <c r="AO86" i="9" s="1"/>
  <c r="G86" i="9"/>
  <c r="AX86" i="9" s="1"/>
  <c r="AL84" i="9"/>
  <c r="AJ84" i="9"/>
  <c r="AH84" i="9"/>
  <c r="AG84" i="9"/>
  <c r="AF84" i="9"/>
  <c r="AE84" i="9"/>
  <c r="AD84" i="9"/>
  <c r="AC84" i="9"/>
  <c r="AB84" i="9"/>
  <c r="L84" i="9"/>
  <c r="BF84" i="9" s="1"/>
  <c r="K84" i="9"/>
  <c r="J84" i="9"/>
  <c r="H84" i="9"/>
  <c r="BD84" i="9" s="1"/>
  <c r="G84" i="9"/>
  <c r="AL81" i="9"/>
  <c r="AJ81" i="9"/>
  <c r="AH81" i="9"/>
  <c r="AG81" i="9"/>
  <c r="AF81" i="9"/>
  <c r="AC81" i="9"/>
  <c r="AB81" i="9"/>
  <c r="Z81" i="9"/>
  <c r="L81" i="9"/>
  <c r="BF81" i="9" s="1"/>
  <c r="K81" i="9"/>
  <c r="J81" i="9"/>
  <c r="H81" i="9"/>
  <c r="BJ81" i="9" s="1"/>
  <c r="G81" i="9"/>
  <c r="AL78" i="9"/>
  <c r="AJ78" i="9"/>
  <c r="AH78" i="9"/>
  <c r="AG78" i="9"/>
  <c r="AF78" i="9"/>
  <c r="AC78" i="9"/>
  <c r="AB78" i="9"/>
  <c r="Z78" i="9"/>
  <c r="L78" i="9"/>
  <c r="BF78" i="9" s="1"/>
  <c r="K78" i="9"/>
  <c r="J78" i="9"/>
  <c r="H78" i="9"/>
  <c r="BD78" i="9" s="1"/>
  <c r="G78" i="9"/>
  <c r="AL75" i="9"/>
  <c r="AJ75" i="9"/>
  <c r="AH75" i="9"/>
  <c r="AG75" i="9"/>
  <c r="AF75" i="9"/>
  <c r="AC75" i="9"/>
  <c r="AB75" i="9"/>
  <c r="Z75" i="9"/>
  <c r="L75" i="9"/>
  <c r="BF75" i="9" s="1"/>
  <c r="K75" i="9"/>
  <c r="J75" i="9"/>
  <c r="H75" i="9"/>
  <c r="BJ75" i="9" s="1"/>
  <c r="G75" i="9"/>
  <c r="AL68" i="9"/>
  <c r="AJ68" i="9"/>
  <c r="AH68" i="9"/>
  <c r="AG68" i="9"/>
  <c r="AF68" i="9"/>
  <c r="AC68" i="9"/>
  <c r="AB68" i="9"/>
  <c r="Z68" i="9"/>
  <c r="L68" i="9"/>
  <c r="L67" i="9" s="1"/>
  <c r="K68" i="9"/>
  <c r="J68" i="9"/>
  <c r="H68" i="9"/>
  <c r="BD68" i="9" s="1"/>
  <c r="G68" i="9"/>
  <c r="AU67" i="9"/>
  <c r="AS67" i="9"/>
  <c r="AP65" i="9"/>
  <c r="BI65" i="9" s="1"/>
  <c r="AL65" i="9"/>
  <c r="AJ65" i="9"/>
  <c r="AH65" i="9"/>
  <c r="AG65" i="9"/>
  <c r="AF65" i="9"/>
  <c r="AE65" i="9"/>
  <c r="AC65" i="9"/>
  <c r="AB65" i="9"/>
  <c r="Z65" i="9"/>
  <c r="K65" i="9"/>
  <c r="J65" i="9"/>
  <c r="I65" i="9"/>
  <c r="AK65" i="9" s="1"/>
  <c r="H65" i="9"/>
  <c r="BD65" i="9" s="1"/>
  <c r="G65" i="9"/>
  <c r="AX65" i="9" s="1"/>
  <c r="AP62" i="9"/>
  <c r="BI62" i="9" s="1"/>
  <c r="AE62" i="9" s="1"/>
  <c r="AL62" i="9"/>
  <c r="AJ62" i="9"/>
  <c r="AH62" i="9"/>
  <c r="AG62" i="9"/>
  <c r="AF62" i="9"/>
  <c r="AC62" i="9"/>
  <c r="AB62" i="9"/>
  <c r="Z62" i="9"/>
  <c r="K62" i="9"/>
  <c r="J62" i="9"/>
  <c r="I62" i="9"/>
  <c r="AK62" i="9" s="1"/>
  <c r="H62" i="9"/>
  <c r="AO62" i="9" s="1"/>
  <c r="G62" i="9"/>
  <c r="AW62" i="9" s="1"/>
  <c r="AP59" i="9"/>
  <c r="BI59" i="9" s="1"/>
  <c r="AE59" i="9" s="1"/>
  <c r="AL59" i="9"/>
  <c r="AJ59" i="9"/>
  <c r="AH59" i="9"/>
  <c r="AG59" i="9"/>
  <c r="AF59" i="9"/>
  <c r="AC59" i="9"/>
  <c r="AB59" i="9"/>
  <c r="Z59" i="9"/>
  <c r="K59" i="9"/>
  <c r="J59" i="9"/>
  <c r="I59" i="9"/>
  <c r="AK59" i="9" s="1"/>
  <c r="H59" i="9"/>
  <c r="BD59" i="9" s="1"/>
  <c r="G59" i="9"/>
  <c r="BI57" i="9"/>
  <c r="AP57" i="9"/>
  <c r="AL57" i="9"/>
  <c r="AU56" i="9" s="1"/>
  <c r="AJ57" i="9"/>
  <c r="AS56" i="9" s="1"/>
  <c r="AH57" i="9"/>
  <c r="AG57" i="9"/>
  <c r="AF57" i="9"/>
  <c r="AE57" i="9"/>
  <c r="AC57" i="9"/>
  <c r="AB57" i="9"/>
  <c r="Z57" i="9"/>
  <c r="K57" i="9"/>
  <c r="J57" i="9"/>
  <c r="I57" i="9"/>
  <c r="H57" i="9"/>
  <c r="AO57" i="9" s="1"/>
  <c r="G57" i="9"/>
  <c r="AW57" i="9" s="1"/>
  <c r="BJ54" i="9"/>
  <c r="BD54" i="9"/>
  <c r="AL54" i="9"/>
  <c r="AJ54" i="9"/>
  <c r="AH54" i="9"/>
  <c r="AG54" i="9"/>
  <c r="AF54" i="9"/>
  <c r="AC54" i="9"/>
  <c r="AB54" i="9"/>
  <c r="Z54" i="9"/>
  <c r="L54" i="9"/>
  <c r="BF54" i="9" s="1"/>
  <c r="K54" i="9"/>
  <c r="J54" i="9"/>
  <c r="H54" i="9"/>
  <c r="AP54" i="9" s="1"/>
  <c r="AX54" i="9" s="1"/>
  <c r="G54" i="9"/>
  <c r="BJ52" i="9"/>
  <c r="BD52" i="9"/>
  <c r="AL52" i="9"/>
  <c r="AJ52" i="9"/>
  <c r="AH52" i="9"/>
  <c r="AG52" i="9"/>
  <c r="AF52" i="9"/>
  <c r="AC52" i="9"/>
  <c r="AB52" i="9"/>
  <c r="Z52" i="9"/>
  <c r="L52" i="9"/>
  <c r="BF52" i="9" s="1"/>
  <c r="K52" i="9"/>
  <c r="J52" i="9"/>
  <c r="H52" i="9"/>
  <c r="AO52" i="9" s="1"/>
  <c r="BH52" i="9" s="1"/>
  <c r="AD52" i="9" s="1"/>
  <c r="G52" i="9"/>
  <c r="BJ50" i="9"/>
  <c r="BD50" i="9"/>
  <c r="AL50" i="9"/>
  <c r="AJ50" i="9"/>
  <c r="AH50" i="9"/>
  <c r="AG50" i="9"/>
  <c r="AF50" i="9"/>
  <c r="AC50" i="9"/>
  <c r="AB50" i="9"/>
  <c r="Z50" i="9"/>
  <c r="L50" i="9"/>
  <c r="K50" i="9"/>
  <c r="J50" i="9"/>
  <c r="H50" i="9"/>
  <c r="G50" i="9"/>
  <c r="AU49" i="9"/>
  <c r="AS49" i="9"/>
  <c r="AP46" i="9"/>
  <c r="BI46" i="9" s="1"/>
  <c r="AC46" i="9" s="1"/>
  <c r="AL46" i="9"/>
  <c r="AU45" i="9" s="1"/>
  <c r="AJ46" i="9"/>
  <c r="AS45" i="9" s="1"/>
  <c r="AH46" i="9"/>
  <c r="AG46" i="9"/>
  <c r="AF46" i="9"/>
  <c r="AE46" i="9"/>
  <c r="AD46" i="9"/>
  <c r="Z46" i="9"/>
  <c r="K46" i="9"/>
  <c r="J46" i="9"/>
  <c r="I46" i="9"/>
  <c r="H46" i="9"/>
  <c r="AO46" i="9" s="1"/>
  <c r="G46" i="9"/>
  <c r="AW46" i="9" s="1"/>
  <c r="AL43" i="9"/>
  <c r="AJ43" i="9"/>
  <c r="AH43" i="9"/>
  <c r="AG43" i="9"/>
  <c r="AF43" i="9"/>
  <c r="AE43" i="9"/>
  <c r="AD43" i="9"/>
  <c r="Z43" i="9"/>
  <c r="L43" i="9"/>
  <c r="BF43" i="9" s="1"/>
  <c r="K43" i="9"/>
  <c r="J43" i="9"/>
  <c r="H43" i="9"/>
  <c r="AP43" i="9" s="1"/>
  <c r="AX43" i="9" s="1"/>
  <c r="G43" i="9"/>
  <c r="BJ41" i="9"/>
  <c r="BD41" i="9"/>
  <c r="AL41" i="9"/>
  <c r="AJ41" i="9"/>
  <c r="AH41" i="9"/>
  <c r="AG41" i="9"/>
  <c r="AF41" i="9"/>
  <c r="AE41" i="9"/>
  <c r="AD41" i="9"/>
  <c r="Z41" i="9"/>
  <c r="L41" i="9"/>
  <c r="BF41" i="9" s="1"/>
  <c r="K41" i="9"/>
  <c r="J41" i="9"/>
  <c r="H41" i="9"/>
  <c r="AP41" i="9" s="1"/>
  <c r="AX41" i="9" s="1"/>
  <c r="G41" i="9"/>
  <c r="BI41" i="9" s="1"/>
  <c r="AC41" i="9" s="1"/>
  <c r="BH39" i="9"/>
  <c r="AB39" i="9" s="1"/>
  <c r="AO39" i="9"/>
  <c r="AL39" i="9"/>
  <c r="AJ39" i="9"/>
  <c r="AH39" i="9"/>
  <c r="AG39" i="9"/>
  <c r="AF39" i="9"/>
  <c r="AE39" i="9"/>
  <c r="AD39" i="9"/>
  <c r="Z39" i="9"/>
  <c r="L39" i="9"/>
  <c r="BF39" i="9" s="1"/>
  <c r="K39" i="9"/>
  <c r="J39" i="9"/>
  <c r="H39" i="9"/>
  <c r="AP39" i="9" s="1"/>
  <c r="AX39" i="9" s="1"/>
  <c r="G39" i="9"/>
  <c r="BJ37" i="9"/>
  <c r="BD37" i="9"/>
  <c r="AL37" i="9"/>
  <c r="AJ37" i="9"/>
  <c r="AH37" i="9"/>
  <c r="AG37" i="9"/>
  <c r="AF37" i="9"/>
  <c r="AE37" i="9"/>
  <c r="AD37" i="9"/>
  <c r="Z37" i="9"/>
  <c r="L37" i="9"/>
  <c r="K37" i="9"/>
  <c r="J37" i="9"/>
  <c r="H37" i="9"/>
  <c r="AP37" i="9" s="1"/>
  <c r="AX37" i="9" s="1"/>
  <c r="G37" i="9"/>
  <c r="BI37" i="9" s="1"/>
  <c r="AC37" i="9" s="1"/>
  <c r="AU36" i="9"/>
  <c r="AS36" i="9"/>
  <c r="AP34" i="9"/>
  <c r="BI34" i="9" s="1"/>
  <c r="AC34" i="9" s="1"/>
  <c r="AL34" i="9"/>
  <c r="AJ34" i="9"/>
  <c r="AH34" i="9"/>
  <c r="AG34" i="9"/>
  <c r="AF34" i="9"/>
  <c r="AE34" i="9"/>
  <c r="AD34" i="9"/>
  <c r="Z34" i="9"/>
  <c r="K34" i="9"/>
  <c r="J34" i="9"/>
  <c r="I34" i="9"/>
  <c r="AK34" i="9" s="1"/>
  <c r="H34" i="9"/>
  <c r="AO34" i="9" s="1"/>
  <c r="G34" i="9"/>
  <c r="AW34" i="9" s="1"/>
  <c r="AP31" i="9"/>
  <c r="AL31" i="9"/>
  <c r="AJ31" i="9"/>
  <c r="AH31" i="9"/>
  <c r="AG31" i="9"/>
  <c r="AF31" i="9"/>
  <c r="AE31" i="9"/>
  <c r="AD31" i="9"/>
  <c r="Z31" i="9"/>
  <c r="K31" i="9"/>
  <c r="J31" i="9"/>
  <c r="H31" i="9"/>
  <c r="BD31" i="9" s="1"/>
  <c r="G31" i="9"/>
  <c r="AP29" i="9"/>
  <c r="AL29" i="9"/>
  <c r="AJ29" i="9"/>
  <c r="AS28" i="9" s="1"/>
  <c r="AH29" i="9"/>
  <c r="AG29" i="9"/>
  <c r="AF29" i="9"/>
  <c r="AE29" i="9"/>
  <c r="AD29" i="9"/>
  <c r="Z29" i="9"/>
  <c r="K29" i="9"/>
  <c r="J29" i="9"/>
  <c r="H29" i="9"/>
  <c r="AO29" i="9" s="1"/>
  <c r="G29" i="9"/>
  <c r="AW29" i="9" s="1"/>
  <c r="AO25" i="9"/>
  <c r="BH25" i="9" s="1"/>
  <c r="AB25" i="9" s="1"/>
  <c r="AL25" i="9"/>
  <c r="AJ25" i="9"/>
  <c r="AH25" i="9"/>
  <c r="AG25" i="9"/>
  <c r="AF25" i="9"/>
  <c r="AE25" i="9"/>
  <c r="AD25" i="9"/>
  <c r="Z25" i="9"/>
  <c r="L25" i="9"/>
  <c r="BF25" i="9" s="1"/>
  <c r="K25" i="9"/>
  <c r="J25" i="9"/>
  <c r="H25" i="9"/>
  <c r="AP25" i="9" s="1"/>
  <c r="AX25" i="9" s="1"/>
  <c r="G25" i="9"/>
  <c r="BJ23" i="9"/>
  <c r="BD23" i="9"/>
  <c r="AL23" i="9"/>
  <c r="AJ23" i="9"/>
  <c r="AH23" i="9"/>
  <c r="AG23" i="9"/>
  <c r="AF23" i="9"/>
  <c r="AE23" i="9"/>
  <c r="AD23" i="9"/>
  <c r="Z23" i="9"/>
  <c r="L23" i="9"/>
  <c r="BF23" i="9" s="1"/>
  <c r="K23" i="9"/>
  <c r="J23" i="9"/>
  <c r="H23" i="9"/>
  <c r="AP23" i="9" s="1"/>
  <c r="AX23" i="9" s="1"/>
  <c r="G23" i="9"/>
  <c r="AL20" i="9"/>
  <c r="AJ20" i="9"/>
  <c r="AH20" i="9"/>
  <c r="AG20" i="9"/>
  <c r="AF20" i="9"/>
  <c r="C18" i="7" s="1"/>
  <c r="AE20" i="9"/>
  <c r="AD20" i="9"/>
  <c r="Z20" i="9"/>
  <c r="L20" i="9"/>
  <c r="K20" i="9"/>
  <c r="J20" i="9"/>
  <c r="H20" i="9"/>
  <c r="AP20" i="9" s="1"/>
  <c r="AX20" i="9" s="1"/>
  <c r="G20" i="9"/>
  <c r="AU19" i="9"/>
  <c r="AS19" i="9"/>
  <c r="AW17" i="9"/>
  <c r="AP17" i="9"/>
  <c r="AL17" i="9"/>
  <c r="C27" i="7" s="1"/>
  <c r="F27" i="7" s="1"/>
  <c r="AJ17" i="9"/>
  <c r="AH17" i="9"/>
  <c r="AG17" i="9"/>
  <c r="AF17" i="9"/>
  <c r="AE17" i="9"/>
  <c r="AD17" i="9"/>
  <c r="Z17" i="9"/>
  <c r="K17" i="9"/>
  <c r="J17" i="9"/>
  <c r="H17" i="9"/>
  <c r="AO17" i="9" s="1"/>
  <c r="G17" i="9"/>
  <c r="BI17" i="9" s="1"/>
  <c r="AC17" i="9" s="1"/>
  <c r="BI14" i="9"/>
  <c r="AC14" i="9" s="1"/>
  <c r="AP14" i="9"/>
  <c r="AL14" i="9"/>
  <c r="AJ14" i="9"/>
  <c r="AS13" i="9" s="1"/>
  <c r="AH14" i="9"/>
  <c r="AG14" i="9"/>
  <c r="AF14" i="9"/>
  <c r="AE14" i="9"/>
  <c r="AD14" i="9"/>
  <c r="Z14" i="9"/>
  <c r="K14" i="9"/>
  <c r="J14" i="9"/>
  <c r="I14" i="9"/>
  <c r="H14" i="9"/>
  <c r="AO14" i="9" s="1"/>
  <c r="G14" i="9"/>
  <c r="AW14" i="9" s="1"/>
  <c r="K8" i="9"/>
  <c r="H8" i="9"/>
  <c r="D8" i="9"/>
  <c r="K6" i="9"/>
  <c r="H6" i="9"/>
  <c r="D6" i="9"/>
  <c r="K4" i="9"/>
  <c r="D4" i="9"/>
  <c r="K2" i="9"/>
  <c r="H2" i="9"/>
  <c r="D2" i="9"/>
  <c r="AU1" i="9"/>
  <c r="AT1" i="9"/>
  <c r="AS1" i="9"/>
  <c r="F44" i="8"/>
  <c r="I44" i="8" s="1"/>
  <c r="F43" i="8"/>
  <c r="I43" i="8" s="1"/>
  <c r="F42" i="8"/>
  <c r="I42" i="8" s="1"/>
  <c r="F41" i="8"/>
  <c r="I41" i="8" s="1"/>
  <c r="F40" i="8"/>
  <c r="I40" i="8" s="1"/>
  <c r="F39" i="8"/>
  <c r="I39" i="8" s="1"/>
  <c r="F38" i="8"/>
  <c r="I38" i="8" s="1"/>
  <c r="F37" i="8"/>
  <c r="I37" i="8" s="1"/>
  <c r="F36" i="8"/>
  <c r="I36" i="8" s="1"/>
  <c r="F35" i="8"/>
  <c r="I35" i="8" s="1"/>
  <c r="I45" i="8" s="1"/>
  <c r="I23" i="7" s="1"/>
  <c r="I26" i="8"/>
  <c r="I25" i="8"/>
  <c r="I18" i="7" s="1"/>
  <c r="I24" i="8"/>
  <c r="I23" i="8"/>
  <c r="I16" i="7" s="1"/>
  <c r="I22" i="8"/>
  <c r="I21" i="8"/>
  <c r="I14" i="7" s="1"/>
  <c r="I17" i="8"/>
  <c r="I16" i="8"/>
  <c r="I15" i="8"/>
  <c r="I18" i="8" s="1"/>
  <c r="I10" i="8"/>
  <c r="F10" i="8"/>
  <c r="C10" i="8"/>
  <c r="F8" i="8"/>
  <c r="C8" i="8"/>
  <c r="F6" i="8"/>
  <c r="C6" i="8"/>
  <c r="F4" i="8"/>
  <c r="C4" i="8"/>
  <c r="F2" i="8"/>
  <c r="C2" i="8"/>
  <c r="I22" i="7"/>
  <c r="C20" i="7"/>
  <c r="I19" i="7"/>
  <c r="C19" i="7"/>
  <c r="I17" i="7"/>
  <c r="F16" i="7"/>
  <c r="I15" i="7"/>
  <c r="F15" i="7"/>
  <c r="F14" i="7"/>
  <c r="F22" i="7" s="1"/>
  <c r="I10" i="7"/>
  <c r="F10" i="7"/>
  <c r="C10" i="7"/>
  <c r="F8" i="7"/>
  <c r="F6" i="7"/>
  <c r="C6" i="7"/>
  <c r="F4" i="7"/>
  <c r="C4" i="7"/>
  <c r="F2" i="7"/>
  <c r="C2" i="7"/>
  <c r="AW171" i="6"/>
  <c r="AO171" i="6"/>
  <c r="AL171" i="6"/>
  <c r="AJ171" i="6"/>
  <c r="AH171" i="6"/>
  <c r="AG171" i="6"/>
  <c r="AF171" i="6"/>
  <c r="AE171" i="6"/>
  <c r="AD171" i="6"/>
  <c r="AC171" i="6"/>
  <c r="AB171" i="6"/>
  <c r="K171" i="6"/>
  <c r="J171" i="6"/>
  <c r="I171" i="6"/>
  <c r="AK171" i="6" s="1"/>
  <c r="H171" i="6"/>
  <c r="BD171" i="6" s="1"/>
  <c r="G171" i="6"/>
  <c r="L171" i="6" s="1"/>
  <c r="BF171" i="6" s="1"/>
  <c r="AP169" i="6"/>
  <c r="BI169" i="6" s="1"/>
  <c r="AL169" i="6"/>
  <c r="AJ169" i="6"/>
  <c r="AH169" i="6"/>
  <c r="AG169" i="6"/>
  <c r="AF169" i="6"/>
  <c r="AE169" i="6"/>
  <c r="AD169" i="6"/>
  <c r="AC169" i="6"/>
  <c r="AB169" i="6"/>
  <c r="K169" i="6"/>
  <c r="J169" i="6"/>
  <c r="I169" i="6"/>
  <c r="AK169" i="6" s="1"/>
  <c r="H169" i="6"/>
  <c r="AO169" i="6" s="1"/>
  <c r="G169" i="6"/>
  <c r="AW169" i="6" s="1"/>
  <c r="AP167" i="6"/>
  <c r="BI167" i="6" s="1"/>
  <c r="AL167" i="6"/>
  <c r="AJ167" i="6"/>
  <c r="AH167" i="6"/>
  <c r="AG167" i="6"/>
  <c r="AF167" i="6"/>
  <c r="AE167" i="6"/>
  <c r="AD167" i="6"/>
  <c r="AC167" i="6"/>
  <c r="AB167" i="6"/>
  <c r="K167" i="6"/>
  <c r="J167" i="6"/>
  <c r="I167" i="6"/>
  <c r="AK167" i="6" s="1"/>
  <c r="H167" i="6"/>
  <c r="BD167" i="6" s="1"/>
  <c r="G167" i="6"/>
  <c r="AX167" i="6" s="1"/>
  <c r="AP165" i="6"/>
  <c r="BI165" i="6" s="1"/>
  <c r="AL165" i="6"/>
  <c r="AJ165" i="6"/>
  <c r="AH165" i="6"/>
  <c r="AG165" i="6"/>
  <c r="AF165" i="6"/>
  <c r="AE165" i="6"/>
  <c r="AD165" i="6"/>
  <c r="AC165" i="6"/>
  <c r="AB165" i="6"/>
  <c r="K165" i="6"/>
  <c r="J165" i="6"/>
  <c r="I165" i="6"/>
  <c r="AK165" i="6" s="1"/>
  <c r="H165" i="6"/>
  <c r="AO165" i="6" s="1"/>
  <c r="G165" i="6"/>
  <c r="AW165" i="6" s="1"/>
  <c r="AP163" i="6"/>
  <c r="BI163" i="6" s="1"/>
  <c r="AL163" i="6"/>
  <c r="AJ163" i="6"/>
  <c r="AH163" i="6"/>
  <c r="AG163" i="6"/>
  <c r="AF163" i="6"/>
  <c r="AE163" i="6"/>
  <c r="AD163" i="6"/>
  <c r="AC163" i="6"/>
  <c r="AB163" i="6"/>
  <c r="K163" i="6"/>
  <c r="J163" i="6"/>
  <c r="I163" i="6"/>
  <c r="AK163" i="6" s="1"/>
  <c r="H163" i="6"/>
  <c r="BD163" i="6" s="1"/>
  <c r="G163" i="6"/>
  <c r="AX163" i="6" s="1"/>
  <c r="AP161" i="6"/>
  <c r="BI161" i="6" s="1"/>
  <c r="AL161" i="6"/>
  <c r="AJ161" i="6"/>
  <c r="AH161" i="6"/>
  <c r="AG161" i="6"/>
  <c r="AF161" i="6"/>
  <c r="AE161" i="6"/>
  <c r="AD161" i="6"/>
  <c r="AC161" i="6"/>
  <c r="AB161" i="6"/>
  <c r="K161" i="6"/>
  <c r="J161" i="6"/>
  <c r="I161" i="6"/>
  <c r="AK161" i="6" s="1"/>
  <c r="H161" i="6"/>
  <c r="AO161" i="6" s="1"/>
  <c r="G161" i="6"/>
  <c r="AW161" i="6" s="1"/>
  <c r="AP159" i="6"/>
  <c r="BI159" i="6" s="1"/>
  <c r="AL159" i="6"/>
  <c r="AU158" i="6" s="1"/>
  <c r="AJ159" i="6"/>
  <c r="AS158" i="6" s="1"/>
  <c r="AH159" i="6"/>
  <c r="AG159" i="6"/>
  <c r="AF159" i="6"/>
  <c r="AE159" i="6"/>
  <c r="AD159" i="6"/>
  <c r="AC159" i="6"/>
  <c r="AB159" i="6"/>
  <c r="K159" i="6"/>
  <c r="J159" i="6"/>
  <c r="I159" i="6"/>
  <c r="AK159" i="6" s="1"/>
  <c r="H159" i="6"/>
  <c r="BD159" i="6" s="1"/>
  <c r="G159" i="6"/>
  <c r="AX159" i="6" s="1"/>
  <c r="BJ157" i="6"/>
  <c r="Z157" i="6" s="1"/>
  <c r="BD157" i="6"/>
  <c r="AL157" i="6"/>
  <c r="AJ157" i="6"/>
  <c r="AH157" i="6"/>
  <c r="AG157" i="6"/>
  <c r="AF157" i="6"/>
  <c r="AE157" i="6"/>
  <c r="AD157" i="6"/>
  <c r="AC157" i="6"/>
  <c r="AB157" i="6"/>
  <c r="L157" i="6"/>
  <c r="BF157" i="6" s="1"/>
  <c r="K157" i="6"/>
  <c r="J157" i="6"/>
  <c r="H157" i="6"/>
  <c r="AO157" i="6" s="1"/>
  <c r="BH157" i="6" s="1"/>
  <c r="G157" i="6"/>
  <c r="AU156" i="6"/>
  <c r="AS156" i="6"/>
  <c r="BD154" i="6"/>
  <c r="AP154" i="6"/>
  <c r="AL154" i="6"/>
  <c r="AU153" i="6" s="1"/>
  <c r="AJ154" i="6"/>
  <c r="AS153" i="6" s="1"/>
  <c r="AH154" i="6"/>
  <c r="AG154" i="6"/>
  <c r="AF154" i="6"/>
  <c r="AE154" i="6"/>
  <c r="AD154" i="6"/>
  <c r="Z154" i="6"/>
  <c r="K154" i="6"/>
  <c r="J154" i="6"/>
  <c r="H154" i="6"/>
  <c r="AO154" i="6" s="1"/>
  <c r="AW154" i="6" s="1"/>
  <c r="G154" i="6"/>
  <c r="BI154" i="6" s="1"/>
  <c r="AC154" i="6" s="1"/>
  <c r="AL150" i="6"/>
  <c r="AJ150" i="6"/>
  <c r="AH150" i="6"/>
  <c r="AG150" i="6"/>
  <c r="AF150" i="6"/>
  <c r="AE150" i="6"/>
  <c r="AD150" i="6"/>
  <c r="Z150" i="6"/>
  <c r="L150" i="6"/>
  <c r="BF150" i="6" s="1"/>
  <c r="K150" i="6"/>
  <c r="J150" i="6"/>
  <c r="H150" i="6"/>
  <c r="BJ150" i="6" s="1"/>
  <c r="G150" i="6"/>
  <c r="AL148" i="6"/>
  <c r="AJ148" i="6"/>
  <c r="AH148" i="6"/>
  <c r="AG148" i="6"/>
  <c r="AF148" i="6"/>
  <c r="AE148" i="6"/>
  <c r="AD148" i="6"/>
  <c r="Z148" i="6"/>
  <c r="L148" i="6"/>
  <c r="BF148" i="6" s="1"/>
  <c r="K148" i="6"/>
  <c r="J148" i="6"/>
  <c r="H148" i="6"/>
  <c r="BD148" i="6" s="1"/>
  <c r="G148" i="6"/>
  <c r="AL146" i="6"/>
  <c r="AJ146" i="6"/>
  <c r="AH146" i="6"/>
  <c r="AG146" i="6"/>
  <c r="AF146" i="6"/>
  <c r="AE146" i="6"/>
  <c r="AD146" i="6"/>
  <c r="Z146" i="6"/>
  <c r="L146" i="6"/>
  <c r="BF146" i="6" s="1"/>
  <c r="K146" i="6"/>
  <c r="J146" i="6"/>
  <c r="H146" i="6"/>
  <c r="BJ146" i="6" s="1"/>
  <c r="G146" i="6"/>
  <c r="AL144" i="6"/>
  <c r="AJ144" i="6"/>
  <c r="AH144" i="6"/>
  <c r="AG144" i="6"/>
  <c r="AF144" i="6"/>
  <c r="AE144" i="6"/>
  <c r="AD144" i="6"/>
  <c r="Z144" i="6"/>
  <c r="L144" i="6"/>
  <c r="BF144" i="6" s="1"/>
  <c r="K144" i="6"/>
  <c r="J144" i="6"/>
  <c r="H144" i="6"/>
  <c r="BD144" i="6" s="1"/>
  <c r="G144" i="6"/>
  <c r="AL142" i="6"/>
  <c r="AJ142" i="6"/>
  <c r="AH142" i="6"/>
  <c r="AG142" i="6"/>
  <c r="AF142" i="6"/>
  <c r="AE142" i="6"/>
  <c r="AD142" i="6"/>
  <c r="Z142" i="6"/>
  <c r="L142" i="6"/>
  <c r="BF142" i="6" s="1"/>
  <c r="K142" i="6"/>
  <c r="J142" i="6"/>
  <c r="H142" i="6"/>
  <c r="BJ142" i="6" s="1"/>
  <c r="G142" i="6"/>
  <c r="AL140" i="6"/>
  <c r="AJ140" i="6"/>
  <c r="AH140" i="6"/>
  <c r="AG140" i="6"/>
  <c r="AF140" i="6"/>
  <c r="AE140" i="6"/>
  <c r="AD140" i="6"/>
  <c r="Z140" i="6"/>
  <c r="L140" i="6"/>
  <c r="BF140" i="6" s="1"/>
  <c r="K140" i="6"/>
  <c r="J140" i="6"/>
  <c r="H140" i="6"/>
  <c r="BD140" i="6" s="1"/>
  <c r="G140" i="6"/>
  <c r="AL138" i="6"/>
  <c r="AJ138" i="6"/>
  <c r="AH138" i="6"/>
  <c r="AG138" i="6"/>
  <c r="AF138" i="6"/>
  <c r="AE138" i="6"/>
  <c r="AD138" i="6"/>
  <c r="Z138" i="6"/>
  <c r="L138" i="6"/>
  <c r="BF138" i="6" s="1"/>
  <c r="K138" i="6"/>
  <c r="J138" i="6"/>
  <c r="H138" i="6"/>
  <c r="BJ138" i="6" s="1"/>
  <c r="G138" i="6"/>
  <c r="AU137" i="6"/>
  <c r="AS137" i="6"/>
  <c r="AP134" i="6"/>
  <c r="BI134" i="6" s="1"/>
  <c r="AC134" i="6" s="1"/>
  <c r="AL134" i="6"/>
  <c r="AU133" i="6" s="1"/>
  <c r="AJ134" i="6"/>
  <c r="AS133" i="6" s="1"/>
  <c r="AH134" i="6"/>
  <c r="AG134" i="6"/>
  <c r="AF134" i="6"/>
  <c r="AE134" i="6"/>
  <c r="AD134" i="6"/>
  <c r="Z134" i="6"/>
  <c r="K134" i="6"/>
  <c r="J134" i="6"/>
  <c r="I134" i="6"/>
  <c r="I133" i="6" s="1"/>
  <c r="H134" i="6"/>
  <c r="AO134" i="6" s="1"/>
  <c r="G134" i="6"/>
  <c r="AW134" i="6" s="1"/>
  <c r="BJ131" i="6"/>
  <c r="BD131" i="6"/>
  <c r="AL131" i="6"/>
  <c r="AJ131" i="6"/>
  <c r="AH131" i="6"/>
  <c r="AG131" i="6"/>
  <c r="AF131" i="6"/>
  <c r="AE131" i="6"/>
  <c r="AD131" i="6"/>
  <c r="Z131" i="6"/>
  <c r="L131" i="6"/>
  <c r="BF131" i="6" s="1"/>
  <c r="K131" i="6"/>
  <c r="J131" i="6"/>
  <c r="H131" i="6"/>
  <c r="AP131" i="6" s="1"/>
  <c r="G131" i="6"/>
  <c r="BJ129" i="6"/>
  <c r="BD129" i="6"/>
  <c r="AL129" i="6"/>
  <c r="AJ129" i="6"/>
  <c r="AH129" i="6"/>
  <c r="AG129" i="6"/>
  <c r="AF129" i="6"/>
  <c r="AE129" i="6"/>
  <c r="AD129" i="6"/>
  <c r="Z129" i="6"/>
  <c r="L129" i="6"/>
  <c r="BF129" i="6" s="1"/>
  <c r="K129" i="6"/>
  <c r="J129" i="6"/>
  <c r="H129" i="6"/>
  <c r="AO129" i="6" s="1"/>
  <c r="BH129" i="6" s="1"/>
  <c r="AB129" i="6" s="1"/>
  <c r="G129" i="6"/>
  <c r="AW129" i="6" s="1"/>
  <c r="AU128" i="6"/>
  <c r="AS128" i="6"/>
  <c r="BD125" i="6"/>
  <c r="AP125" i="6"/>
  <c r="AL125" i="6"/>
  <c r="AJ125" i="6"/>
  <c r="AH125" i="6"/>
  <c r="AG125" i="6"/>
  <c r="AF125" i="6"/>
  <c r="AE125" i="6"/>
  <c r="AD125" i="6"/>
  <c r="Z125" i="6"/>
  <c r="K125" i="6"/>
  <c r="J125" i="6"/>
  <c r="H125" i="6"/>
  <c r="AO125" i="6" s="1"/>
  <c r="AW125" i="6" s="1"/>
  <c r="G125" i="6"/>
  <c r="BI125" i="6" s="1"/>
  <c r="AC125" i="6" s="1"/>
  <c r="BD122" i="6"/>
  <c r="AP122" i="6"/>
  <c r="AL122" i="6"/>
  <c r="AJ122" i="6"/>
  <c r="AH122" i="6"/>
  <c r="AG122" i="6"/>
  <c r="AF122" i="6"/>
  <c r="AE122" i="6"/>
  <c r="AD122" i="6"/>
  <c r="Z122" i="6"/>
  <c r="K122" i="6"/>
  <c r="J122" i="6"/>
  <c r="H122" i="6"/>
  <c r="AO122" i="6" s="1"/>
  <c r="G122" i="6"/>
  <c r="AX122" i="6" s="1"/>
  <c r="BD119" i="6"/>
  <c r="AP119" i="6"/>
  <c r="AL119" i="6"/>
  <c r="AU118" i="6" s="1"/>
  <c r="AJ119" i="6"/>
  <c r="AS118" i="6" s="1"/>
  <c r="AH119" i="6"/>
  <c r="AG119" i="6"/>
  <c r="AF119" i="6"/>
  <c r="AE119" i="6"/>
  <c r="AD119" i="6"/>
  <c r="Z119" i="6"/>
  <c r="K119" i="6"/>
  <c r="J119" i="6"/>
  <c r="H119" i="6"/>
  <c r="AO119" i="6" s="1"/>
  <c r="G119" i="6"/>
  <c r="BI119" i="6" s="1"/>
  <c r="AC119" i="6" s="1"/>
  <c r="AL115" i="6"/>
  <c r="AJ115" i="6"/>
  <c r="AH115" i="6"/>
  <c r="AG115" i="6"/>
  <c r="AF115" i="6"/>
  <c r="AC115" i="6"/>
  <c r="AB115" i="6"/>
  <c r="Z115" i="6"/>
  <c r="L115" i="6"/>
  <c r="BF115" i="6" s="1"/>
  <c r="K115" i="6"/>
  <c r="J115" i="6"/>
  <c r="H115" i="6"/>
  <c r="BJ115" i="6" s="1"/>
  <c r="G115" i="6"/>
  <c r="AU114" i="6"/>
  <c r="AS114" i="6"/>
  <c r="AP111" i="6"/>
  <c r="BI111" i="6" s="1"/>
  <c r="AE111" i="6" s="1"/>
  <c r="AL111" i="6"/>
  <c r="AJ111" i="6"/>
  <c r="AH111" i="6"/>
  <c r="AG111" i="6"/>
  <c r="AF111" i="6"/>
  <c r="AC111" i="6"/>
  <c r="AB111" i="6"/>
  <c r="Z111" i="6"/>
  <c r="K111" i="6"/>
  <c r="J111" i="6"/>
  <c r="I111" i="6"/>
  <c r="AK111" i="6" s="1"/>
  <c r="H111" i="6"/>
  <c r="AO111" i="6" s="1"/>
  <c r="G111" i="6"/>
  <c r="AP108" i="6"/>
  <c r="BI108" i="6" s="1"/>
  <c r="AE108" i="6" s="1"/>
  <c r="AL108" i="6"/>
  <c r="AJ108" i="6"/>
  <c r="AH108" i="6"/>
  <c r="AG108" i="6"/>
  <c r="AF108" i="6"/>
  <c r="AC108" i="6"/>
  <c r="AB108" i="6"/>
  <c r="Z108" i="6"/>
  <c r="K108" i="6"/>
  <c r="J108" i="6"/>
  <c r="I108" i="6"/>
  <c r="AK108" i="6" s="1"/>
  <c r="H108" i="6"/>
  <c r="BD108" i="6" s="1"/>
  <c r="G108" i="6"/>
  <c r="AX108" i="6" s="1"/>
  <c r="AP105" i="6"/>
  <c r="BI105" i="6" s="1"/>
  <c r="AE105" i="6" s="1"/>
  <c r="AL105" i="6"/>
  <c r="AU104" i="6" s="1"/>
  <c r="AJ105" i="6"/>
  <c r="AS104" i="6" s="1"/>
  <c r="AH105" i="6"/>
  <c r="AG105" i="6"/>
  <c r="AF105" i="6"/>
  <c r="AC105" i="6"/>
  <c r="AB105" i="6"/>
  <c r="Z105" i="6"/>
  <c r="K105" i="6"/>
  <c r="J105" i="6"/>
  <c r="I105" i="6"/>
  <c r="I104" i="6" s="1"/>
  <c r="H105" i="6"/>
  <c r="AO105" i="6" s="1"/>
  <c r="G105" i="6"/>
  <c r="BJ101" i="6"/>
  <c r="BD101" i="6"/>
  <c r="AL101" i="6"/>
  <c r="AJ101" i="6"/>
  <c r="AH101" i="6"/>
  <c r="AG101" i="6"/>
  <c r="AF101" i="6"/>
  <c r="AC101" i="6"/>
  <c r="AB101" i="6"/>
  <c r="Z101" i="6"/>
  <c r="L101" i="6"/>
  <c r="BF101" i="6" s="1"/>
  <c r="K101" i="6"/>
  <c r="J101" i="6"/>
  <c r="H101" i="6"/>
  <c r="AP101" i="6" s="1"/>
  <c r="G101" i="6"/>
  <c r="BJ98" i="6"/>
  <c r="BD98" i="6"/>
  <c r="AL98" i="6"/>
  <c r="AJ98" i="6"/>
  <c r="AH98" i="6"/>
  <c r="AG98" i="6"/>
  <c r="AF98" i="6"/>
  <c r="AC98" i="6"/>
  <c r="AB98" i="6"/>
  <c r="Z98" i="6"/>
  <c r="L98" i="6"/>
  <c r="BF98" i="6" s="1"/>
  <c r="K98" i="6"/>
  <c r="J98" i="6"/>
  <c r="H98" i="6"/>
  <c r="AO98" i="6" s="1"/>
  <c r="BH98" i="6" s="1"/>
  <c r="AD98" i="6" s="1"/>
  <c r="G98" i="6"/>
  <c r="BJ95" i="6"/>
  <c r="BD95" i="6"/>
  <c r="AL95" i="6"/>
  <c r="AJ95" i="6"/>
  <c r="AH95" i="6"/>
  <c r="AG95" i="6"/>
  <c r="AF95" i="6"/>
  <c r="AC95" i="6"/>
  <c r="AB95" i="6"/>
  <c r="Z95" i="6"/>
  <c r="L95" i="6"/>
  <c r="BF95" i="6" s="1"/>
  <c r="K95" i="6"/>
  <c r="J95" i="6"/>
  <c r="H95" i="6"/>
  <c r="AP95" i="6" s="1"/>
  <c r="G95" i="6"/>
  <c r="BJ92" i="6"/>
  <c r="BD92" i="6"/>
  <c r="AL92" i="6"/>
  <c r="AJ92" i="6"/>
  <c r="AH92" i="6"/>
  <c r="AG92" i="6"/>
  <c r="AF92" i="6"/>
  <c r="AC92" i="6"/>
  <c r="AB92" i="6"/>
  <c r="Z92" i="6"/>
  <c r="L92" i="6"/>
  <c r="BF92" i="6" s="1"/>
  <c r="K92" i="6"/>
  <c r="J92" i="6"/>
  <c r="H92" i="6"/>
  <c r="AO92" i="6" s="1"/>
  <c r="BH92" i="6" s="1"/>
  <c r="AD92" i="6" s="1"/>
  <c r="G92" i="6"/>
  <c r="BJ89" i="6"/>
  <c r="BD89" i="6"/>
  <c r="AL89" i="6"/>
  <c r="AJ89" i="6"/>
  <c r="AH89" i="6"/>
  <c r="AG89" i="6"/>
  <c r="AF89" i="6"/>
  <c r="AC89" i="6"/>
  <c r="AB89" i="6"/>
  <c r="Z89" i="6"/>
  <c r="L89" i="6"/>
  <c r="L88" i="6" s="1"/>
  <c r="K89" i="6"/>
  <c r="J89" i="6"/>
  <c r="H89" i="6"/>
  <c r="AP89" i="6" s="1"/>
  <c r="G89" i="6"/>
  <c r="AU88" i="6"/>
  <c r="AS88" i="6"/>
  <c r="BD86" i="6"/>
  <c r="AP86" i="6"/>
  <c r="AL86" i="6"/>
  <c r="AU85" i="6" s="1"/>
  <c r="AJ86" i="6"/>
  <c r="AS85" i="6" s="1"/>
  <c r="AH86" i="6"/>
  <c r="AG86" i="6"/>
  <c r="AF86" i="6"/>
  <c r="AC86" i="6"/>
  <c r="AB86" i="6"/>
  <c r="Z86" i="6"/>
  <c r="K86" i="6"/>
  <c r="J86" i="6"/>
  <c r="H86" i="6"/>
  <c r="AO86" i="6" s="1"/>
  <c r="G86" i="6"/>
  <c r="AX86" i="6" s="1"/>
  <c r="AL84" i="6"/>
  <c r="AJ84" i="6"/>
  <c r="AH84" i="6"/>
  <c r="AG84" i="6"/>
  <c r="AF84" i="6"/>
  <c r="AE84" i="6"/>
  <c r="AD84" i="6"/>
  <c r="AC84" i="6"/>
  <c r="AB84" i="6"/>
  <c r="L84" i="6"/>
  <c r="BF84" i="6" s="1"/>
  <c r="K84" i="6"/>
  <c r="J84" i="6"/>
  <c r="H84" i="6"/>
  <c r="BD84" i="6" s="1"/>
  <c r="G84" i="6"/>
  <c r="AL81" i="6"/>
  <c r="AJ81" i="6"/>
  <c r="AH81" i="6"/>
  <c r="AG81" i="6"/>
  <c r="AF81" i="6"/>
  <c r="AC81" i="6"/>
  <c r="AB81" i="6"/>
  <c r="Z81" i="6"/>
  <c r="L81" i="6"/>
  <c r="BF81" i="6" s="1"/>
  <c r="K81" i="6"/>
  <c r="J81" i="6"/>
  <c r="H81" i="6"/>
  <c r="BJ81" i="6" s="1"/>
  <c r="G81" i="6"/>
  <c r="AL78" i="6"/>
  <c r="AJ78" i="6"/>
  <c r="AH78" i="6"/>
  <c r="AG78" i="6"/>
  <c r="AF78" i="6"/>
  <c r="AC78" i="6"/>
  <c r="AB78" i="6"/>
  <c r="Z78" i="6"/>
  <c r="L78" i="6"/>
  <c r="BF78" i="6" s="1"/>
  <c r="K78" i="6"/>
  <c r="J78" i="6"/>
  <c r="H78" i="6"/>
  <c r="BD78" i="6" s="1"/>
  <c r="G78" i="6"/>
  <c r="AL75" i="6"/>
  <c r="AJ75" i="6"/>
  <c r="AH75" i="6"/>
  <c r="AG75" i="6"/>
  <c r="AF75" i="6"/>
  <c r="AC75" i="6"/>
  <c r="AB75" i="6"/>
  <c r="Z75" i="6"/>
  <c r="L75" i="6"/>
  <c r="BF75" i="6" s="1"/>
  <c r="K75" i="6"/>
  <c r="J75" i="6"/>
  <c r="H75" i="6"/>
  <c r="BJ75" i="6" s="1"/>
  <c r="G75" i="6"/>
  <c r="AL68" i="6"/>
  <c r="AJ68" i="6"/>
  <c r="AH68" i="6"/>
  <c r="AG68" i="6"/>
  <c r="AF68" i="6"/>
  <c r="AC68" i="6"/>
  <c r="AB68" i="6"/>
  <c r="Z68" i="6"/>
  <c r="L68" i="6"/>
  <c r="L67" i="6" s="1"/>
  <c r="K68" i="6"/>
  <c r="J68" i="6"/>
  <c r="H68" i="6"/>
  <c r="BD68" i="6" s="1"/>
  <c r="G68" i="6"/>
  <c r="AU67" i="6"/>
  <c r="AS67" i="6"/>
  <c r="AP65" i="6"/>
  <c r="BI65" i="6" s="1"/>
  <c r="AE65" i="6" s="1"/>
  <c r="AL65" i="6"/>
  <c r="AJ65" i="6"/>
  <c r="AH65" i="6"/>
  <c r="AG65" i="6"/>
  <c r="AF65" i="6"/>
  <c r="AC65" i="6"/>
  <c r="AB65" i="6"/>
  <c r="Z65" i="6"/>
  <c r="K65" i="6"/>
  <c r="J65" i="6"/>
  <c r="I65" i="6"/>
  <c r="AK65" i="6" s="1"/>
  <c r="H65" i="6"/>
  <c r="BD65" i="6" s="1"/>
  <c r="G65" i="6"/>
  <c r="AX65" i="6" s="1"/>
  <c r="AP62" i="6"/>
  <c r="BI62" i="6" s="1"/>
  <c r="AE62" i="6" s="1"/>
  <c r="AL62" i="6"/>
  <c r="AJ62" i="6"/>
  <c r="AH62" i="6"/>
  <c r="AG62" i="6"/>
  <c r="AF62" i="6"/>
  <c r="AC62" i="6"/>
  <c r="AB62" i="6"/>
  <c r="Z62" i="6"/>
  <c r="K62" i="6"/>
  <c r="J62" i="6"/>
  <c r="I62" i="6"/>
  <c r="AK62" i="6" s="1"/>
  <c r="H62" i="6"/>
  <c r="AO62" i="6" s="1"/>
  <c r="G62" i="6"/>
  <c r="AW62" i="6" s="1"/>
  <c r="AP59" i="6"/>
  <c r="BI59" i="6" s="1"/>
  <c r="AE59" i="6" s="1"/>
  <c r="AL59" i="6"/>
  <c r="AJ59" i="6"/>
  <c r="AH59" i="6"/>
  <c r="AG59" i="6"/>
  <c r="AF59" i="6"/>
  <c r="AC59" i="6"/>
  <c r="AB59" i="6"/>
  <c r="Z59" i="6"/>
  <c r="K59" i="6"/>
  <c r="J59" i="6"/>
  <c r="I59" i="6"/>
  <c r="AK59" i="6" s="1"/>
  <c r="H59" i="6"/>
  <c r="BD59" i="6" s="1"/>
  <c r="G59" i="6"/>
  <c r="AX59" i="6" s="1"/>
  <c r="AP57" i="6"/>
  <c r="BI57" i="6" s="1"/>
  <c r="AE57" i="6" s="1"/>
  <c r="AL57" i="6"/>
  <c r="AU56" i="6" s="1"/>
  <c r="AJ57" i="6"/>
  <c r="AS56" i="6" s="1"/>
  <c r="AH57" i="6"/>
  <c r="AG57" i="6"/>
  <c r="AF57" i="6"/>
  <c r="AC57" i="6"/>
  <c r="AB57" i="6"/>
  <c r="Z57" i="6"/>
  <c r="K57" i="6"/>
  <c r="J57" i="6"/>
  <c r="I57" i="6"/>
  <c r="I56" i="6" s="1"/>
  <c r="H57" i="6"/>
  <c r="AO57" i="6" s="1"/>
  <c r="G57" i="6"/>
  <c r="AW57" i="6" s="1"/>
  <c r="BJ54" i="6"/>
  <c r="BD54" i="6"/>
  <c r="AL54" i="6"/>
  <c r="AJ54" i="6"/>
  <c r="AH54" i="6"/>
  <c r="AG54" i="6"/>
  <c r="AF54" i="6"/>
  <c r="AC54" i="6"/>
  <c r="AB54" i="6"/>
  <c r="Z54" i="6"/>
  <c r="L54" i="6"/>
  <c r="BF54" i="6" s="1"/>
  <c r="K54" i="6"/>
  <c r="J54" i="6"/>
  <c r="H54" i="6"/>
  <c r="AP54" i="6" s="1"/>
  <c r="G54" i="6"/>
  <c r="BJ52" i="6"/>
  <c r="BD52" i="6"/>
  <c r="AL52" i="6"/>
  <c r="AJ52" i="6"/>
  <c r="AH52" i="6"/>
  <c r="AG52" i="6"/>
  <c r="AF52" i="6"/>
  <c r="AC52" i="6"/>
  <c r="AB52" i="6"/>
  <c r="Z52" i="6"/>
  <c r="L52" i="6"/>
  <c r="BF52" i="6" s="1"/>
  <c r="K52" i="6"/>
  <c r="J52" i="6"/>
  <c r="H52" i="6"/>
  <c r="AO52" i="6" s="1"/>
  <c r="BH52" i="6" s="1"/>
  <c r="AD52" i="6" s="1"/>
  <c r="G52" i="6"/>
  <c r="AW52" i="6" s="1"/>
  <c r="BJ50" i="6"/>
  <c r="BD50" i="6"/>
  <c r="AL50" i="6"/>
  <c r="AJ50" i="6"/>
  <c r="AH50" i="6"/>
  <c r="AG50" i="6"/>
  <c r="AF50" i="6"/>
  <c r="AC50" i="6"/>
  <c r="AB50" i="6"/>
  <c r="Z50" i="6"/>
  <c r="L50" i="6"/>
  <c r="L49" i="6" s="1"/>
  <c r="K50" i="6"/>
  <c r="J50" i="6"/>
  <c r="H50" i="6"/>
  <c r="AP50" i="6" s="1"/>
  <c r="G50" i="6"/>
  <c r="AU49" i="6"/>
  <c r="AS49" i="6"/>
  <c r="BD46" i="6"/>
  <c r="AP46" i="6"/>
  <c r="AL46" i="6"/>
  <c r="AU45" i="6" s="1"/>
  <c r="AJ46" i="6"/>
  <c r="AS45" i="6" s="1"/>
  <c r="AH46" i="6"/>
  <c r="AG46" i="6"/>
  <c r="AF46" i="6"/>
  <c r="AE46" i="6"/>
  <c r="AD46" i="6"/>
  <c r="Z46" i="6"/>
  <c r="K46" i="6"/>
  <c r="J46" i="6"/>
  <c r="H46" i="6"/>
  <c r="AO46" i="6" s="1"/>
  <c r="AW46" i="6" s="1"/>
  <c r="G46" i="6"/>
  <c r="AO43" i="6"/>
  <c r="BH43" i="6" s="1"/>
  <c r="AB43" i="6" s="1"/>
  <c r="AL43" i="6"/>
  <c r="AJ43" i="6"/>
  <c r="AH43" i="6"/>
  <c r="AG43" i="6"/>
  <c r="AF43" i="6"/>
  <c r="AE43" i="6"/>
  <c r="AD43" i="6"/>
  <c r="Z43" i="6"/>
  <c r="L43" i="6"/>
  <c r="BF43" i="6" s="1"/>
  <c r="K43" i="6"/>
  <c r="J43" i="6"/>
  <c r="H43" i="6"/>
  <c r="G43" i="6"/>
  <c r="AW43" i="6" s="1"/>
  <c r="AO41" i="6"/>
  <c r="BH41" i="6" s="1"/>
  <c r="AB41" i="6" s="1"/>
  <c r="AL41" i="6"/>
  <c r="AJ41" i="6"/>
  <c r="AH41" i="6"/>
  <c r="AG41" i="6"/>
  <c r="AF41" i="6"/>
  <c r="AE41" i="6"/>
  <c r="AD41" i="6"/>
  <c r="Z41" i="6"/>
  <c r="L41" i="6"/>
  <c r="BF41" i="6" s="1"/>
  <c r="K41" i="6"/>
  <c r="J41" i="6"/>
  <c r="H41" i="6"/>
  <c r="G41" i="6"/>
  <c r="AO39" i="6"/>
  <c r="BH39" i="6" s="1"/>
  <c r="AB39" i="6" s="1"/>
  <c r="AL39" i="6"/>
  <c r="AJ39" i="6"/>
  <c r="AH39" i="6"/>
  <c r="AG39" i="6"/>
  <c r="AF39" i="6"/>
  <c r="AE39" i="6"/>
  <c r="AD39" i="6"/>
  <c r="Z39" i="6"/>
  <c r="L39" i="6"/>
  <c r="BF39" i="6" s="1"/>
  <c r="K39" i="6"/>
  <c r="J39" i="6"/>
  <c r="H39" i="6"/>
  <c r="G39" i="6"/>
  <c r="AW39" i="6" s="1"/>
  <c r="AL37" i="6"/>
  <c r="AJ37" i="6"/>
  <c r="AH37" i="6"/>
  <c r="AG37" i="6"/>
  <c r="AF37" i="6"/>
  <c r="AE37" i="6"/>
  <c r="AD37" i="6"/>
  <c r="Z37" i="6"/>
  <c r="L37" i="6"/>
  <c r="K37" i="6"/>
  <c r="J37" i="6"/>
  <c r="H37" i="6"/>
  <c r="AP37" i="6" s="1"/>
  <c r="AX37" i="6" s="1"/>
  <c r="G37" i="6"/>
  <c r="AU36" i="6"/>
  <c r="AS36" i="6"/>
  <c r="AW34" i="6"/>
  <c r="AP34" i="6"/>
  <c r="AL34" i="6"/>
  <c r="AJ34" i="6"/>
  <c r="AH34" i="6"/>
  <c r="AG34" i="6"/>
  <c r="AF34" i="6"/>
  <c r="AE34" i="6"/>
  <c r="AD34" i="6"/>
  <c r="Z34" i="6"/>
  <c r="K34" i="6"/>
  <c r="J34" i="6"/>
  <c r="H34" i="6"/>
  <c r="AO34" i="6" s="1"/>
  <c r="G34" i="6"/>
  <c r="BI34" i="6" s="1"/>
  <c r="AC34" i="6" s="1"/>
  <c r="BI31" i="6"/>
  <c r="AC31" i="6" s="1"/>
  <c r="AP31" i="6"/>
  <c r="AL31" i="6"/>
  <c r="AJ31" i="6"/>
  <c r="AH31" i="6"/>
  <c r="AG31" i="6"/>
  <c r="C19" i="4" s="1"/>
  <c r="AF31" i="6"/>
  <c r="AE31" i="6"/>
  <c r="AD31" i="6"/>
  <c r="Z31" i="6"/>
  <c r="K31" i="6"/>
  <c r="J31" i="6"/>
  <c r="I31" i="6"/>
  <c r="AK31" i="6" s="1"/>
  <c r="H31" i="6"/>
  <c r="BD31" i="6" s="1"/>
  <c r="G31" i="6"/>
  <c r="AP29" i="6"/>
  <c r="AL29" i="6"/>
  <c r="AU28" i="6" s="1"/>
  <c r="AJ29" i="6"/>
  <c r="AH29" i="6"/>
  <c r="AG29" i="6"/>
  <c r="AF29" i="6"/>
  <c r="AE29" i="6"/>
  <c r="AD29" i="6"/>
  <c r="Z29" i="6"/>
  <c r="K29" i="6"/>
  <c r="J29" i="6"/>
  <c r="H29" i="6"/>
  <c r="AO29" i="6" s="1"/>
  <c r="AW29" i="6" s="1"/>
  <c r="G29" i="6"/>
  <c r="BJ25" i="6"/>
  <c r="BD25" i="6"/>
  <c r="AL25" i="6"/>
  <c r="AJ25" i="6"/>
  <c r="AH25" i="6"/>
  <c r="AG25" i="6"/>
  <c r="AF25" i="6"/>
  <c r="AE25" i="6"/>
  <c r="AD25" i="6"/>
  <c r="Z25" i="6"/>
  <c r="L25" i="6"/>
  <c r="BF25" i="6" s="1"/>
  <c r="K25" i="6"/>
  <c r="J25" i="6"/>
  <c r="H25" i="6"/>
  <c r="AO25" i="6" s="1"/>
  <c r="BH25" i="6" s="1"/>
  <c r="AB25" i="6" s="1"/>
  <c r="G25" i="6"/>
  <c r="AL23" i="6"/>
  <c r="AJ23" i="6"/>
  <c r="AH23" i="6"/>
  <c r="C20" i="4" s="1"/>
  <c r="AG23" i="6"/>
  <c r="AF23" i="6"/>
  <c r="AE23" i="6"/>
  <c r="AD23" i="6"/>
  <c r="Z23" i="6"/>
  <c r="L23" i="6"/>
  <c r="BF23" i="6" s="1"/>
  <c r="K23" i="6"/>
  <c r="J23" i="6"/>
  <c r="H23" i="6"/>
  <c r="AO23" i="6" s="1"/>
  <c r="BH23" i="6" s="1"/>
  <c r="AB23" i="6" s="1"/>
  <c r="G23" i="6"/>
  <c r="BJ20" i="6"/>
  <c r="BD20" i="6"/>
  <c r="AO20" i="6"/>
  <c r="BH20" i="6" s="1"/>
  <c r="AB20" i="6" s="1"/>
  <c r="AL20" i="6"/>
  <c r="AJ20" i="6"/>
  <c r="AH20" i="6"/>
  <c r="AG20" i="6"/>
  <c r="AF20" i="6"/>
  <c r="AE20" i="6"/>
  <c r="AD20" i="6"/>
  <c r="Z20" i="6"/>
  <c r="L20" i="6"/>
  <c r="K20" i="6"/>
  <c r="J20" i="6"/>
  <c r="H20" i="6"/>
  <c r="G20" i="6"/>
  <c r="AW20" i="6" s="1"/>
  <c r="AU19" i="6"/>
  <c r="AS19" i="6"/>
  <c r="BI17" i="6"/>
  <c r="AC17" i="6" s="1"/>
  <c r="BD17" i="6"/>
  <c r="AP17" i="6"/>
  <c r="AL17" i="6"/>
  <c r="AJ17" i="6"/>
  <c r="AH17" i="6"/>
  <c r="AG17" i="6"/>
  <c r="AF17" i="6"/>
  <c r="AE17" i="6"/>
  <c r="AD17" i="6"/>
  <c r="Z17" i="6"/>
  <c r="K17" i="6"/>
  <c r="J17" i="6"/>
  <c r="H17" i="6"/>
  <c r="AO17" i="6" s="1"/>
  <c r="AW17" i="6" s="1"/>
  <c r="G17" i="6"/>
  <c r="BI14" i="6"/>
  <c r="AC14" i="6" s="1"/>
  <c r="BD14" i="6"/>
  <c r="AP14" i="6"/>
  <c r="AL14" i="6"/>
  <c r="AJ14" i="6"/>
  <c r="AS13" i="6" s="1"/>
  <c r="AH14" i="6"/>
  <c r="AG14" i="6"/>
  <c r="AF14" i="6"/>
  <c r="AE14" i="6"/>
  <c r="AD14" i="6"/>
  <c r="Z14" i="6"/>
  <c r="K14" i="6"/>
  <c r="J14" i="6"/>
  <c r="I14" i="6"/>
  <c r="H14" i="6"/>
  <c r="AO14" i="6" s="1"/>
  <c r="AW14" i="6" s="1"/>
  <c r="G14" i="6"/>
  <c r="K8" i="6"/>
  <c r="H8" i="6"/>
  <c r="D8" i="6"/>
  <c r="K6" i="6"/>
  <c r="H6" i="6"/>
  <c r="D6" i="6"/>
  <c r="K4" i="6"/>
  <c r="D4" i="6"/>
  <c r="K2" i="6"/>
  <c r="H2" i="6"/>
  <c r="D2" i="6"/>
  <c r="AU1" i="6"/>
  <c r="AT1" i="6"/>
  <c r="AS1" i="6"/>
  <c r="F44" i="5"/>
  <c r="I44" i="5" s="1"/>
  <c r="F43" i="5"/>
  <c r="I43" i="5" s="1"/>
  <c r="F42" i="5"/>
  <c r="I42" i="5" s="1"/>
  <c r="F41" i="5"/>
  <c r="I41" i="5" s="1"/>
  <c r="F40" i="5"/>
  <c r="I40" i="5" s="1"/>
  <c r="F39" i="5"/>
  <c r="I39" i="5" s="1"/>
  <c r="F38" i="5"/>
  <c r="I38" i="5" s="1"/>
  <c r="F37" i="5"/>
  <c r="I37" i="5" s="1"/>
  <c r="F36" i="5"/>
  <c r="I36" i="5" s="1"/>
  <c r="F35" i="5"/>
  <c r="I35" i="5" s="1"/>
  <c r="I45" i="5" s="1"/>
  <c r="I23" i="4" s="1"/>
  <c r="I26" i="5"/>
  <c r="I25" i="5"/>
  <c r="I18" i="4" s="1"/>
  <c r="I24" i="5"/>
  <c r="I23" i="5"/>
  <c r="I16" i="4" s="1"/>
  <c r="I22" i="5"/>
  <c r="I21" i="5"/>
  <c r="I14" i="4" s="1"/>
  <c r="I22" i="4" s="1"/>
  <c r="I17" i="5"/>
  <c r="I16" i="5"/>
  <c r="I15" i="5"/>
  <c r="I18" i="5" s="1"/>
  <c r="I10" i="5"/>
  <c r="F10" i="5"/>
  <c r="C10" i="5"/>
  <c r="F8" i="5"/>
  <c r="C8" i="5"/>
  <c r="F6" i="5"/>
  <c r="C6" i="5"/>
  <c r="F4" i="5"/>
  <c r="C4" i="5"/>
  <c r="F2" i="5"/>
  <c r="C2" i="5"/>
  <c r="C27" i="4"/>
  <c r="F27" i="4" s="1"/>
  <c r="C25" i="4"/>
  <c r="I19" i="4"/>
  <c r="C18" i="4"/>
  <c r="I17" i="4"/>
  <c r="F16" i="4"/>
  <c r="I15" i="4"/>
  <c r="F15" i="4"/>
  <c r="I10" i="4"/>
  <c r="F10" i="4"/>
  <c r="C10" i="4"/>
  <c r="F8" i="4"/>
  <c r="F6" i="4"/>
  <c r="C6" i="4"/>
  <c r="F4" i="4"/>
  <c r="C4" i="4"/>
  <c r="F2" i="4"/>
  <c r="C2" i="4"/>
  <c r="AP135" i="3"/>
  <c r="AL135" i="3"/>
  <c r="AJ135" i="3"/>
  <c r="AH135" i="3"/>
  <c r="AG135" i="3"/>
  <c r="AF135" i="3"/>
  <c r="AE135" i="3"/>
  <c r="AD135" i="3"/>
  <c r="AC135" i="3"/>
  <c r="AB135" i="3"/>
  <c r="K135" i="3"/>
  <c r="J135" i="3"/>
  <c r="I135" i="3"/>
  <c r="AK135" i="3" s="1"/>
  <c r="H135" i="3"/>
  <c r="AO135" i="3" s="1"/>
  <c r="G135" i="3"/>
  <c r="AP133" i="3"/>
  <c r="AL133" i="3"/>
  <c r="AJ133" i="3"/>
  <c r="AH133" i="3"/>
  <c r="AG133" i="3"/>
  <c r="AF133" i="3"/>
  <c r="AE133" i="3"/>
  <c r="AD133" i="3"/>
  <c r="AC133" i="3"/>
  <c r="AB133" i="3"/>
  <c r="K133" i="3"/>
  <c r="J133" i="3"/>
  <c r="I133" i="3"/>
  <c r="AK133" i="3" s="1"/>
  <c r="H133" i="3"/>
  <c r="AO133" i="3" s="1"/>
  <c r="G133" i="3"/>
  <c r="BI133" i="3" s="1"/>
  <c r="AP131" i="3"/>
  <c r="AL131" i="3"/>
  <c r="AJ131" i="3"/>
  <c r="AH131" i="3"/>
  <c r="AG131" i="3"/>
  <c r="AF131" i="3"/>
  <c r="AE131" i="3"/>
  <c r="AD131" i="3"/>
  <c r="AC131" i="3"/>
  <c r="AB131" i="3"/>
  <c r="K131" i="3"/>
  <c r="J131" i="3"/>
  <c r="I131" i="3"/>
  <c r="AK131" i="3" s="1"/>
  <c r="H131" i="3"/>
  <c r="AO131" i="3" s="1"/>
  <c r="G131" i="3"/>
  <c r="AP129" i="3"/>
  <c r="AL129" i="3"/>
  <c r="AJ129" i="3"/>
  <c r="AH129" i="3"/>
  <c r="AG129" i="3"/>
  <c r="AF129" i="3"/>
  <c r="AE129" i="3"/>
  <c r="AD129" i="3"/>
  <c r="AC129" i="3"/>
  <c r="AB129" i="3"/>
  <c r="K129" i="3"/>
  <c r="J129" i="3"/>
  <c r="I129" i="3"/>
  <c r="AK129" i="3" s="1"/>
  <c r="H129" i="3"/>
  <c r="AO129" i="3" s="1"/>
  <c r="G129" i="3"/>
  <c r="BI129" i="3" s="1"/>
  <c r="AP127" i="3"/>
  <c r="AL127" i="3"/>
  <c r="AU126" i="3" s="1"/>
  <c r="AJ127" i="3"/>
  <c r="AS126" i="3" s="1"/>
  <c r="AH127" i="3"/>
  <c r="AG127" i="3"/>
  <c r="AF127" i="3"/>
  <c r="AE127" i="3"/>
  <c r="AD127" i="3"/>
  <c r="AC127" i="3"/>
  <c r="AB127" i="3"/>
  <c r="K127" i="3"/>
  <c r="J127" i="3"/>
  <c r="I127" i="3"/>
  <c r="H127" i="3"/>
  <c r="AO127" i="3" s="1"/>
  <c r="G127" i="3"/>
  <c r="AL125" i="3"/>
  <c r="AJ125" i="3"/>
  <c r="AH125" i="3"/>
  <c r="AG125" i="3"/>
  <c r="AF125" i="3"/>
  <c r="AE125" i="3"/>
  <c r="AD125" i="3"/>
  <c r="AC125" i="3"/>
  <c r="AB125" i="3"/>
  <c r="L125" i="3"/>
  <c r="K125" i="3"/>
  <c r="J125" i="3"/>
  <c r="H125" i="3"/>
  <c r="AP125" i="3" s="1"/>
  <c r="AX125" i="3" s="1"/>
  <c r="G125" i="3"/>
  <c r="AU124" i="3"/>
  <c r="AS124" i="3"/>
  <c r="AP122" i="3"/>
  <c r="AL122" i="3"/>
  <c r="AU121" i="3" s="1"/>
  <c r="AJ122" i="3"/>
  <c r="AS121" i="3" s="1"/>
  <c r="AH122" i="3"/>
  <c r="AG122" i="3"/>
  <c r="AF122" i="3"/>
  <c r="AE122" i="3"/>
  <c r="AD122" i="3"/>
  <c r="Z122" i="3"/>
  <c r="K122" i="3"/>
  <c r="J122" i="3"/>
  <c r="H122" i="3"/>
  <c r="BD122" i="3" s="1"/>
  <c r="G122" i="3"/>
  <c r="BI122" i="3" s="1"/>
  <c r="AC122" i="3" s="1"/>
  <c r="BD119" i="3"/>
  <c r="AL119" i="3"/>
  <c r="AJ119" i="3"/>
  <c r="AH119" i="3"/>
  <c r="AG119" i="3"/>
  <c r="AF119" i="3"/>
  <c r="AE119" i="3"/>
  <c r="AD119" i="3"/>
  <c r="Z119" i="3"/>
  <c r="L119" i="3"/>
  <c r="BF119" i="3" s="1"/>
  <c r="K119" i="3"/>
  <c r="J119" i="3"/>
  <c r="H119" i="3"/>
  <c r="AP119" i="3" s="1"/>
  <c r="AX119" i="3" s="1"/>
  <c r="G119" i="3"/>
  <c r="BJ117" i="3"/>
  <c r="BD117" i="3"/>
  <c r="AP117" i="3"/>
  <c r="AL117" i="3"/>
  <c r="AJ117" i="3"/>
  <c r="AH117" i="3"/>
  <c r="AG117" i="3"/>
  <c r="AF117" i="3"/>
  <c r="AE117" i="3"/>
  <c r="AD117" i="3"/>
  <c r="Z117" i="3"/>
  <c r="K117" i="3"/>
  <c r="J117" i="3"/>
  <c r="I117" i="3"/>
  <c r="AK117" i="3" s="1"/>
  <c r="H117" i="3"/>
  <c r="AO117" i="3" s="1"/>
  <c r="AW117" i="3" s="1"/>
  <c r="G117" i="3"/>
  <c r="BI117" i="3" s="1"/>
  <c r="AC117" i="3" s="1"/>
  <c r="BD115" i="3"/>
  <c r="AP115" i="3"/>
  <c r="BI115" i="3" s="1"/>
  <c r="AC115" i="3" s="1"/>
  <c r="AL115" i="3"/>
  <c r="AJ115" i="3"/>
  <c r="AH115" i="3"/>
  <c r="AG115" i="3"/>
  <c r="AF115" i="3"/>
  <c r="AE115" i="3"/>
  <c r="AD115" i="3"/>
  <c r="Z115" i="3"/>
  <c r="K115" i="3"/>
  <c r="J115" i="3"/>
  <c r="I115" i="3"/>
  <c r="AK115" i="3" s="1"/>
  <c r="H115" i="3"/>
  <c r="AO115" i="3" s="1"/>
  <c r="G115" i="3"/>
  <c r="AX115" i="3" s="1"/>
  <c r="BD113" i="3"/>
  <c r="AP113" i="3"/>
  <c r="BI113" i="3" s="1"/>
  <c r="AC113" i="3" s="1"/>
  <c r="AL113" i="3"/>
  <c r="AJ113" i="3"/>
  <c r="AH113" i="3"/>
  <c r="AG113" i="3"/>
  <c r="AF113" i="3"/>
  <c r="AE113" i="3"/>
  <c r="AD113" i="3"/>
  <c r="Z113" i="3"/>
  <c r="K113" i="3"/>
  <c r="J113" i="3"/>
  <c r="I113" i="3"/>
  <c r="AK113" i="3" s="1"/>
  <c r="H113" i="3"/>
  <c r="AO113" i="3" s="1"/>
  <c r="AW113" i="3" s="1"/>
  <c r="G113" i="3"/>
  <c r="BJ113" i="3" s="1"/>
  <c r="BD111" i="3"/>
  <c r="AP111" i="3"/>
  <c r="BI111" i="3" s="1"/>
  <c r="AC111" i="3" s="1"/>
  <c r="AL111" i="3"/>
  <c r="AU110" i="3" s="1"/>
  <c r="AJ111" i="3"/>
  <c r="AS110" i="3" s="1"/>
  <c r="AH111" i="3"/>
  <c r="AG111" i="3"/>
  <c r="AF111" i="3"/>
  <c r="AE111" i="3"/>
  <c r="AD111" i="3"/>
  <c r="Z111" i="3"/>
  <c r="K111" i="3"/>
  <c r="J111" i="3"/>
  <c r="I111" i="3"/>
  <c r="AK111" i="3" s="1"/>
  <c r="H111" i="3"/>
  <c r="AO111" i="3" s="1"/>
  <c r="G111" i="3"/>
  <c r="AX111" i="3" s="1"/>
  <c r="BJ106" i="3"/>
  <c r="BD106" i="3"/>
  <c r="AL106" i="3"/>
  <c r="AJ106" i="3"/>
  <c r="AH106" i="3"/>
  <c r="AG106" i="3"/>
  <c r="AF106" i="3"/>
  <c r="AE106" i="3"/>
  <c r="AD106" i="3"/>
  <c r="Z106" i="3"/>
  <c r="L106" i="3"/>
  <c r="BF106" i="3" s="1"/>
  <c r="K106" i="3"/>
  <c r="J106" i="3"/>
  <c r="H106" i="3"/>
  <c r="AO106" i="3" s="1"/>
  <c r="BH106" i="3" s="1"/>
  <c r="AB106" i="3" s="1"/>
  <c r="G106" i="3"/>
  <c r="AW106" i="3" s="1"/>
  <c r="AU105" i="3"/>
  <c r="AS105" i="3"/>
  <c r="AP103" i="3"/>
  <c r="AL103" i="3"/>
  <c r="AU102" i="3" s="1"/>
  <c r="AJ103" i="3"/>
  <c r="AS102" i="3" s="1"/>
  <c r="AH103" i="3"/>
  <c r="AG103" i="3"/>
  <c r="AF103" i="3"/>
  <c r="AE103" i="3"/>
  <c r="AD103" i="3"/>
  <c r="Z103" i="3"/>
  <c r="K103" i="3"/>
  <c r="J103" i="3"/>
  <c r="H103" i="3"/>
  <c r="AO103" i="3" s="1"/>
  <c r="AW103" i="3" s="1"/>
  <c r="G103" i="3"/>
  <c r="BI103" i="3" s="1"/>
  <c r="AC103" i="3" s="1"/>
  <c r="AL99" i="3"/>
  <c r="AJ99" i="3"/>
  <c r="AH99" i="3"/>
  <c r="AG99" i="3"/>
  <c r="AF99" i="3"/>
  <c r="AE99" i="3"/>
  <c r="AD99" i="3"/>
  <c r="Z99" i="3"/>
  <c r="L99" i="3"/>
  <c r="BF99" i="3" s="1"/>
  <c r="K99" i="3"/>
  <c r="J99" i="3"/>
  <c r="H99" i="3"/>
  <c r="BJ99" i="3" s="1"/>
  <c r="G99" i="3"/>
  <c r="AU98" i="3"/>
  <c r="AS98" i="3"/>
  <c r="BD95" i="3"/>
  <c r="AP95" i="3"/>
  <c r="BI95" i="3" s="1"/>
  <c r="AE95" i="3" s="1"/>
  <c r="AL95" i="3"/>
  <c r="AU94" i="3" s="1"/>
  <c r="AJ95" i="3"/>
  <c r="AS94" i="3" s="1"/>
  <c r="AH95" i="3"/>
  <c r="AG95" i="3"/>
  <c r="AF95" i="3"/>
  <c r="AC95" i="3"/>
  <c r="AB95" i="3"/>
  <c r="Z95" i="3"/>
  <c r="K95" i="3"/>
  <c r="J95" i="3"/>
  <c r="I95" i="3"/>
  <c r="I94" i="3" s="1"/>
  <c r="H95" i="3"/>
  <c r="AO95" i="3" s="1"/>
  <c r="AW95" i="3" s="1"/>
  <c r="G95" i="3"/>
  <c r="BJ95" i="3" s="1"/>
  <c r="BJ90" i="3"/>
  <c r="BD90" i="3"/>
  <c r="AL90" i="3"/>
  <c r="AJ90" i="3"/>
  <c r="AH90" i="3"/>
  <c r="AG90" i="3"/>
  <c r="AF90" i="3"/>
  <c r="AC90" i="3"/>
  <c r="AB90" i="3"/>
  <c r="Z90" i="3"/>
  <c r="L90" i="3"/>
  <c r="BF90" i="3" s="1"/>
  <c r="K90" i="3"/>
  <c r="J90" i="3"/>
  <c r="H90" i="3"/>
  <c r="AP90" i="3" s="1"/>
  <c r="AX90" i="3" s="1"/>
  <c r="G90" i="3"/>
  <c r="BJ87" i="3"/>
  <c r="BD87" i="3"/>
  <c r="AL87" i="3"/>
  <c r="AJ87" i="3"/>
  <c r="AH87" i="3"/>
  <c r="AG87" i="3"/>
  <c r="AF87" i="3"/>
  <c r="AC87" i="3"/>
  <c r="AB87" i="3"/>
  <c r="Z87" i="3"/>
  <c r="L87" i="3"/>
  <c r="BF87" i="3" s="1"/>
  <c r="K87" i="3"/>
  <c r="J87" i="3"/>
  <c r="H87" i="3"/>
  <c r="AO87" i="3" s="1"/>
  <c r="BH87" i="3" s="1"/>
  <c r="AD87" i="3" s="1"/>
  <c r="G87" i="3"/>
  <c r="AW87" i="3" s="1"/>
  <c r="BJ83" i="3"/>
  <c r="BD83" i="3"/>
  <c r="AL83" i="3"/>
  <c r="AJ83" i="3"/>
  <c r="AH83" i="3"/>
  <c r="AG83" i="3"/>
  <c r="AF83" i="3"/>
  <c r="AC83" i="3"/>
  <c r="AB83" i="3"/>
  <c r="Z83" i="3"/>
  <c r="L83" i="3"/>
  <c r="L82" i="3" s="1"/>
  <c r="K83" i="3"/>
  <c r="J83" i="3"/>
  <c r="H83" i="3"/>
  <c r="AP83" i="3" s="1"/>
  <c r="AX83" i="3" s="1"/>
  <c r="G83" i="3"/>
  <c r="AU82" i="3"/>
  <c r="AS82" i="3"/>
  <c r="AP79" i="3"/>
  <c r="AL79" i="3"/>
  <c r="AJ79" i="3"/>
  <c r="AH79" i="3"/>
  <c r="AG79" i="3"/>
  <c r="AF79" i="3"/>
  <c r="AC79" i="3"/>
  <c r="AB79" i="3"/>
  <c r="Z79" i="3"/>
  <c r="K79" i="3"/>
  <c r="J79" i="3"/>
  <c r="H79" i="3"/>
  <c r="AO79" i="3" s="1"/>
  <c r="G79" i="3"/>
  <c r="AX79" i="3" s="1"/>
  <c r="AP76" i="3"/>
  <c r="AL76" i="3"/>
  <c r="AU75" i="3" s="1"/>
  <c r="AJ76" i="3"/>
  <c r="AS75" i="3" s="1"/>
  <c r="AH76" i="3"/>
  <c r="AG76" i="3"/>
  <c r="AF76" i="3"/>
  <c r="AC76" i="3"/>
  <c r="AB76" i="3"/>
  <c r="Z76" i="3"/>
  <c r="K76" i="3"/>
  <c r="J76" i="3"/>
  <c r="H76" i="3"/>
  <c r="AO76" i="3" s="1"/>
  <c r="AW76" i="3" s="1"/>
  <c r="G76" i="3"/>
  <c r="BI76" i="3" s="1"/>
  <c r="AE76" i="3" s="1"/>
  <c r="AL74" i="3"/>
  <c r="AJ74" i="3"/>
  <c r="AH74" i="3"/>
  <c r="AG74" i="3"/>
  <c r="AF74" i="3"/>
  <c r="AE74" i="3"/>
  <c r="AD74" i="3"/>
  <c r="AC74" i="3"/>
  <c r="AB74" i="3"/>
  <c r="L74" i="3"/>
  <c r="BF74" i="3" s="1"/>
  <c r="K74" i="3"/>
  <c r="J74" i="3"/>
  <c r="H74" i="3"/>
  <c r="BJ74" i="3" s="1"/>
  <c r="Z74" i="3" s="1"/>
  <c r="G74" i="3"/>
  <c r="AL71" i="3"/>
  <c r="AJ71" i="3"/>
  <c r="AH71" i="3"/>
  <c r="AG71" i="3"/>
  <c r="AF71" i="3"/>
  <c r="AC71" i="3"/>
  <c r="AB71" i="3"/>
  <c r="Z71" i="3"/>
  <c r="L71" i="3"/>
  <c r="BF71" i="3" s="1"/>
  <c r="K71" i="3"/>
  <c r="J71" i="3"/>
  <c r="H71" i="3"/>
  <c r="BD71" i="3" s="1"/>
  <c r="G71" i="3"/>
  <c r="AL68" i="3"/>
  <c r="AJ68" i="3"/>
  <c r="AH68" i="3"/>
  <c r="AG68" i="3"/>
  <c r="AF68" i="3"/>
  <c r="AC68" i="3"/>
  <c r="AB68" i="3"/>
  <c r="Z68" i="3"/>
  <c r="L68" i="3"/>
  <c r="BF68" i="3" s="1"/>
  <c r="K68" i="3"/>
  <c r="J68" i="3"/>
  <c r="H68" i="3"/>
  <c r="BJ68" i="3" s="1"/>
  <c r="G68" i="3"/>
  <c r="AL65" i="3"/>
  <c r="AJ65" i="3"/>
  <c r="AH65" i="3"/>
  <c r="AG65" i="3"/>
  <c r="AF65" i="3"/>
  <c r="AC65" i="3"/>
  <c r="AB65" i="3"/>
  <c r="Z65" i="3"/>
  <c r="L65" i="3"/>
  <c r="BF65" i="3" s="1"/>
  <c r="K65" i="3"/>
  <c r="J65" i="3"/>
  <c r="H65" i="3"/>
  <c r="BD65" i="3" s="1"/>
  <c r="G65" i="3"/>
  <c r="AL62" i="3"/>
  <c r="AJ62" i="3"/>
  <c r="AH62" i="3"/>
  <c r="AG62" i="3"/>
  <c r="AF62" i="3"/>
  <c r="AC62" i="3"/>
  <c r="AB62" i="3"/>
  <c r="Z62" i="3"/>
  <c r="L62" i="3"/>
  <c r="BF62" i="3" s="1"/>
  <c r="K62" i="3"/>
  <c r="J62" i="3"/>
  <c r="H62" i="3"/>
  <c r="BJ62" i="3" s="1"/>
  <c r="G62" i="3"/>
  <c r="AL53" i="3"/>
  <c r="AJ53" i="3"/>
  <c r="AH53" i="3"/>
  <c r="AG53" i="3"/>
  <c r="AF53" i="3"/>
  <c r="AC53" i="3"/>
  <c r="AB53" i="3"/>
  <c r="Z53" i="3"/>
  <c r="L53" i="3"/>
  <c r="BF53" i="3" s="1"/>
  <c r="K53" i="3"/>
  <c r="J53" i="3"/>
  <c r="H53" i="3"/>
  <c r="BD53" i="3" s="1"/>
  <c r="G53" i="3"/>
  <c r="AL50" i="3"/>
  <c r="AJ50" i="3"/>
  <c r="AH50" i="3"/>
  <c r="AG50" i="3"/>
  <c r="AF50" i="3"/>
  <c r="AC50" i="3"/>
  <c r="AB50" i="3"/>
  <c r="Z50" i="3"/>
  <c r="L50" i="3"/>
  <c r="BF50" i="3" s="1"/>
  <c r="K50" i="3"/>
  <c r="J50" i="3"/>
  <c r="H50" i="3"/>
  <c r="BJ50" i="3" s="1"/>
  <c r="G50" i="3"/>
  <c r="AU49" i="3"/>
  <c r="AS49" i="3"/>
  <c r="AP46" i="3"/>
  <c r="BI46" i="3" s="1"/>
  <c r="AE46" i="3" s="1"/>
  <c r="AL46" i="3"/>
  <c r="AJ46" i="3"/>
  <c r="AH46" i="3"/>
  <c r="AG46" i="3"/>
  <c r="AF46" i="3"/>
  <c r="AC46" i="3"/>
  <c r="AB46" i="3"/>
  <c r="Z46" i="3"/>
  <c r="K46" i="3"/>
  <c r="J46" i="3"/>
  <c r="I46" i="3"/>
  <c r="AK46" i="3" s="1"/>
  <c r="H46" i="3"/>
  <c r="AO46" i="3" s="1"/>
  <c r="G46" i="3"/>
  <c r="AP43" i="3"/>
  <c r="BI43" i="3" s="1"/>
  <c r="AE43" i="3" s="1"/>
  <c r="AL43" i="3"/>
  <c r="AJ43" i="3"/>
  <c r="AH43" i="3"/>
  <c r="AG43" i="3"/>
  <c r="AF43" i="3"/>
  <c r="AC43" i="3"/>
  <c r="AB43" i="3"/>
  <c r="Z43" i="3"/>
  <c r="K43" i="3"/>
  <c r="J43" i="3"/>
  <c r="I43" i="3"/>
  <c r="AK43" i="3" s="1"/>
  <c r="H43" i="3"/>
  <c r="BD43" i="3" s="1"/>
  <c r="G43" i="3"/>
  <c r="AX43" i="3" s="1"/>
  <c r="BD41" i="3"/>
  <c r="AP41" i="3"/>
  <c r="BI41" i="3" s="1"/>
  <c r="AE41" i="3" s="1"/>
  <c r="AL41" i="3"/>
  <c r="AU40" i="3" s="1"/>
  <c r="AJ41" i="3"/>
  <c r="AS40" i="3" s="1"/>
  <c r="AH41" i="3"/>
  <c r="AG41" i="3"/>
  <c r="AF41" i="3"/>
  <c r="AC41" i="3"/>
  <c r="AB41" i="3"/>
  <c r="Z41" i="3"/>
  <c r="K41" i="3"/>
  <c r="J41" i="3"/>
  <c r="I41" i="3"/>
  <c r="I40" i="3" s="1"/>
  <c r="H41" i="3"/>
  <c r="AO41" i="3" s="1"/>
  <c r="G41" i="3"/>
  <c r="AW41" i="3" s="1"/>
  <c r="BJ37" i="3"/>
  <c r="BD37" i="3"/>
  <c r="AL37" i="3"/>
  <c r="AJ37" i="3"/>
  <c r="AH37" i="3"/>
  <c r="AG37" i="3"/>
  <c r="AF37" i="3"/>
  <c r="AE37" i="3"/>
  <c r="AD37" i="3"/>
  <c r="Z37" i="3"/>
  <c r="L37" i="3"/>
  <c r="L36" i="3" s="1"/>
  <c r="K37" i="3"/>
  <c r="J37" i="3"/>
  <c r="H37" i="3"/>
  <c r="AP37" i="3" s="1"/>
  <c r="AX37" i="3" s="1"/>
  <c r="G37" i="3"/>
  <c r="AU36" i="3"/>
  <c r="AS36" i="3"/>
  <c r="AP34" i="3"/>
  <c r="AL34" i="3"/>
  <c r="AJ34" i="3"/>
  <c r="AH34" i="3"/>
  <c r="AG34" i="3"/>
  <c r="AF34" i="3"/>
  <c r="AE34" i="3"/>
  <c r="AD34" i="3"/>
  <c r="Z34" i="3"/>
  <c r="K34" i="3"/>
  <c r="J34" i="3"/>
  <c r="H34" i="3"/>
  <c r="AO34" i="3" s="1"/>
  <c r="G34" i="3"/>
  <c r="AX34" i="3" s="1"/>
  <c r="AP31" i="3"/>
  <c r="AL31" i="3"/>
  <c r="AJ31" i="3"/>
  <c r="AH31" i="3"/>
  <c r="AG31" i="3"/>
  <c r="AF31" i="3"/>
  <c r="AE31" i="3"/>
  <c r="AD31" i="3"/>
  <c r="Z31" i="3"/>
  <c r="K31" i="3"/>
  <c r="J31" i="3"/>
  <c r="H31" i="3"/>
  <c r="AO31" i="3" s="1"/>
  <c r="AW31" i="3" s="1"/>
  <c r="G31" i="3"/>
  <c r="I31" i="3" s="1"/>
  <c r="AK31" i="3" s="1"/>
  <c r="AP29" i="3"/>
  <c r="AL29" i="3"/>
  <c r="AU28" i="3" s="1"/>
  <c r="AJ29" i="3"/>
  <c r="AS28" i="3" s="1"/>
  <c r="AH29" i="3"/>
  <c r="AG29" i="3"/>
  <c r="AF29" i="3"/>
  <c r="AE29" i="3"/>
  <c r="AD29" i="3"/>
  <c r="Z29" i="3"/>
  <c r="K29" i="3"/>
  <c r="J29" i="3"/>
  <c r="H29" i="3"/>
  <c r="AO29" i="3" s="1"/>
  <c r="G29" i="3"/>
  <c r="AX29" i="3" s="1"/>
  <c r="AL25" i="3"/>
  <c r="AJ25" i="3"/>
  <c r="AH25" i="3"/>
  <c r="AG25" i="3"/>
  <c r="AF25" i="3"/>
  <c r="AE25" i="3"/>
  <c r="AD25" i="3"/>
  <c r="Z25" i="3"/>
  <c r="L25" i="3"/>
  <c r="BF25" i="3" s="1"/>
  <c r="K25" i="3"/>
  <c r="J25" i="3"/>
  <c r="H25" i="3"/>
  <c r="BJ25" i="3" s="1"/>
  <c r="G25" i="3"/>
  <c r="AL23" i="3"/>
  <c r="AJ23" i="3"/>
  <c r="AH23" i="3"/>
  <c r="AG23" i="3"/>
  <c r="AF23" i="3"/>
  <c r="AE23" i="3"/>
  <c r="AD23" i="3"/>
  <c r="Z23" i="3"/>
  <c r="L23" i="3"/>
  <c r="BF23" i="3" s="1"/>
  <c r="K23" i="3"/>
  <c r="J23" i="3"/>
  <c r="H23" i="3"/>
  <c r="AP23" i="3" s="1"/>
  <c r="AX23" i="3" s="1"/>
  <c r="G23" i="3"/>
  <c r="AL20" i="3"/>
  <c r="AJ20" i="3"/>
  <c r="AH20" i="3"/>
  <c r="AG20" i="3"/>
  <c r="AF20" i="3"/>
  <c r="AE20" i="3"/>
  <c r="AD20" i="3"/>
  <c r="Z20" i="3"/>
  <c r="L20" i="3"/>
  <c r="L19" i="3" s="1"/>
  <c r="K20" i="3"/>
  <c r="J20" i="3"/>
  <c r="H20" i="3"/>
  <c r="BD20" i="3" s="1"/>
  <c r="G20" i="3"/>
  <c r="AU19" i="3"/>
  <c r="AS19" i="3"/>
  <c r="AP17" i="3"/>
  <c r="BI17" i="3" s="1"/>
  <c r="AC17" i="3" s="1"/>
  <c r="AL17" i="3"/>
  <c r="AJ17" i="3"/>
  <c r="AH17" i="3"/>
  <c r="AG17" i="3"/>
  <c r="AF17" i="3"/>
  <c r="AE17" i="3"/>
  <c r="AD17" i="3"/>
  <c r="Z17" i="3"/>
  <c r="K17" i="3"/>
  <c r="J17" i="3"/>
  <c r="I17" i="3"/>
  <c r="AK17" i="3" s="1"/>
  <c r="H17" i="3"/>
  <c r="BD17" i="3" s="1"/>
  <c r="G17" i="3"/>
  <c r="AX17" i="3" s="1"/>
  <c r="AP14" i="3"/>
  <c r="BI14" i="3" s="1"/>
  <c r="AC14" i="3" s="1"/>
  <c r="AL14" i="3"/>
  <c r="AU13" i="3" s="1"/>
  <c r="AJ14" i="3"/>
  <c r="C25" i="1" s="1"/>
  <c r="AH14" i="3"/>
  <c r="AG14" i="3"/>
  <c r="AF14" i="3"/>
  <c r="AE14" i="3"/>
  <c r="AD14" i="3"/>
  <c r="Z14" i="3"/>
  <c r="K14" i="3"/>
  <c r="J14" i="3"/>
  <c r="I14" i="3"/>
  <c r="I13" i="3" s="1"/>
  <c r="H14" i="3"/>
  <c r="AO14" i="3" s="1"/>
  <c r="G14" i="3"/>
  <c r="BJ14" i="3" s="1"/>
  <c r="K8" i="3"/>
  <c r="H8" i="3"/>
  <c r="D8" i="3"/>
  <c r="K6" i="3"/>
  <c r="H6" i="3"/>
  <c r="D6" i="3"/>
  <c r="K4" i="3"/>
  <c r="D4" i="3"/>
  <c r="K2" i="3"/>
  <c r="H2" i="3"/>
  <c r="D2" i="3"/>
  <c r="AU1" i="3"/>
  <c r="AT1" i="3"/>
  <c r="AS1" i="3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I26" i="2"/>
  <c r="I25" i="2"/>
  <c r="I18" i="1" s="1"/>
  <c r="I24" i="2"/>
  <c r="I23" i="2"/>
  <c r="I16" i="1" s="1"/>
  <c r="I22" i="2"/>
  <c r="I21" i="2"/>
  <c r="I27" i="2" s="1"/>
  <c r="I17" i="2"/>
  <c r="I16" i="2"/>
  <c r="I15" i="2"/>
  <c r="F14" i="1" s="1"/>
  <c r="F22" i="1" s="1"/>
  <c r="I10" i="2"/>
  <c r="F10" i="2"/>
  <c r="C10" i="2"/>
  <c r="F8" i="2"/>
  <c r="C8" i="2"/>
  <c r="F6" i="2"/>
  <c r="C6" i="2"/>
  <c r="F4" i="2"/>
  <c r="C4" i="2"/>
  <c r="F2" i="2"/>
  <c r="C2" i="2"/>
  <c r="C20" i="1"/>
  <c r="I19" i="1"/>
  <c r="C19" i="1"/>
  <c r="C18" i="1"/>
  <c r="I17" i="1"/>
  <c r="F16" i="1"/>
  <c r="I15" i="1"/>
  <c r="F15" i="1"/>
  <c r="I10" i="1"/>
  <c r="F10" i="1"/>
  <c r="C10" i="1"/>
  <c r="F8" i="1"/>
  <c r="F6" i="1"/>
  <c r="C6" i="1"/>
  <c r="F4" i="1"/>
  <c r="C4" i="1"/>
  <c r="F2" i="1"/>
  <c r="C2" i="1"/>
  <c r="I45" i="2" l="1"/>
  <c r="I23" i="1" s="1"/>
  <c r="AW74" i="3"/>
  <c r="AV95" i="3"/>
  <c r="AW65" i="3"/>
  <c r="AW46" i="3"/>
  <c r="AV29" i="6"/>
  <c r="BC106" i="3"/>
  <c r="BI23" i="3"/>
  <c r="AC23" i="3" s="1"/>
  <c r="BC31" i="3"/>
  <c r="BC113" i="3"/>
  <c r="AV46" i="6"/>
  <c r="BC103" i="3"/>
  <c r="C27" i="1"/>
  <c r="F27" i="1" s="1"/>
  <c r="AW14" i="3"/>
  <c r="BJ23" i="3"/>
  <c r="BD25" i="3"/>
  <c r="BI31" i="3"/>
  <c r="AC31" i="3" s="1"/>
  <c r="I14" i="1"/>
  <c r="I22" i="1" s="1"/>
  <c r="I18" i="2"/>
  <c r="F29" i="2" s="1"/>
  <c r="AS13" i="3"/>
  <c r="L14" i="3"/>
  <c r="AX14" i="3"/>
  <c r="AO17" i="3"/>
  <c r="BH17" i="3" s="1"/>
  <c r="AB17" i="3" s="1"/>
  <c r="BF20" i="3"/>
  <c r="BD29" i="3"/>
  <c r="BJ31" i="3"/>
  <c r="BD34" i="3"/>
  <c r="L41" i="3"/>
  <c r="AX41" i="3"/>
  <c r="BC41" i="3" s="1"/>
  <c r="AO43" i="3"/>
  <c r="BH43" i="3"/>
  <c r="AD43" i="3" s="1"/>
  <c r="L46" i="3"/>
  <c r="BF46" i="3" s="1"/>
  <c r="AX46" i="3"/>
  <c r="L49" i="3"/>
  <c r="AW50" i="3"/>
  <c r="BJ76" i="3"/>
  <c r="BD79" i="3"/>
  <c r="I87" i="3"/>
  <c r="AK87" i="3" s="1"/>
  <c r="AP87" i="3"/>
  <c r="AX87" i="3" s="1"/>
  <c r="BC87" i="3" s="1"/>
  <c r="L95" i="3"/>
  <c r="AX95" i="3"/>
  <c r="BC95" i="3" s="1"/>
  <c r="L98" i="3"/>
  <c r="BJ103" i="3"/>
  <c r="I106" i="3"/>
  <c r="AP106" i="3"/>
  <c r="AX106" i="3" s="1"/>
  <c r="AV106" i="3" s="1"/>
  <c r="BI106" i="3"/>
  <c r="AC106" i="3" s="1"/>
  <c r="BH111" i="3"/>
  <c r="AB111" i="3" s="1"/>
  <c r="L113" i="3"/>
  <c r="BF113" i="3" s="1"/>
  <c r="AX113" i="3"/>
  <c r="AV113" i="3" s="1"/>
  <c r="BH115" i="3"/>
  <c r="AB115" i="3" s="1"/>
  <c r="L117" i="3"/>
  <c r="BF117" i="3" s="1"/>
  <c r="AX117" i="3"/>
  <c r="AV117" i="3" s="1"/>
  <c r="I119" i="3"/>
  <c r="AK119" i="3" s="1"/>
  <c r="AT110" i="3" s="1"/>
  <c r="I122" i="3"/>
  <c r="L124" i="3"/>
  <c r="BF125" i="3"/>
  <c r="BJ125" i="3"/>
  <c r="Z125" i="3" s="1"/>
  <c r="AX17" i="6"/>
  <c r="AV17" i="6" s="1"/>
  <c r="L17" i="6"/>
  <c r="BF17" i="6" s="1"/>
  <c r="BJ17" i="6"/>
  <c r="BH17" i="6"/>
  <c r="AB17" i="6" s="1"/>
  <c r="AP20" i="6"/>
  <c r="I20" i="6"/>
  <c r="BJ23" i="6"/>
  <c r="BJ29" i="6"/>
  <c r="BH29" i="6"/>
  <c r="AB29" i="6" s="1"/>
  <c r="AX29" i="6"/>
  <c r="BC29" i="6" s="1"/>
  <c r="L29" i="6"/>
  <c r="I34" i="6"/>
  <c r="AK34" i="6" s="1"/>
  <c r="BF37" i="6"/>
  <c r="L36" i="6"/>
  <c r="BJ37" i="6"/>
  <c r="AW105" i="6"/>
  <c r="AT158" i="6"/>
  <c r="AO20" i="3"/>
  <c r="BH20" i="3" s="1"/>
  <c r="AB20" i="3" s="1"/>
  <c r="AO53" i="3"/>
  <c r="BH53" i="3" s="1"/>
  <c r="AD53" i="3" s="1"/>
  <c r="AO71" i="3"/>
  <c r="BH71" i="3" s="1"/>
  <c r="AD71" i="3" s="1"/>
  <c r="AU13" i="6"/>
  <c r="AW25" i="6"/>
  <c r="BI41" i="6"/>
  <c r="AC41" i="6" s="1"/>
  <c r="AX54" i="6"/>
  <c r="BI54" i="6"/>
  <c r="AE54" i="6" s="1"/>
  <c r="BC57" i="6"/>
  <c r="AO25" i="3"/>
  <c r="BH25" i="3" s="1"/>
  <c r="AB25" i="3" s="1"/>
  <c r="AO65" i="3"/>
  <c r="BH65" i="3" s="1"/>
  <c r="AD65" i="3" s="1"/>
  <c r="AK14" i="3"/>
  <c r="BD14" i="3"/>
  <c r="BJ17" i="3"/>
  <c r="I20" i="3"/>
  <c r="AP20" i="3"/>
  <c r="AX20" i="3" s="1"/>
  <c r="I25" i="3"/>
  <c r="AK25" i="3" s="1"/>
  <c r="AP25" i="3"/>
  <c r="AX25" i="3" s="1"/>
  <c r="BI25" i="3"/>
  <c r="AC25" i="3" s="1"/>
  <c r="BH29" i="3"/>
  <c r="AB29" i="3" s="1"/>
  <c r="L31" i="3"/>
  <c r="BF31" i="3" s="1"/>
  <c r="AX31" i="3"/>
  <c r="AV31" i="3" s="1"/>
  <c r="BH34" i="3"/>
  <c r="AB34" i="3" s="1"/>
  <c r="BF37" i="3"/>
  <c r="AK41" i="3"/>
  <c r="AT40" i="3" s="1"/>
  <c r="BJ43" i="3"/>
  <c r="BD46" i="3"/>
  <c r="I53" i="3"/>
  <c r="AK53" i="3" s="1"/>
  <c r="AP53" i="3"/>
  <c r="I65" i="3"/>
  <c r="AK65" i="3" s="1"/>
  <c r="AP65" i="3"/>
  <c r="I71" i="3"/>
  <c r="AK71" i="3" s="1"/>
  <c r="AP71" i="3"/>
  <c r="L76" i="3"/>
  <c r="AX76" i="3"/>
  <c r="BC76" i="3" s="1"/>
  <c r="BH79" i="3"/>
  <c r="AD79" i="3" s="1"/>
  <c r="BF83" i="3"/>
  <c r="AK95" i="3"/>
  <c r="AT94" i="3" s="1"/>
  <c r="L103" i="3"/>
  <c r="AX103" i="3"/>
  <c r="AV103" i="3" s="1"/>
  <c r="L105" i="3"/>
  <c r="I110" i="3"/>
  <c r="BJ111" i="3"/>
  <c r="BJ115" i="3"/>
  <c r="F14" i="4"/>
  <c r="F22" i="4" s="1"/>
  <c r="F1" i="16" s="1"/>
  <c r="I17" i="6"/>
  <c r="AK17" i="6" s="1"/>
  <c r="AP25" i="6"/>
  <c r="I25" i="6"/>
  <c r="AK25" i="6" s="1"/>
  <c r="I29" i="6"/>
  <c r="BI29" i="6"/>
  <c r="AC29" i="6" s="1"/>
  <c r="BD39" i="6"/>
  <c r="BJ39" i="6"/>
  <c r="AP39" i="6"/>
  <c r="AX39" i="6" s="1"/>
  <c r="BC39" i="6" s="1"/>
  <c r="BJ41" i="6"/>
  <c r="AP41" i="6"/>
  <c r="AX41" i="6" s="1"/>
  <c r="BD41" i="6"/>
  <c r="BD43" i="6"/>
  <c r="BJ43" i="6"/>
  <c r="AP43" i="6"/>
  <c r="AX43" i="6" s="1"/>
  <c r="BC43" i="6" s="1"/>
  <c r="AX46" i="6"/>
  <c r="BC46" i="6" s="1"/>
  <c r="L46" i="6"/>
  <c r="BJ46" i="6"/>
  <c r="BI46" i="6"/>
  <c r="AC46" i="6" s="1"/>
  <c r="I46" i="6"/>
  <c r="BH46" i="6"/>
  <c r="AB46" i="6" s="1"/>
  <c r="AW98" i="6"/>
  <c r="AX101" i="6"/>
  <c r="BI101" i="6"/>
  <c r="AE101" i="6" s="1"/>
  <c r="AW17" i="3"/>
  <c r="BD23" i="3"/>
  <c r="I29" i="3"/>
  <c r="BI34" i="3"/>
  <c r="AC34" i="3" s="1"/>
  <c r="AO37" i="3"/>
  <c r="BH37" i="3" s="1"/>
  <c r="AB37" i="3" s="1"/>
  <c r="AW43" i="3"/>
  <c r="BD50" i="3"/>
  <c r="BJ53" i="3"/>
  <c r="BD62" i="3"/>
  <c r="BJ65" i="3"/>
  <c r="BD68" i="3"/>
  <c r="BJ71" i="3"/>
  <c r="BD74" i="3"/>
  <c r="I79" i="3"/>
  <c r="AK79" i="3" s="1"/>
  <c r="BI79" i="3"/>
  <c r="AE79" i="3" s="1"/>
  <c r="AO83" i="3"/>
  <c r="BH83" i="3" s="1"/>
  <c r="AD83" i="3" s="1"/>
  <c r="AO90" i="3"/>
  <c r="BH90" i="3" s="1"/>
  <c r="AD90" i="3" s="1"/>
  <c r="BD99" i="3"/>
  <c r="AW111" i="3"/>
  <c r="AW115" i="3"/>
  <c r="BH117" i="3"/>
  <c r="AB117" i="3" s="1"/>
  <c r="BJ119" i="3"/>
  <c r="AO125" i="3"/>
  <c r="BH125" i="3" s="1"/>
  <c r="AX127" i="3"/>
  <c r="L127" i="3"/>
  <c r="BJ127" i="3"/>
  <c r="Z127" i="3" s="1"/>
  <c r="BH127" i="3"/>
  <c r="AW127" i="3"/>
  <c r="AX131" i="3"/>
  <c r="L131" i="3"/>
  <c r="BF131" i="3" s="1"/>
  <c r="BJ131" i="3"/>
  <c r="Z131" i="3" s="1"/>
  <c r="BH131" i="3"/>
  <c r="AW131" i="3"/>
  <c r="AX135" i="3"/>
  <c r="L135" i="3"/>
  <c r="BF135" i="3" s="1"/>
  <c r="BJ135" i="3"/>
  <c r="Z135" i="3" s="1"/>
  <c r="BH135" i="3"/>
  <c r="AW135" i="3"/>
  <c r="L19" i="6"/>
  <c r="BF20" i="6"/>
  <c r="AX31" i="6"/>
  <c r="L31" i="6"/>
  <c r="BF31" i="6" s="1"/>
  <c r="BJ31" i="6"/>
  <c r="AO37" i="6"/>
  <c r="BH37" i="6" s="1"/>
  <c r="AB37" i="6" s="1"/>
  <c r="AW95" i="6"/>
  <c r="BJ20" i="3"/>
  <c r="BI29" i="3"/>
  <c r="AC29" i="3" s="1"/>
  <c r="I34" i="3"/>
  <c r="AK34" i="3" s="1"/>
  <c r="BH14" i="3"/>
  <c r="AB14" i="3" s="1"/>
  <c r="L17" i="3"/>
  <c r="BF17" i="3" s="1"/>
  <c r="BJ29" i="3"/>
  <c r="BD31" i="3"/>
  <c r="BJ34" i="3"/>
  <c r="I37" i="3"/>
  <c r="BI37" i="3"/>
  <c r="AC37" i="3" s="1"/>
  <c r="BH41" i="3"/>
  <c r="AD41" i="3" s="1"/>
  <c r="C16" i="1" s="1"/>
  <c r="L43" i="3"/>
  <c r="BF43" i="3" s="1"/>
  <c r="BH46" i="3"/>
  <c r="AD46" i="3" s="1"/>
  <c r="BD76" i="3"/>
  <c r="BJ79" i="3"/>
  <c r="I83" i="3"/>
  <c r="BI83" i="3"/>
  <c r="AE83" i="3" s="1"/>
  <c r="I90" i="3"/>
  <c r="AK90" i="3" s="1"/>
  <c r="BI90" i="3"/>
  <c r="AE90" i="3" s="1"/>
  <c r="BH95" i="3"/>
  <c r="AD95" i="3" s="1"/>
  <c r="BD103" i="3"/>
  <c r="L111" i="3"/>
  <c r="BH113" i="3"/>
  <c r="AB113" i="3" s="1"/>
  <c r="L115" i="3"/>
  <c r="BF115" i="3" s="1"/>
  <c r="AW125" i="3"/>
  <c r="BH14" i="6"/>
  <c r="AB14" i="6" s="1"/>
  <c r="AX14" i="6"/>
  <c r="AV14" i="6" s="1"/>
  <c r="L14" i="6"/>
  <c r="BJ14" i="6"/>
  <c r="AW23" i="6"/>
  <c r="AS28" i="6"/>
  <c r="BI37" i="6"/>
  <c r="AC37" i="6" s="1"/>
  <c r="AW92" i="6"/>
  <c r="AX95" i="6"/>
  <c r="BI95" i="6"/>
  <c r="AE95" i="6" s="1"/>
  <c r="AW111" i="6"/>
  <c r="BI148" i="6"/>
  <c r="AC148" i="6" s="1"/>
  <c r="AO50" i="3"/>
  <c r="BH50" i="3" s="1"/>
  <c r="AD50" i="3" s="1"/>
  <c r="AO68" i="3"/>
  <c r="BH68" i="3" s="1"/>
  <c r="AD68" i="3" s="1"/>
  <c r="AO74" i="3"/>
  <c r="BH74" i="3" s="1"/>
  <c r="AW79" i="3"/>
  <c r="AO99" i="3"/>
  <c r="I126" i="3"/>
  <c r="AK127" i="3"/>
  <c r="AT126" i="3" s="1"/>
  <c r="AP23" i="6"/>
  <c r="I23" i="6"/>
  <c r="AK23" i="6" s="1"/>
  <c r="AV34" i="6"/>
  <c r="BC62" i="6"/>
  <c r="AX131" i="6"/>
  <c r="BI131" i="6"/>
  <c r="AC131" i="6" s="1"/>
  <c r="AO23" i="3"/>
  <c r="BH23" i="3" s="1"/>
  <c r="AB23" i="3" s="1"/>
  <c r="AW29" i="3"/>
  <c r="AW34" i="3"/>
  <c r="AO62" i="3"/>
  <c r="BH62" i="3" s="1"/>
  <c r="AD62" i="3" s="1"/>
  <c r="I23" i="3"/>
  <c r="AK23" i="3" s="1"/>
  <c r="L29" i="3"/>
  <c r="BH31" i="3"/>
  <c r="AB31" i="3" s="1"/>
  <c r="L34" i="3"/>
  <c r="BF34" i="3" s="1"/>
  <c r="BJ41" i="3"/>
  <c r="BJ46" i="3"/>
  <c r="I50" i="3"/>
  <c r="AP50" i="3"/>
  <c r="AX50" i="3" s="1"/>
  <c r="I62" i="3"/>
  <c r="AK62" i="3" s="1"/>
  <c r="AP62" i="3"/>
  <c r="I68" i="3"/>
  <c r="AK68" i="3" s="1"/>
  <c r="AP68" i="3"/>
  <c r="I74" i="3"/>
  <c r="AK74" i="3" s="1"/>
  <c r="AP74" i="3"/>
  <c r="BH76" i="3"/>
  <c r="AD76" i="3" s="1"/>
  <c r="L79" i="3"/>
  <c r="BF79" i="3" s="1"/>
  <c r="I99" i="3"/>
  <c r="AP99" i="3"/>
  <c r="BH103" i="3"/>
  <c r="AB103" i="3" s="1"/>
  <c r="AW119" i="3"/>
  <c r="AO119" i="3"/>
  <c r="BH119" i="3" s="1"/>
  <c r="AB119" i="3" s="1"/>
  <c r="AX122" i="3"/>
  <c r="L122" i="3"/>
  <c r="BJ122" i="3"/>
  <c r="BD125" i="3"/>
  <c r="BI127" i="3"/>
  <c r="BI131" i="3"/>
  <c r="BI135" i="3"/>
  <c r="F29" i="5"/>
  <c r="AK14" i="6"/>
  <c r="I13" i="6"/>
  <c r="BD23" i="6"/>
  <c r="BJ34" i="6"/>
  <c r="BH34" i="6"/>
  <c r="AB34" i="6" s="1"/>
  <c r="AX34" i="6"/>
  <c r="L34" i="6"/>
  <c r="BF34" i="6" s="1"/>
  <c r="BC34" i="6"/>
  <c r="BD37" i="6"/>
  <c r="AX89" i="6"/>
  <c r="BI89" i="6"/>
  <c r="AE89" i="6" s="1"/>
  <c r="BC125" i="6"/>
  <c r="AW157" i="6"/>
  <c r="I76" i="3"/>
  <c r="I103" i="3"/>
  <c r="BH129" i="3"/>
  <c r="AX129" i="3"/>
  <c r="L129" i="3"/>
  <c r="BF129" i="3" s="1"/>
  <c r="BJ129" i="3"/>
  <c r="Z129" i="3" s="1"/>
  <c r="C21" i="1" s="1"/>
  <c r="AW129" i="3"/>
  <c r="BH133" i="3"/>
  <c r="AX133" i="3"/>
  <c r="L133" i="3"/>
  <c r="BF133" i="3" s="1"/>
  <c r="BJ133" i="3"/>
  <c r="Z133" i="3" s="1"/>
  <c r="AW133" i="3"/>
  <c r="I27" i="5"/>
  <c r="AX50" i="6"/>
  <c r="BI50" i="6"/>
  <c r="AE50" i="6" s="1"/>
  <c r="AV154" i="6"/>
  <c r="BI119" i="3"/>
  <c r="AC119" i="3" s="1"/>
  <c r="AO122" i="3"/>
  <c r="AW122" i="3" s="1"/>
  <c r="BD127" i="3"/>
  <c r="BD131" i="3"/>
  <c r="BD135" i="3"/>
  <c r="AO31" i="6"/>
  <c r="BH31" i="6" s="1"/>
  <c r="AB31" i="6" s="1"/>
  <c r="AW37" i="6"/>
  <c r="AW41" i="6"/>
  <c r="I52" i="6"/>
  <c r="AK52" i="6" s="1"/>
  <c r="AP52" i="6"/>
  <c r="L57" i="6"/>
  <c r="AX57" i="6"/>
  <c r="AV57" i="6" s="1"/>
  <c r="AO59" i="6"/>
  <c r="BH59" i="6" s="1"/>
  <c r="AD59" i="6" s="1"/>
  <c r="L62" i="6"/>
  <c r="BF62" i="6" s="1"/>
  <c r="AX62" i="6"/>
  <c r="AV62" i="6" s="1"/>
  <c r="AO65" i="6"/>
  <c r="BH65" i="6" s="1"/>
  <c r="AD65" i="6" s="1"/>
  <c r="BF68" i="6"/>
  <c r="I92" i="6"/>
  <c r="AK92" i="6" s="1"/>
  <c r="AP92" i="6"/>
  <c r="I98" i="6"/>
  <c r="AK98" i="6" s="1"/>
  <c r="AP98" i="6"/>
  <c r="L105" i="6"/>
  <c r="AX105" i="6"/>
  <c r="AO108" i="6"/>
  <c r="BH108" i="6"/>
  <c r="AD108" i="6" s="1"/>
  <c r="L111" i="6"/>
  <c r="BF111" i="6" s="1"/>
  <c r="AX111" i="6"/>
  <c r="L114" i="6"/>
  <c r="BJ119" i="6"/>
  <c r="BJ125" i="6"/>
  <c r="I129" i="6"/>
  <c r="AP129" i="6"/>
  <c r="L134" i="6"/>
  <c r="AX134" i="6"/>
  <c r="AV134" i="6" s="1"/>
  <c r="L137" i="6"/>
  <c r="BJ154" i="6"/>
  <c r="I157" i="6"/>
  <c r="AP157" i="6"/>
  <c r="AO159" i="6"/>
  <c r="BH159" i="6"/>
  <c r="L161" i="6"/>
  <c r="BF161" i="6" s="1"/>
  <c r="AX161" i="6"/>
  <c r="AV161" i="6" s="1"/>
  <c r="AO163" i="6"/>
  <c r="BH163" i="6"/>
  <c r="L165" i="6"/>
  <c r="BF165" i="6" s="1"/>
  <c r="AX165" i="6"/>
  <c r="AV165" i="6" s="1"/>
  <c r="AO167" i="6"/>
  <c r="BH167" i="6"/>
  <c r="L169" i="6"/>
  <c r="BF169" i="6" s="1"/>
  <c r="AX169" i="6"/>
  <c r="AV169" i="6" s="1"/>
  <c r="AP171" i="6"/>
  <c r="BI171" i="6" s="1"/>
  <c r="AU13" i="9"/>
  <c r="I17" i="9"/>
  <c r="AK17" i="9" s="1"/>
  <c r="L19" i="9"/>
  <c r="BF20" i="9"/>
  <c r="BJ20" i="9"/>
  <c r="AO23" i="9"/>
  <c r="BH23" i="9" s="1"/>
  <c r="AB23" i="9" s="1"/>
  <c r="BD25" i="9"/>
  <c r="AX31" i="9"/>
  <c r="L31" i="9"/>
  <c r="BF31" i="9" s="1"/>
  <c r="BJ31" i="9"/>
  <c r="AO37" i="9"/>
  <c r="BH37" i="9" s="1"/>
  <c r="AB37" i="9" s="1"/>
  <c r="BD39" i="9"/>
  <c r="AW43" i="9"/>
  <c r="BH157" i="9"/>
  <c r="AW157" i="9"/>
  <c r="AO68" i="6"/>
  <c r="BH68" i="6" s="1"/>
  <c r="AD68" i="6" s="1"/>
  <c r="AO78" i="6"/>
  <c r="BH78" i="6" s="1"/>
  <c r="AD78" i="6" s="1"/>
  <c r="AO84" i="6"/>
  <c r="BH84" i="6" s="1"/>
  <c r="AW119" i="6"/>
  <c r="AO140" i="6"/>
  <c r="AO144" i="6"/>
  <c r="BH144" i="6" s="1"/>
  <c r="AB144" i="6" s="1"/>
  <c r="AO148" i="6"/>
  <c r="AW23" i="9"/>
  <c r="I45" i="9"/>
  <c r="AK46" i="9"/>
  <c r="AT45" i="9" s="1"/>
  <c r="L49" i="9"/>
  <c r="BF50" i="9"/>
  <c r="I125" i="3"/>
  <c r="BI125" i="3"/>
  <c r="BD29" i="6"/>
  <c r="BD34" i="6"/>
  <c r="I39" i="6"/>
  <c r="AK39" i="6" s="1"/>
  <c r="I43" i="6"/>
  <c r="AK43" i="6" s="1"/>
  <c r="BF50" i="6"/>
  <c r="AK57" i="6"/>
  <c r="AT56" i="6" s="1"/>
  <c r="BD57" i="6"/>
  <c r="BJ59" i="6"/>
  <c r="BD62" i="6"/>
  <c r="BJ65" i="6"/>
  <c r="I68" i="6"/>
  <c r="AP68" i="6"/>
  <c r="AX68" i="6" s="1"/>
  <c r="BI68" i="6"/>
  <c r="AE68" i="6" s="1"/>
  <c r="I78" i="6"/>
  <c r="AK78" i="6" s="1"/>
  <c r="AP78" i="6"/>
  <c r="AX78" i="6" s="1"/>
  <c r="I84" i="6"/>
  <c r="AK84" i="6" s="1"/>
  <c r="AP84" i="6"/>
  <c r="AX84" i="6" s="1"/>
  <c r="BI84" i="6"/>
  <c r="BH86" i="6"/>
  <c r="AD86" i="6" s="1"/>
  <c r="BF89" i="6"/>
  <c r="AK105" i="6"/>
  <c r="AT104" i="6" s="1"/>
  <c r="BD105" i="6"/>
  <c r="BJ108" i="6"/>
  <c r="BD111" i="6"/>
  <c r="L119" i="6"/>
  <c r="AX119" i="6"/>
  <c r="BH122" i="6"/>
  <c r="AB122" i="6" s="1"/>
  <c r="L125" i="6"/>
  <c r="BF125" i="6" s="1"/>
  <c r="AX125" i="6"/>
  <c r="AV125" i="6" s="1"/>
  <c r="L128" i="6"/>
  <c r="AK134" i="6"/>
  <c r="AT133" i="6" s="1"/>
  <c r="BD134" i="6"/>
  <c r="I140" i="6"/>
  <c r="AK140" i="6" s="1"/>
  <c r="AP140" i="6"/>
  <c r="AX140" i="6" s="1"/>
  <c r="I144" i="6"/>
  <c r="AK144" i="6" s="1"/>
  <c r="AP144" i="6"/>
  <c r="AX144" i="6" s="1"/>
  <c r="I148" i="6"/>
  <c r="AK148" i="6" s="1"/>
  <c r="AP148" i="6"/>
  <c r="AX148" i="6" s="1"/>
  <c r="L154" i="6"/>
  <c r="AX154" i="6"/>
  <c r="BC154" i="6" s="1"/>
  <c r="L156" i="6"/>
  <c r="I158" i="6"/>
  <c r="BJ159" i="6"/>
  <c r="Z159" i="6" s="1"/>
  <c r="BD161" i="6"/>
  <c r="BJ163" i="6"/>
  <c r="Z163" i="6" s="1"/>
  <c r="BD165" i="6"/>
  <c r="BJ167" i="6"/>
  <c r="Z167" i="6" s="1"/>
  <c r="BD169" i="6"/>
  <c r="AX171" i="6"/>
  <c r="AV171" i="6" s="1"/>
  <c r="BJ25" i="9"/>
  <c r="AU28" i="9"/>
  <c r="I31" i="9"/>
  <c r="AK31" i="9" s="1"/>
  <c r="BI31" i="9"/>
  <c r="AC31" i="9" s="1"/>
  <c r="BJ39" i="9"/>
  <c r="AO41" i="9"/>
  <c r="BH41" i="9" s="1"/>
  <c r="AB41" i="9" s="1"/>
  <c r="BD43" i="9"/>
  <c r="AX59" i="9"/>
  <c r="AW105" i="9"/>
  <c r="I45" i="11"/>
  <c r="I23" i="10" s="1"/>
  <c r="AO50" i="6"/>
  <c r="BH50" i="6" s="1"/>
  <c r="AD50" i="6" s="1"/>
  <c r="C16" i="4" s="1"/>
  <c r="AO54" i="6"/>
  <c r="BH54" i="6" s="1"/>
  <c r="AD54" i="6" s="1"/>
  <c r="AW65" i="6"/>
  <c r="BJ68" i="6"/>
  <c r="BD75" i="6"/>
  <c r="BJ78" i="6"/>
  <c r="BD81" i="6"/>
  <c r="BJ84" i="6"/>
  <c r="Z84" i="6" s="1"/>
  <c r="C21" i="4" s="1"/>
  <c r="I86" i="6"/>
  <c r="BI86" i="6"/>
  <c r="AE86" i="6" s="1"/>
  <c r="AO89" i="6"/>
  <c r="BH89" i="6" s="1"/>
  <c r="AD89" i="6" s="1"/>
  <c r="AO95" i="6"/>
  <c r="BH95" i="6" s="1"/>
  <c r="AD95" i="6" s="1"/>
  <c r="AO101" i="6"/>
  <c r="BH101" i="6" s="1"/>
  <c r="AD101" i="6" s="1"/>
  <c r="AW108" i="6"/>
  <c r="BD115" i="6"/>
  <c r="I122" i="6"/>
  <c r="AK122" i="6" s="1"/>
  <c r="BI122" i="6"/>
  <c r="AC122" i="6" s="1"/>
  <c r="AO131" i="6"/>
  <c r="BH131" i="6" s="1"/>
  <c r="AB131" i="6" s="1"/>
  <c r="BD138" i="6"/>
  <c r="BJ140" i="6"/>
  <c r="BD142" i="6"/>
  <c r="BJ144" i="6"/>
  <c r="BD146" i="6"/>
  <c r="BJ148" i="6"/>
  <c r="BD150" i="6"/>
  <c r="AW159" i="6"/>
  <c r="AW163" i="6"/>
  <c r="AW167" i="6"/>
  <c r="BC171" i="6"/>
  <c r="BH14" i="9"/>
  <c r="AB14" i="9" s="1"/>
  <c r="AX14" i="9"/>
  <c r="AV14" i="9" s="1"/>
  <c r="L14" i="9"/>
  <c r="BJ14" i="9"/>
  <c r="AO20" i="9"/>
  <c r="BH20" i="9" s="1"/>
  <c r="AB20" i="9" s="1"/>
  <c r="BJ34" i="9"/>
  <c r="BH34" i="9"/>
  <c r="AB34" i="9" s="1"/>
  <c r="AX34" i="9"/>
  <c r="AV34" i="9" s="1"/>
  <c r="L34" i="9"/>
  <c r="BF34" i="9" s="1"/>
  <c r="I56" i="9"/>
  <c r="AK57" i="9"/>
  <c r="AT56" i="9" s="1"/>
  <c r="BD129" i="3"/>
  <c r="BD133" i="3"/>
  <c r="I50" i="6"/>
  <c r="I54" i="6"/>
  <c r="AK54" i="6" s="1"/>
  <c r="BH57" i="6"/>
  <c r="AD57" i="6" s="1"/>
  <c r="L59" i="6"/>
  <c r="BF59" i="6" s="1"/>
  <c r="BH62" i="6"/>
  <c r="AD62" i="6" s="1"/>
  <c r="L65" i="6"/>
  <c r="BF65" i="6" s="1"/>
  <c r="BJ86" i="6"/>
  <c r="I89" i="6"/>
  <c r="I95" i="6"/>
  <c r="AK95" i="6" s="1"/>
  <c r="I101" i="6"/>
  <c r="AK101" i="6" s="1"/>
  <c r="BH105" i="6"/>
  <c r="AD105" i="6" s="1"/>
  <c r="L108" i="6"/>
  <c r="BF108" i="6" s="1"/>
  <c r="BH111" i="6"/>
  <c r="AD111" i="6" s="1"/>
  <c r="BJ122" i="6"/>
  <c r="I131" i="6"/>
  <c r="AK131" i="6" s="1"/>
  <c r="BH134" i="6"/>
  <c r="AB134" i="6" s="1"/>
  <c r="L159" i="6"/>
  <c r="BH161" i="6"/>
  <c r="L163" i="6"/>
  <c r="BF163" i="6" s="1"/>
  <c r="BH165" i="6"/>
  <c r="L167" i="6"/>
  <c r="BF167" i="6" s="1"/>
  <c r="BH169" i="6"/>
  <c r="AW20" i="9"/>
  <c r="BJ43" i="9"/>
  <c r="BI98" i="9"/>
  <c r="AE98" i="9" s="1"/>
  <c r="AW134" i="9"/>
  <c r="AW144" i="9"/>
  <c r="AV23" i="12"/>
  <c r="BC23" i="12"/>
  <c r="AW52" i="12"/>
  <c r="BH52" i="12"/>
  <c r="AD52" i="12" s="1"/>
  <c r="AO75" i="6"/>
  <c r="BH75" i="6" s="1"/>
  <c r="AD75" i="6" s="1"/>
  <c r="AO81" i="6"/>
  <c r="BH81" i="6" s="1"/>
  <c r="AD81" i="6" s="1"/>
  <c r="AW86" i="6"/>
  <c r="AO115" i="6"/>
  <c r="BH115" i="6" s="1"/>
  <c r="AD115" i="6" s="1"/>
  <c r="AW122" i="6"/>
  <c r="AO138" i="6"/>
  <c r="BH138" i="6" s="1"/>
  <c r="AB138" i="6" s="1"/>
  <c r="AO142" i="6"/>
  <c r="BH142" i="6" s="1"/>
  <c r="AB142" i="6" s="1"/>
  <c r="AO146" i="6"/>
  <c r="BH146" i="6" s="1"/>
  <c r="AB146" i="6" s="1"/>
  <c r="AO150" i="6"/>
  <c r="BH150" i="6" s="1"/>
  <c r="AB150" i="6" s="1"/>
  <c r="AK14" i="9"/>
  <c r="I13" i="9"/>
  <c r="BJ29" i="9"/>
  <c r="BH29" i="9"/>
  <c r="AB29" i="9" s="1"/>
  <c r="AX29" i="9"/>
  <c r="AV29" i="9" s="1"/>
  <c r="L29" i="9"/>
  <c r="BF37" i="9"/>
  <c r="L36" i="9"/>
  <c r="BH98" i="9"/>
  <c r="AD98" i="9" s="1"/>
  <c r="AW98" i="9"/>
  <c r="BC59" i="12"/>
  <c r="I37" i="6"/>
  <c r="I41" i="6"/>
  <c r="AK41" i="6" s="1"/>
  <c r="BJ57" i="6"/>
  <c r="BJ62" i="6"/>
  <c r="I75" i="6"/>
  <c r="AK75" i="6" s="1"/>
  <c r="AP75" i="6"/>
  <c r="AX75" i="6" s="1"/>
  <c r="I81" i="6"/>
  <c r="AK81" i="6" s="1"/>
  <c r="AP81" i="6"/>
  <c r="AX81" i="6" s="1"/>
  <c r="L86" i="6"/>
  <c r="BJ105" i="6"/>
  <c r="BJ111" i="6"/>
  <c r="I115" i="6"/>
  <c r="AP115" i="6"/>
  <c r="AX115" i="6" s="1"/>
  <c r="BH119" i="6"/>
  <c r="AB119" i="6" s="1"/>
  <c r="L122" i="6"/>
  <c r="BF122" i="6" s="1"/>
  <c r="BH125" i="6"/>
  <c r="AB125" i="6" s="1"/>
  <c r="BJ134" i="6"/>
  <c r="I138" i="6"/>
  <c r="AP138" i="6"/>
  <c r="AX138" i="6" s="1"/>
  <c r="I142" i="6"/>
  <c r="AK142" i="6" s="1"/>
  <c r="AP142" i="6"/>
  <c r="AX142" i="6" s="1"/>
  <c r="I146" i="6"/>
  <c r="AK146" i="6" s="1"/>
  <c r="AP146" i="6"/>
  <c r="AX146" i="6" s="1"/>
  <c r="I150" i="6"/>
  <c r="AK150" i="6" s="1"/>
  <c r="AP150" i="6"/>
  <c r="AX150" i="6" s="1"/>
  <c r="BH154" i="6"/>
  <c r="AB154" i="6" s="1"/>
  <c r="BJ161" i="6"/>
  <c r="Z161" i="6" s="1"/>
  <c r="BJ165" i="6"/>
  <c r="Z165" i="6" s="1"/>
  <c r="BJ169" i="6"/>
  <c r="Z169" i="6" s="1"/>
  <c r="C25" i="7"/>
  <c r="I27" i="8"/>
  <c r="F29" i="8" s="1"/>
  <c r="AX17" i="9"/>
  <c r="BC17" i="9" s="1"/>
  <c r="L17" i="9"/>
  <c r="BF17" i="9" s="1"/>
  <c r="BJ17" i="9"/>
  <c r="BH17" i="9"/>
  <c r="AB17" i="9" s="1"/>
  <c r="BD20" i="9"/>
  <c r="AW25" i="9"/>
  <c r="AW39" i="9"/>
  <c r="AP50" i="9"/>
  <c r="AX50" i="9" s="1"/>
  <c r="AO50" i="9"/>
  <c r="BH50" i="9" s="1"/>
  <c r="AD50" i="9" s="1"/>
  <c r="C16" i="7" s="1"/>
  <c r="AW52" i="9"/>
  <c r="AW68" i="9"/>
  <c r="AW92" i="9"/>
  <c r="AW161" i="9"/>
  <c r="BI34" i="12"/>
  <c r="AC34" i="12" s="1"/>
  <c r="I119" i="6"/>
  <c r="I125" i="6"/>
  <c r="AK125" i="6" s="1"/>
  <c r="I154" i="6"/>
  <c r="BJ171" i="6"/>
  <c r="Z171" i="6" s="1"/>
  <c r="BH171" i="6"/>
  <c r="I29" i="9"/>
  <c r="BI29" i="9"/>
  <c r="AC29" i="9" s="1"/>
  <c r="AO43" i="9"/>
  <c r="BH43" i="9" s="1"/>
  <c r="AB43" i="9" s="1"/>
  <c r="AX46" i="9"/>
  <c r="AV46" i="9" s="1"/>
  <c r="L46" i="9"/>
  <c r="BJ46" i="9"/>
  <c r="BH46" i="9"/>
  <c r="AB46" i="9" s="1"/>
  <c r="AW54" i="9"/>
  <c r="AV111" i="9"/>
  <c r="BH129" i="9"/>
  <c r="AB129" i="9" s="1"/>
  <c r="AW129" i="9"/>
  <c r="BI142" i="9"/>
  <c r="AC142" i="9" s="1"/>
  <c r="BD17" i="9"/>
  <c r="I23" i="9"/>
  <c r="AK23" i="9" s="1"/>
  <c r="BI23" i="9"/>
  <c r="AC23" i="9" s="1"/>
  <c r="AO31" i="9"/>
  <c r="AW31" i="9" s="1"/>
  <c r="AW41" i="9"/>
  <c r="BD46" i="9"/>
  <c r="I52" i="9"/>
  <c r="AK52" i="9" s="1"/>
  <c r="AP52" i="9"/>
  <c r="AX52" i="9" s="1"/>
  <c r="BI52" i="9"/>
  <c r="AE52" i="9" s="1"/>
  <c r="L57" i="9"/>
  <c r="AX57" i="9"/>
  <c r="AV57" i="9" s="1"/>
  <c r="AO59" i="9"/>
  <c r="BH59" i="9"/>
  <c r="AD59" i="9" s="1"/>
  <c r="L62" i="9"/>
  <c r="BF62" i="9" s="1"/>
  <c r="AX62" i="9"/>
  <c r="BC62" i="9" s="1"/>
  <c r="AO65" i="9"/>
  <c r="AW65" i="9" s="1"/>
  <c r="BH65" i="9"/>
  <c r="AD65" i="9" s="1"/>
  <c r="BF68" i="9"/>
  <c r="BD86" i="9"/>
  <c r="I92" i="9"/>
  <c r="AK92" i="9" s="1"/>
  <c r="AP92" i="9"/>
  <c r="AX92" i="9" s="1"/>
  <c r="I98" i="9"/>
  <c r="AK98" i="9" s="1"/>
  <c r="AP98" i="9"/>
  <c r="AX98" i="9" s="1"/>
  <c r="L105" i="9"/>
  <c r="AX105" i="9"/>
  <c r="AO108" i="9"/>
  <c r="BH108" i="9" s="1"/>
  <c r="AD108" i="9" s="1"/>
  <c r="L111" i="9"/>
  <c r="BF111" i="9" s="1"/>
  <c r="AX111" i="9"/>
  <c r="BC111" i="9" s="1"/>
  <c r="L114" i="9"/>
  <c r="BJ119" i="9"/>
  <c r="BD122" i="9"/>
  <c r="BJ125" i="9"/>
  <c r="I129" i="9"/>
  <c r="AP129" i="9"/>
  <c r="AX129" i="9" s="1"/>
  <c r="L134" i="9"/>
  <c r="AX134" i="9"/>
  <c r="L137" i="9"/>
  <c r="AW138" i="9"/>
  <c r="AW146" i="9"/>
  <c r="BJ154" i="9"/>
  <c r="I157" i="9"/>
  <c r="AP157" i="9"/>
  <c r="AO159" i="9"/>
  <c r="AW159" i="9" s="1"/>
  <c r="BH159" i="9"/>
  <c r="L161" i="9"/>
  <c r="BF161" i="9" s="1"/>
  <c r="AX161" i="9"/>
  <c r="AO163" i="9"/>
  <c r="AW163" i="9" s="1"/>
  <c r="BH163" i="9"/>
  <c r="L165" i="9"/>
  <c r="BF165" i="9" s="1"/>
  <c r="AX165" i="9"/>
  <c r="AV165" i="9" s="1"/>
  <c r="AP167" i="9"/>
  <c r="AX167" i="9" s="1"/>
  <c r="BF14" i="12"/>
  <c r="AO17" i="12"/>
  <c r="AW17" i="12" s="1"/>
  <c r="BD37" i="12"/>
  <c r="BH41" i="12"/>
  <c r="AB41" i="12" s="1"/>
  <c r="L41" i="12"/>
  <c r="BF41" i="12" s="1"/>
  <c r="AW41" i="12"/>
  <c r="BI41" i="12"/>
  <c r="AC41" i="12" s="1"/>
  <c r="I41" i="12"/>
  <c r="AK41" i="12" s="1"/>
  <c r="BJ50" i="12"/>
  <c r="AO50" i="12"/>
  <c r="AW50" i="12" s="1"/>
  <c r="BF105" i="12"/>
  <c r="AV111" i="12"/>
  <c r="BC111" i="12"/>
  <c r="BF134" i="12"/>
  <c r="L133" i="12"/>
  <c r="AO68" i="9"/>
  <c r="BH68" i="9" s="1"/>
  <c r="AD68" i="9" s="1"/>
  <c r="AO78" i="9"/>
  <c r="BH78" i="9" s="1"/>
  <c r="AD78" i="9" s="1"/>
  <c r="AO84" i="9"/>
  <c r="BH84" i="9" s="1"/>
  <c r="AW119" i="9"/>
  <c r="AW125" i="9"/>
  <c r="AO140" i="9"/>
  <c r="BH140" i="9" s="1"/>
  <c r="AB140" i="9" s="1"/>
  <c r="AO144" i="9"/>
  <c r="BH144" i="9" s="1"/>
  <c r="AB144" i="9" s="1"/>
  <c r="AO148" i="9"/>
  <c r="BH148" i="9" s="1"/>
  <c r="AB148" i="9" s="1"/>
  <c r="AW154" i="9"/>
  <c r="BD20" i="12"/>
  <c r="AX25" i="12"/>
  <c r="AX34" i="12"/>
  <c r="L34" i="12"/>
  <c r="BF34" i="12" s="1"/>
  <c r="BJ34" i="12"/>
  <c r="L37" i="12"/>
  <c r="I45" i="12"/>
  <c r="AP50" i="12"/>
  <c r="BJ54" i="12"/>
  <c r="AW54" i="12"/>
  <c r="BI57" i="12"/>
  <c r="AE57" i="12" s="1"/>
  <c r="I57" i="12"/>
  <c r="AX57" i="12"/>
  <c r="BC57" i="12" s="1"/>
  <c r="L57" i="12"/>
  <c r="BJ57" i="12"/>
  <c r="AW68" i="12"/>
  <c r="BD29" i="9"/>
  <c r="BD34" i="9"/>
  <c r="I39" i="9"/>
  <c r="AK39" i="9" s="1"/>
  <c r="BI39" i="9"/>
  <c r="AC39" i="9" s="1"/>
  <c r="I43" i="9"/>
  <c r="AK43" i="9" s="1"/>
  <c r="BI43" i="9"/>
  <c r="AC43" i="9" s="1"/>
  <c r="BD57" i="9"/>
  <c r="BJ59" i="9"/>
  <c r="BD62" i="9"/>
  <c r="BJ65" i="9"/>
  <c r="I68" i="9"/>
  <c r="AP68" i="9"/>
  <c r="AX68" i="9" s="1"/>
  <c r="I78" i="9"/>
  <c r="AK78" i="9" s="1"/>
  <c r="AP78" i="9"/>
  <c r="I84" i="9"/>
  <c r="AK84" i="9" s="1"/>
  <c r="AP84" i="9"/>
  <c r="BH86" i="9"/>
  <c r="AD86" i="9" s="1"/>
  <c r="BF89" i="9"/>
  <c r="AK105" i="9"/>
  <c r="AT104" i="9" s="1"/>
  <c r="BJ108" i="9"/>
  <c r="L119" i="9"/>
  <c r="AX119" i="9"/>
  <c r="BH122" i="9"/>
  <c r="AB122" i="9" s="1"/>
  <c r="L125" i="9"/>
  <c r="BF125" i="9" s="1"/>
  <c r="AX125" i="9"/>
  <c r="L128" i="9"/>
  <c r="AK134" i="9"/>
  <c r="AT133" i="9" s="1"/>
  <c r="I140" i="9"/>
  <c r="AK140" i="9" s="1"/>
  <c r="AP140" i="9"/>
  <c r="I144" i="9"/>
  <c r="AK144" i="9" s="1"/>
  <c r="AP144" i="9"/>
  <c r="I148" i="9"/>
  <c r="AK148" i="9" s="1"/>
  <c r="AP148" i="9"/>
  <c r="L154" i="9"/>
  <c r="AX154" i="9"/>
  <c r="L156" i="9"/>
  <c r="I158" i="9"/>
  <c r="BJ159" i="9"/>
  <c r="Z159" i="9" s="1"/>
  <c r="BJ163" i="9"/>
  <c r="Z163" i="9" s="1"/>
  <c r="AX171" i="9"/>
  <c r="BC171" i="9" s="1"/>
  <c r="F14" i="10"/>
  <c r="F22" i="10" s="1"/>
  <c r="BJ14" i="12"/>
  <c r="BH14" i="12"/>
  <c r="AB14" i="12" s="1"/>
  <c r="AX17" i="12"/>
  <c r="L17" i="12"/>
  <c r="BF17" i="12" s="1"/>
  <c r="BF20" i="12"/>
  <c r="BD23" i="12"/>
  <c r="L25" i="12"/>
  <c r="BF25" i="12" s="1"/>
  <c r="L29" i="12"/>
  <c r="BJ29" i="12"/>
  <c r="AO29" i="12"/>
  <c r="AW29" i="12" s="1"/>
  <c r="BH31" i="12"/>
  <c r="AB31" i="12" s="1"/>
  <c r="AV46" i="12"/>
  <c r="I50" i="12"/>
  <c r="AP54" i="12"/>
  <c r="AX54" i="12" s="1"/>
  <c r="BI65" i="12"/>
  <c r="AE65" i="12" s="1"/>
  <c r="I65" i="12"/>
  <c r="AK65" i="12" s="1"/>
  <c r="BH65" i="12"/>
  <c r="AD65" i="12" s="1"/>
  <c r="AX65" i="12"/>
  <c r="AV65" i="12" s="1"/>
  <c r="AO54" i="9"/>
  <c r="BH54" i="9" s="1"/>
  <c r="AD54" i="9" s="1"/>
  <c r="AW59" i="9"/>
  <c r="BJ68" i="9"/>
  <c r="BD75" i="9"/>
  <c r="BJ78" i="9"/>
  <c r="BD81" i="9"/>
  <c r="BJ84" i="9"/>
  <c r="Z84" i="9" s="1"/>
  <c r="C21" i="7" s="1"/>
  <c r="I86" i="9"/>
  <c r="BI86" i="9"/>
  <c r="AE86" i="9" s="1"/>
  <c r="AO89" i="9"/>
  <c r="BH89" i="9" s="1"/>
  <c r="AD89" i="9" s="1"/>
  <c r="AO95" i="9"/>
  <c r="BH95" i="9" s="1"/>
  <c r="AD95" i="9" s="1"/>
  <c r="AO101" i="9"/>
  <c r="BH101" i="9" s="1"/>
  <c r="AD101" i="9" s="1"/>
  <c r="AW108" i="9"/>
  <c r="BD115" i="9"/>
  <c r="I122" i="9"/>
  <c r="AK122" i="9" s="1"/>
  <c r="BI122" i="9"/>
  <c r="AC122" i="9" s="1"/>
  <c r="AO131" i="9"/>
  <c r="BH131" i="9" s="1"/>
  <c r="AB131" i="9" s="1"/>
  <c r="BD138" i="9"/>
  <c r="BJ140" i="9"/>
  <c r="BD142" i="9"/>
  <c r="BJ144" i="9"/>
  <c r="BD146" i="9"/>
  <c r="BJ148" i="9"/>
  <c r="BD150" i="9"/>
  <c r="BH23" i="12"/>
  <c r="AB23" i="12" s="1"/>
  <c r="AP29" i="12"/>
  <c r="BI29" i="12" s="1"/>
  <c r="AC29" i="12" s="1"/>
  <c r="I34" i="12"/>
  <c r="AK34" i="12" s="1"/>
  <c r="AW34" i="12"/>
  <c r="I54" i="12"/>
  <c r="AK54" i="12" s="1"/>
  <c r="BH57" i="12"/>
  <c r="AD57" i="12" s="1"/>
  <c r="BI68" i="12"/>
  <c r="AE68" i="12" s="1"/>
  <c r="BI98" i="12"/>
  <c r="AE98" i="12" s="1"/>
  <c r="AX98" i="12"/>
  <c r="BF138" i="12"/>
  <c r="BC154" i="12"/>
  <c r="AV154" i="12"/>
  <c r="BD14" i="9"/>
  <c r="I20" i="9"/>
  <c r="BI20" i="9"/>
  <c r="AC20" i="9" s="1"/>
  <c r="I25" i="9"/>
  <c r="AK25" i="9" s="1"/>
  <c r="BI25" i="9"/>
  <c r="AC25" i="9" s="1"/>
  <c r="I50" i="9"/>
  <c r="BI50" i="9"/>
  <c r="AE50" i="9" s="1"/>
  <c r="I54" i="9"/>
  <c r="AK54" i="9" s="1"/>
  <c r="BI54" i="9"/>
  <c r="AE54" i="9" s="1"/>
  <c r="BH57" i="9"/>
  <c r="AD57" i="9" s="1"/>
  <c r="L59" i="9"/>
  <c r="BF59" i="9" s="1"/>
  <c r="BH62" i="9"/>
  <c r="AD62" i="9" s="1"/>
  <c r="L65" i="9"/>
  <c r="BF65" i="9" s="1"/>
  <c r="BJ86" i="9"/>
  <c r="I89" i="9"/>
  <c r="BI89" i="9"/>
  <c r="AE89" i="9" s="1"/>
  <c r="I95" i="9"/>
  <c r="AK95" i="9" s="1"/>
  <c r="BI95" i="9"/>
  <c r="AE95" i="9" s="1"/>
  <c r="I101" i="9"/>
  <c r="AK101" i="9" s="1"/>
  <c r="BI101" i="9"/>
  <c r="AE101" i="9" s="1"/>
  <c r="BH105" i="9"/>
  <c r="AD105" i="9" s="1"/>
  <c r="L108" i="9"/>
  <c r="BF108" i="9" s="1"/>
  <c r="BH111" i="9"/>
  <c r="AD111" i="9" s="1"/>
  <c r="BD119" i="9"/>
  <c r="BJ122" i="9"/>
  <c r="BD125" i="9"/>
  <c r="I131" i="9"/>
  <c r="AK131" i="9" s="1"/>
  <c r="BI131" i="9"/>
  <c r="AC131" i="9" s="1"/>
  <c r="BH134" i="9"/>
  <c r="AB134" i="9" s="1"/>
  <c r="BD154" i="9"/>
  <c r="L159" i="9"/>
  <c r="BH161" i="9"/>
  <c r="L163" i="9"/>
  <c r="BF163" i="9" s="1"/>
  <c r="BH165" i="9"/>
  <c r="L167" i="9"/>
  <c r="BF167" i="9" s="1"/>
  <c r="BD167" i="9"/>
  <c r="BH169" i="9"/>
  <c r="L171" i="9"/>
  <c r="BF171" i="9" s="1"/>
  <c r="I14" i="12"/>
  <c r="AW14" i="12"/>
  <c r="I17" i="12"/>
  <c r="AK17" i="12" s="1"/>
  <c r="BI20" i="12"/>
  <c r="AC20" i="12" s="1"/>
  <c r="BJ23" i="12"/>
  <c r="I29" i="12"/>
  <c r="I31" i="12"/>
  <c r="AK31" i="12" s="1"/>
  <c r="AX31" i="12"/>
  <c r="BC31" i="12" s="1"/>
  <c r="AW39" i="12"/>
  <c r="BH50" i="12"/>
  <c r="AD50" i="12" s="1"/>
  <c r="BI59" i="12"/>
  <c r="AE59" i="12" s="1"/>
  <c r="I59" i="12"/>
  <c r="AK59" i="12" s="1"/>
  <c r="BH59" i="12"/>
  <c r="AD59" i="12" s="1"/>
  <c r="AX59" i="12"/>
  <c r="AV59" i="12" s="1"/>
  <c r="BJ65" i="12"/>
  <c r="AK129" i="12"/>
  <c r="AT128" i="12" s="1"/>
  <c r="I128" i="12"/>
  <c r="AO75" i="9"/>
  <c r="BH75" i="9" s="1"/>
  <c r="AD75" i="9" s="1"/>
  <c r="AO81" i="9"/>
  <c r="BH81" i="9" s="1"/>
  <c r="AD81" i="9" s="1"/>
  <c r="AW86" i="9"/>
  <c r="AO115" i="9"/>
  <c r="BH115" i="9" s="1"/>
  <c r="AD115" i="9" s="1"/>
  <c r="AW122" i="9"/>
  <c r="AO138" i="9"/>
  <c r="BH138" i="9" s="1"/>
  <c r="AB138" i="9" s="1"/>
  <c r="AO142" i="9"/>
  <c r="BH142" i="9" s="1"/>
  <c r="AB142" i="9" s="1"/>
  <c r="AO146" i="9"/>
  <c r="BH146" i="9" s="1"/>
  <c r="AB146" i="9" s="1"/>
  <c r="AO150" i="9"/>
  <c r="BH150" i="9" s="1"/>
  <c r="AB150" i="9" s="1"/>
  <c r="I27" i="11"/>
  <c r="F29" i="11" s="1"/>
  <c r="AO20" i="12"/>
  <c r="BH20" i="12" s="1"/>
  <c r="AB20" i="12" s="1"/>
  <c r="BJ20" i="12"/>
  <c r="AW25" i="12"/>
  <c r="BI25" i="12"/>
  <c r="AC25" i="12" s="1"/>
  <c r="BH37" i="12"/>
  <c r="AB37" i="12" s="1"/>
  <c r="AX37" i="12"/>
  <c r="AW37" i="12"/>
  <c r="BI37" i="12"/>
  <c r="AC37" i="12" s="1"/>
  <c r="I37" i="12"/>
  <c r="AW43" i="12"/>
  <c r="L49" i="12"/>
  <c r="BH75" i="12"/>
  <c r="AD75" i="12" s="1"/>
  <c r="L75" i="12"/>
  <c r="BF75" i="12" s="1"/>
  <c r="AW75" i="12"/>
  <c r="BJ75" i="12"/>
  <c r="I75" i="12"/>
  <c r="AW78" i="12"/>
  <c r="BH78" i="12"/>
  <c r="AD78" i="12" s="1"/>
  <c r="AP89" i="12"/>
  <c r="AX89" i="12" s="1"/>
  <c r="BD89" i="12"/>
  <c r="AO89" i="12"/>
  <c r="BH89" i="12" s="1"/>
  <c r="AD89" i="12" s="1"/>
  <c r="BJ89" i="12"/>
  <c r="AV105" i="12"/>
  <c r="BC105" i="12"/>
  <c r="I156" i="12"/>
  <c r="AK157" i="12"/>
  <c r="AT156" i="12" s="1"/>
  <c r="I37" i="9"/>
  <c r="I41" i="9"/>
  <c r="AK41" i="9" s="1"/>
  <c r="BJ57" i="9"/>
  <c r="BJ62" i="9"/>
  <c r="I75" i="9"/>
  <c r="AK75" i="9" s="1"/>
  <c r="AP75" i="9"/>
  <c r="AX75" i="9" s="1"/>
  <c r="I81" i="9"/>
  <c r="AK81" i="9" s="1"/>
  <c r="AP81" i="9"/>
  <c r="AX81" i="9" s="1"/>
  <c r="L86" i="9"/>
  <c r="BJ105" i="9"/>
  <c r="BJ111" i="9"/>
  <c r="I115" i="9"/>
  <c r="AP115" i="9"/>
  <c r="AX115" i="9" s="1"/>
  <c r="BH119" i="9"/>
  <c r="AB119" i="9" s="1"/>
  <c r="L122" i="9"/>
  <c r="BF122" i="9" s="1"/>
  <c r="BH125" i="9"/>
  <c r="AB125" i="9" s="1"/>
  <c r="BJ134" i="9"/>
  <c r="I138" i="9"/>
  <c r="AP138" i="9"/>
  <c r="AX138" i="9" s="1"/>
  <c r="I142" i="9"/>
  <c r="AK142" i="9" s="1"/>
  <c r="AP142" i="9"/>
  <c r="AX142" i="9" s="1"/>
  <c r="I146" i="9"/>
  <c r="AK146" i="9" s="1"/>
  <c r="AP146" i="9"/>
  <c r="AX146" i="9" s="1"/>
  <c r="I150" i="9"/>
  <c r="AK150" i="9" s="1"/>
  <c r="AP150" i="9"/>
  <c r="AX150" i="9" s="1"/>
  <c r="BH154" i="9"/>
  <c r="AB154" i="9" s="1"/>
  <c r="BJ161" i="9"/>
  <c r="Z161" i="9" s="1"/>
  <c r="BJ165" i="9"/>
  <c r="Z165" i="9" s="1"/>
  <c r="AO169" i="9"/>
  <c r="AW169" i="9" s="1"/>
  <c r="AO173" i="9"/>
  <c r="AW173" i="9" s="1"/>
  <c r="I20" i="12"/>
  <c r="BI23" i="12"/>
  <c r="AC23" i="12" s="1"/>
  <c r="BJ25" i="12"/>
  <c r="BI39" i="12"/>
  <c r="AC39" i="12" s="1"/>
  <c r="BI52" i="12"/>
  <c r="AE52" i="12" s="1"/>
  <c r="L54" i="12"/>
  <c r="BF54" i="12" s="1"/>
  <c r="BI54" i="12"/>
  <c r="AE54" i="12" s="1"/>
  <c r="BJ59" i="12"/>
  <c r="L65" i="12"/>
  <c r="BF65" i="12" s="1"/>
  <c r="BF129" i="12"/>
  <c r="L128" i="12"/>
  <c r="L153" i="12"/>
  <c r="BF154" i="12"/>
  <c r="I119" i="9"/>
  <c r="I125" i="9"/>
  <c r="AK125" i="9" s="1"/>
  <c r="I154" i="9"/>
  <c r="BJ167" i="9"/>
  <c r="Z167" i="9" s="1"/>
  <c r="BH167" i="9"/>
  <c r="AX169" i="9"/>
  <c r="L169" i="9"/>
  <c r="BF169" i="9" s="1"/>
  <c r="BJ171" i="9"/>
  <c r="Z171" i="9" s="1"/>
  <c r="BH171" i="9"/>
  <c r="AX173" i="9"/>
  <c r="L173" i="9"/>
  <c r="BF173" i="9" s="1"/>
  <c r="I25" i="12"/>
  <c r="AK25" i="12" s="1"/>
  <c r="BH34" i="12"/>
  <c r="AB34" i="12" s="1"/>
  <c r="BD52" i="12"/>
  <c r="BJ52" i="12"/>
  <c r="AP52" i="12"/>
  <c r="AX52" i="12" s="1"/>
  <c r="I52" i="12"/>
  <c r="AK52" i="12" s="1"/>
  <c r="BI62" i="12"/>
  <c r="AE62" i="12" s="1"/>
  <c r="I62" i="12"/>
  <c r="AK62" i="12" s="1"/>
  <c r="AX62" i="12"/>
  <c r="BC62" i="12" s="1"/>
  <c r="L62" i="12"/>
  <c r="BF62" i="12" s="1"/>
  <c r="BJ62" i="12"/>
  <c r="BF115" i="12"/>
  <c r="L114" i="12"/>
  <c r="AV150" i="12"/>
  <c r="BC150" i="12"/>
  <c r="BF157" i="12"/>
  <c r="L156" i="12"/>
  <c r="BD31" i="12"/>
  <c r="AP41" i="12"/>
  <c r="AX41" i="12" s="1"/>
  <c r="L46" i="12"/>
  <c r="AX46" i="12"/>
  <c r="BC46" i="12" s="1"/>
  <c r="BD59" i="12"/>
  <c r="BD65" i="12"/>
  <c r="AP75" i="12"/>
  <c r="BI75" i="12" s="1"/>
  <c r="AE75" i="12" s="1"/>
  <c r="I81" i="12"/>
  <c r="AK81" i="12" s="1"/>
  <c r="AP81" i="12"/>
  <c r="BI81" i="12" s="1"/>
  <c r="AE81" i="12" s="1"/>
  <c r="BD92" i="12"/>
  <c r="L95" i="12"/>
  <c r="BF95" i="12" s="1"/>
  <c r="BD101" i="12"/>
  <c r="BJ105" i="12"/>
  <c r="BH105" i="12"/>
  <c r="AD105" i="12" s="1"/>
  <c r="I119" i="12"/>
  <c r="AX119" i="12"/>
  <c r="AO129" i="12"/>
  <c r="BJ129" i="12"/>
  <c r="AX134" i="12"/>
  <c r="BJ138" i="12"/>
  <c r="BD146" i="12"/>
  <c r="L148" i="12"/>
  <c r="BF148" i="12" s="1"/>
  <c r="BD148" i="12"/>
  <c r="BH154" i="12"/>
  <c r="AB154" i="12" s="1"/>
  <c r="BD157" i="12"/>
  <c r="I16" i="13"/>
  <c r="I22" i="13" s="1"/>
  <c r="I18" i="14"/>
  <c r="F29" i="14" s="1"/>
  <c r="BC29" i="15"/>
  <c r="AV29" i="15"/>
  <c r="BJ81" i="12"/>
  <c r="BD98" i="12"/>
  <c r="L101" i="12"/>
  <c r="BF101" i="12" s="1"/>
  <c r="BJ115" i="12"/>
  <c r="BD122" i="12"/>
  <c r="AP129" i="12"/>
  <c r="AW131" i="12"/>
  <c r="BI131" i="12"/>
  <c r="AC131" i="12" s="1"/>
  <c r="I131" i="12"/>
  <c r="AK131" i="12" s="1"/>
  <c r="AW140" i="12"/>
  <c r="BI140" i="12"/>
  <c r="AC140" i="12" s="1"/>
  <c r="BJ142" i="12"/>
  <c r="BD150" i="12"/>
  <c r="AV161" i="12"/>
  <c r="AV165" i="12"/>
  <c r="AV169" i="12"/>
  <c r="AV173" i="12"/>
  <c r="L85" i="15"/>
  <c r="BF86" i="15"/>
  <c r="BC98" i="15"/>
  <c r="I23" i="12"/>
  <c r="AK23" i="12" s="1"/>
  <c r="AW81" i="12"/>
  <c r="AW84" i="12"/>
  <c r="BI84" i="12"/>
  <c r="BI92" i="12"/>
  <c r="AE92" i="12" s="1"/>
  <c r="BH101" i="12"/>
  <c r="AD101" i="12" s="1"/>
  <c r="I104" i="12"/>
  <c r="AO115" i="12"/>
  <c r="L125" i="12"/>
  <c r="BF125" i="12" s="1"/>
  <c r="BI125" i="12"/>
  <c r="AC125" i="12" s="1"/>
  <c r="BI138" i="12"/>
  <c r="AC138" i="12" s="1"/>
  <c r="BJ140" i="12"/>
  <c r="AO142" i="12"/>
  <c r="AW144" i="12"/>
  <c r="BI144" i="12"/>
  <c r="AC144" i="12" s="1"/>
  <c r="BJ146" i="12"/>
  <c r="BH150" i="12"/>
  <c r="AB150" i="12" s="1"/>
  <c r="I45" i="14"/>
  <c r="I23" i="13" s="1"/>
  <c r="BF20" i="15"/>
  <c r="BI105" i="15"/>
  <c r="AE105" i="15" s="1"/>
  <c r="AX105" i="15"/>
  <c r="BF138" i="15"/>
  <c r="L81" i="12"/>
  <c r="BF81" i="12" s="1"/>
  <c r="AX81" i="12"/>
  <c r="AO84" i="12"/>
  <c r="BH84" i="12" s="1"/>
  <c r="BJ84" i="12"/>
  <c r="Z84" i="12" s="1"/>
  <c r="C21" i="10" s="1"/>
  <c r="AW89" i="12"/>
  <c r="BI89" i="12"/>
  <c r="AE89" i="12" s="1"/>
  <c r="I89" i="12"/>
  <c r="AO92" i="12"/>
  <c r="AO95" i="12"/>
  <c r="BH95" i="12" s="1"/>
  <c r="AD95" i="12" s="1"/>
  <c r="BI115" i="12"/>
  <c r="AE115" i="12" s="1"/>
  <c r="L119" i="12"/>
  <c r="BI119" i="12"/>
  <c r="AC119" i="12" s="1"/>
  <c r="BH122" i="12"/>
  <c r="AB122" i="12" s="1"/>
  <c r="BJ125" i="12"/>
  <c r="AX131" i="12"/>
  <c r="AW138" i="12"/>
  <c r="I140" i="12"/>
  <c r="AK140" i="12" s="1"/>
  <c r="BI142" i="12"/>
  <c r="AC142" i="12" s="1"/>
  <c r="AO144" i="12"/>
  <c r="BH144" i="12" s="1"/>
  <c r="AB144" i="12" s="1"/>
  <c r="BJ144" i="12"/>
  <c r="AO146" i="12"/>
  <c r="AW148" i="12"/>
  <c r="BI148" i="12"/>
  <c r="AC148" i="12" s="1"/>
  <c r="BJ150" i="12"/>
  <c r="AO157" i="12"/>
  <c r="BJ157" i="12"/>
  <c r="Z157" i="12" s="1"/>
  <c r="BC161" i="12"/>
  <c r="BC165" i="12"/>
  <c r="BC169" i="12"/>
  <c r="BC173" i="12"/>
  <c r="F22" i="13"/>
  <c r="BC54" i="15"/>
  <c r="AW150" i="15"/>
  <c r="AW95" i="12"/>
  <c r="BI95" i="12"/>
  <c r="AE95" i="12" s="1"/>
  <c r="I95" i="12"/>
  <c r="AK95" i="12" s="1"/>
  <c r="AO98" i="12"/>
  <c r="BJ98" i="12"/>
  <c r="AO148" i="12"/>
  <c r="BH148" i="12" s="1"/>
  <c r="AB148" i="12" s="1"/>
  <c r="BJ148" i="12"/>
  <c r="AP157" i="12"/>
  <c r="BH34" i="15"/>
  <c r="AB34" i="15" s="1"/>
  <c r="BF46" i="15"/>
  <c r="L45" i="15"/>
  <c r="BF119" i="15"/>
  <c r="L118" i="15"/>
  <c r="AX95" i="12"/>
  <c r="I98" i="12"/>
  <c r="AK98" i="12" s="1"/>
  <c r="AW101" i="12"/>
  <c r="BI101" i="12"/>
  <c r="AE101" i="12" s="1"/>
  <c r="I101" i="12"/>
  <c r="AK101" i="12" s="1"/>
  <c r="AX122" i="12"/>
  <c r="L122" i="12"/>
  <c r="BF122" i="12" s="1"/>
  <c r="BJ122" i="12"/>
  <c r="BJ134" i="12"/>
  <c r="BH134" i="12"/>
  <c r="AB134" i="12" s="1"/>
  <c r="I148" i="12"/>
  <c r="AK148" i="12" s="1"/>
  <c r="AX101" i="12"/>
  <c r="AW125" i="12"/>
  <c r="BC17" i="15"/>
  <c r="AV17" i="15"/>
  <c r="AX57" i="15"/>
  <c r="BI57" i="15"/>
  <c r="AE57" i="15" s="1"/>
  <c r="AX159" i="15"/>
  <c r="BI159" i="15"/>
  <c r="AX86" i="12"/>
  <c r="AV86" i="12" s="1"/>
  <c r="L86" i="12"/>
  <c r="BJ86" i="12"/>
  <c r="L89" i="12"/>
  <c r="BD95" i="12"/>
  <c r="AX108" i="12"/>
  <c r="BC108" i="12" s="1"/>
  <c r="L108" i="12"/>
  <c r="BF108" i="12" s="1"/>
  <c r="BJ111" i="12"/>
  <c r="BH111" i="12"/>
  <c r="AD111" i="12" s="1"/>
  <c r="BD115" i="12"/>
  <c r="AW119" i="12"/>
  <c r="I122" i="12"/>
  <c r="AK122" i="12" s="1"/>
  <c r="AW122" i="12"/>
  <c r="I125" i="12"/>
  <c r="AK125" i="12" s="1"/>
  <c r="AX125" i="12"/>
  <c r="BH131" i="12"/>
  <c r="AB131" i="12" s="1"/>
  <c r="I134" i="12"/>
  <c r="AW134" i="12"/>
  <c r="BD142" i="12"/>
  <c r="AX148" i="12"/>
  <c r="AX159" i="12"/>
  <c r="AV159" i="12" s="1"/>
  <c r="L159" i="12"/>
  <c r="BJ161" i="12"/>
  <c r="Z161" i="12" s="1"/>
  <c r="BH161" i="12"/>
  <c r="AX163" i="12"/>
  <c r="BC163" i="12" s="1"/>
  <c r="L163" i="12"/>
  <c r="BF163" i="12" s="1"/>
  <c r="BJ165" i="12"/>
  <c r="Z165" i="12" s="1"/>
  <c r="BH165" i="12"/>
  <c r="AX167" i="12"/>
  <c r="BC167" i="12" s="1"/>
  <c r="L167" i="12"/>
  <c r="BF167" i="12" s="1"/>
  <c r="BJ169" i="12"/>
  <c r="Z169" i="12" s="1"/>
  <c r="BH169" i="12"/>
  <c r="AX171" i="12"/>
  <c r="BC171" i="12" s="1"/>
  <c r="L171" i="12"/>
  <c r="BF171" i="12" s="1"/>
  <c r="BJ173" i="12"/>
  <c r="Z173" i="12" s="1"/>
  <c r="BH173" i="12"/>
  <c r="AX75" i="15"/>
  <c r="BD119" i="12"/>
  <c r="BD125" i="12"/>
  <c r="BD154" i="12"/>
  <c r="L14" i="15"/>
  <c r="AX14" i="15"/>
  <c r="BH17" i="15"/>
  <c r="AB17" i="15" s="1"/>
  <c r="BD29" i="15"/>
  <c r="BJ31" i="15"/>
  <c r="I37" i="15"/>
  <c r="L43" i="15"/>
  <c r="BF43" i="15" s="1"/>
  <c r="BH43" i="15"/>
  <c r="AB43" i="15" s="1"/>
  <c r="BH54" i="15"/>
  <c r="AD54" i="15" s="1"/>
  <c r="AX54" i="15"/>
  <c r="AV54" i="15" s="1"/>
  <c r="L54" i="15"/>
  <c r="BF54" i="15" s="1"/>
  <c r="BF57" i="15"/>
  <c r="L56" i="15"/>
  <c r="AO62" i="15"/>
  <c r="BH62" i="15" s="1"/>
  <c r="AD62" i="15" s="1"/>
  <c r="I68" i="15"/>
  <c r="I75" i="15"/>
  <c r="AK75" i="15" s="1"/>
  <c r="I78" i="15"/>
  <c r="AK78" i="15" s="1"/>
  <c r="I81" i="15"/>
  <c r="AK81" i="15" s="1"/>
  <c r="I84" i="15"/>
  <c r="AK84" i="15" s="1"/>
  <c r="BI95" i="15"/>
  <c r="AE95" i="15" s="1"/>
  <c r="I108" i="15"/>
  <c r="AK108" i="15" s="1"/>
  <c r="AP108" i="15"/>
  <c r="AP134" i="15"/>
  <c r="I134" i="15"/>
  <c r="BJ138" i="15"/>
  <c r="BH140" i="15"/>
  <c r="AB140" i="15" s="1"/>
  <c r="BI146" i="15"/>
  <c r="AC146" i="15" s="1"/>
  <c r="AX171" i="15"/>
  <c r="BI171" i="15"/>
  <c r="AV86" i="16"/>
  <c r="BC86" i="16"/>
  <c r="I17" i="15"/>
  <c r="AK17" i="15" s="1"/>
  <c r="BI17" i="15"/>
  <c r="AC17" i="15" s="1"/>
  <c r="AO20" i="15"/>
  <c r="L23" i="15"/>
  <c r="BF23" i="15" s="1"/>
  <c r="AX23" i="15"/>
  <c r="AO25" i="15"/>
  <c r="AW31" i="15"/>
  <c r="AW34" i="15"/>
  <c r="BI34" i="15"/>
  <c r="AC34" i="15" s="1"/>
  <c r="L41" i="15"/>
  <c r="BF41" i="15" s="1"/>
  <c r="BH41" i="15"/>
  <c r="AB41" i="15" s="1"/>
  <c r="AX46" i="15"/>
  <c r="AX52" i="15"/>
  <c r="L52" i="15"/>
  <c r="BF52" i="15" s="1"/>
  <c r="BH52" i="15"/>
  <c r="AD52" i="15" s="1"/>
  <c r="BD57" i="15"/>
  <c r="AO86" i="15"/>
  <c r="AS88" i="15"/>
  <c r="BI92" i="15"/>
  <c r="AE92" i="15" s="1"/>
  <c r="BH101" i="15"/>
  <c r="AD101" i="15" s="1"/>
  <c r="AX101" i="15"/>
  <c r="L101" i="15"/>
  <c r="BF101" i="15" s="1"/>
  <c r="BF105" i="15"/>
  <c r="L104" i="15"/>
  <c r="AO111" i="15"/>
  <c r="BH111" i="15" s="1"/>
  <c r="AD111" i="15" s="1"/>
  <c r="BJ111" i="15"/>
  <c r="BI119" i="15"/>
  <c r="AC119" i="15" s="1"/>
  <c r="I119" i="15"/>
  <c r="BI122" i="15"/>
  <c r="AC122" i="15" s="1"/>
  <c r="I122" i="15"/>
  <c r="AK122" i="15" s="1"/>
  <c r="BI125" i="15"/>
  <c r="AC125" i="15" s="1"/>
  <c r="I125" i="15"/>
  <c r="AK125" i="15" s="1"/>
  <c r="I144" i="15"/>
  <c r="AK144" i="15" s="1"/>
  <c r="BJ148" i="15"/>
  <c r="BI148" i="15"/>
  <c r="AC148" i="15" s="1"/>
  <c r="AX148" i="15"/>
  <c r="AV148" i="15" s="1"/>
  <c r="L148" i="15"/>
  <c r="BF148" i="15" s="1"/>
  <c r="L150" i="15"/>
  <c r="BF150" i="15" s="1"/>
  <c r="BJ159" i="15"/>
  <c r="Z159" i="15" s="1"/>
  <c r="BD159" i="15"/>
  <c r="AV165" i="15"/>
  <c r="I115" i="12"/>
  <c r="I138" i="12"/>
  <c r="I142" i="12"/>
  <c r="AK142" i="12" s="1"/>
  <c r="I146" i="12"/>
  <c r="AK146" i="12" s="1"/>
  <c r="I150" i="12"/>
  <c r="AK150" i="12" s="1"/>
  <c r="BD14" i="15"/>
  <c r="BJ17" i="15"/>
  <c r="I20" i="15"/>
  <c r="I25" i="15"/>
  <c r="AK25" i="15" s="1"/>
  <c r="BH29" i="15"/>
  <c r="AB29" i="15" s="1"/>
  <c r="L31" i="15"/>
  <c r="BF31" i="15" s="1"/>
  <c r="AX31" i="15"/>
  <c r="BJ34" i="15"/>
  <c r="L39" i="15"/>
  <c r="BH39" i="15"/>
  <c r="AB39" i="15" s="1"/>
  <c r="BI41" i="15"/>
  <c r="AC41" i="15" s="1"/>
  <c r="AO43" i="15"/>
  <c r="AW43" i="15" s="1"/>
  <c r="BD46" i="15"/>
  <c r="BH50" i="15"/>
  <c r="AD50" i="15" s="1"/>
  <c r="AX50" i="15"/>
  <c r="BC50" i="15" s="1"/>
  <c r="L50" i="15"/>
  <c r="AW52" i="15"/>
  <c r="AO65" i="15"/>
  <c r="BH65" i="15" s="1"/>
  <c r="AD65" i="15" s="1"/>
  <c r="BI86" i="15"/>
  <c r="AE86" i="15" s="1"/>
  <c r="I86" i="15"/>
  <c r="BI89" i="15"/>
  <c r="AE89" i="15" s="1"/>
  <c r="AX98" i="15"/>
  <c r="AV98" i="15" s="1"/>
  <c r="L98" i="15"/>
  <c r="BF98" i="15" s="1"/>
  <c r="BH98" i="15"/>
  <c r="AD98" i="15" s="1"/>
  <c r="AW101" i="15"/>
  <c r="BD105" i="15"/>
  <c r="I111" i="15"/>
  <c r="AK111" i="15" s="1"/>
  <c r="AP111" i="15"/>
  <c r="L115" i="15"/>
  <c r="BD134" i="15"/>
  <c r="I138" i="15"/>
  <c r="BJ142" i="15"/>
  <c r="BH142" i="15"/>
  <c r="AB142" i="15" s="1"/>
  <c r="BH144" i="15"/>
  <c r="AB144" i="15" s="1"/>
  <c r="AP148" i="15"/>
  <c r="BD148" i="15"/>
  <c r="I159" i="15"/>
  <c r="AT35" i="16"/>
  <c r="BD23" i="15"/>
  <c r="BH37" i="15"/>
  <c r="AB37" i="15" s="1"/>
  <c r="BI39" i="15"/>
  <c r="AC39" i="15" s="1"/>
  <c r="AO41" i="15"/>
  <c r="BJ43" i="15"/>
  <c r="AP43" i="15"/>
  <c r="AX43" i="15" s="1"/>
  <c r="AW57" i="15"/>
  <c r="BH95" i="15"/>
  <c r="AD95" i="15" s="1"/>
  <c r="AX95" i="15"/>
  <c r="BC95" i="15" s="1"/>
  <c r="L95" i="15"/>
  <c r="BF95" i="15" s="1"/>
  <c r="BH115" i="15"/>
  <c r="AD115" i="15" s="1"/>
  <c r="BC119" i="15"/>
  <c r="BC122" i="15"/>
  <c r="BC125" i="15"/>
  <c r="BI129" i="15"/>
  <c r="AC129" i="15" s="1"/>
  <c r="BF134" i="15"/>
  <c r="L133" i="15"/>
  <c r="AX142" i="15"/>
  <c r="I148" i="15"/>
  <c r="AK148" i="15" s="1"/>
  <c r="BH148" i="15"/>
  <c r="AB148" i="15" s="1"/>
  <c r="BD154" i="15"/>
  <c r="AP154" i="15"/>
  <c r="AX154" i="15" s="1"/>
  <c r="AW161" i="15"/>
  <c r="AO14" i="15"/>
  <c r="BH14" i="15" s="1"/>
  <c r="AB14" i="15" s="1"/>
  <c r="AO57" i="15"/>
  <c r="BH57" i="15" s="1"/>
  <c r="AD57" i="15" s="1"/>
  <c r="BJ57" i="15"/>
  <c r="AX92" i="15"/>
  <c r="L92" i="15"/>
  <c r="BF92" i="15" s="1"/>
  <c r="BH92" i="15"/>
  <c r="AD92" i="15" s="1"/>
  <c r="AW105" i="15"/>
  <c r="BJ146" i="15"/>
  <c r="BJ150" i="15"/>
  <c r="AX150" i="15"/>
  <c r="AX157" i="15"/>
  <c r="L157" i="15"/>
  <c r="AW157" i="15"/>
  <c r="BH157" i="15"/>
  <c r="AV33" i="16"/>
  <c r="BC33" i="16"/>
  <c r="I14" i="15"/>
  <c r="AO23" i="15"/>
  <c r="AW23" i="15" s="1"/>
  <c r="BH23" i="15"/>
  <c r="AB23" i="15" s="1"/>
  <c r="AW41" i="15"/>
  <c r="I43" i="15"/>
  <c r="AK43" i="15" s="1"/>
  <c r="I57" i="15"/>
  <c r="AW59" i="15"/>
  <c r="BH89" i="15"/>
  <c r="AD89" i="15" s="1"/>
  <c r="AX89" i="15"/>
  <c r="L89" i="15"/>
  <c r="AW92" i="15"/>
  <c r="AO105" i="15"/>
  <c r="BH105" i="15" s="1"/>
  <c r="AD105" i="15" s="1"/>
  <c r="BJ105" i="15"/>
  <c r="AX129" i="15"/>
  <c r="L129" i="15"/>
  <c r="BH129" i="15"/>
  <c r="AB129" i="15" s="1"/>
  <c r="BH131" i="15"/>
  <c r="AB131" i="15" s="1"/>
  <c r="AX131" i="15"/>
  <c r="L131" i="15"/>
  <c r="BF131" i="15" s="1"/>
  <c r="BJ131" i="15"/>
  <c r="BJ140" i="15"/>
  <c r="AX140" i="15"/>
  <c r="L140" i="15"/>
  <c r="BF140" i="15" s="1"/>
  <c r="AW140" i="15"/>
  <c r="AX146" i="15"/>
  <c r="BI150" i="15"/>
  <c r="AC150" i="15" s="1"/>
  <c r="BI157" i="15"/>
  <c r="BJ14" i="15"/>
  <c r="I23" i="15"/>
  <c r="AK23" i="15" s="1"/>
  <c r="BI23" i="15"/>
  <c r="AC23" i="15" s="1"/>
  <c r="L29" i="15"/>
  <c r="BH31" i="15"/>
  <c r="AB31" i="15" s="1"/>
  <c r="L34" i="15"/>
  <c r="BF34" i="15" s="1"/>
  <c r="BJ37" i="15"/>
  <c r="AP37" i="15"/>
  <c r="BI37" i="15" s="1"/>
  <c r="AC37" i="15" s="1"/>
  <c r="AW39" i="15"/>
  <c r="I41" i="15"/>
  <c r="AK41" i="15" s="1"/>
  <c r="AX41" i="15"/>
  <c r="BI46" i="15"/>
  <c r="AC46" i="15" s="1"/>
  <c r="I46" i="15"/>
  <c r="AO46" i="15"/>
  <c r="BH46" i="15" s="1"/>
  <c r="AB46" i="15" s="1"/>
  <c r="I49" i="15"/>
  <c r="AS49" i="15"/>
  <c r="AO59" i="15"/>
  <c r="BH59" i="15" s="1"/>
  <c r="AD59" i="15" s="1"/>
  <c r="BJ68" i="15"/>
  <c r="AO68" i="15"/>
  <c r="BH68" i="15" s="1"/>
  <c r="AD68" i="15" s="1"/>
  <c r="BJ75" i="15"/>
  <c r="AO75" i="15"/>
  <c r="BH75" i="15" s="1"/>
  <c r="AD75" i="15" s="1"/>
  <c r="BJ78" i="15"/>
  <c r="AO78" i="15"/>
  <c r="BH78" i="15" s="1"/>
  <c r="AD78" i="15" s="1"/>
  <c r="BJ81" i="15"/>
  <c r="AO81" i="15"/>
  <c r="BH81" i="15" s="1"/>
  <c r="AD81" i="15" s="1"/>
  <c r="BJ84" i="15"/>
  <c r="Z84" i="15" s="1"/>
  <c r="AO84" i="15"/>
  <c r="BH84" i="15" s="1"/>
  <c r="AW89" i="15"/>
  <c r="I92" i="15"/>
  <c r="AK92" i="15" s="1"/>
  <c r="BI101" i="15"/>
  <c r="AE101" i="15" s="1"/>
  <c r="I105" i="15"/>
  <c r="AP115" i="15"/>
  <c r="BI115" i="15" s="1"/>
  <c r="AE115" i="15" s="1"/>
  <c r="AW131" i="15"/>
  <c r="AU137" i="15"/>
  <c r="I146" i="15"/>
  <c r="AK146" i="15" s="1"/>
  <c r="I150" i="15"/>
  <c r="AK150" i="15" s="1"/>
  <c r="AO154" i="15"/>
  <c r="I157" i="15"/>
  <c r="BJ157" i="15"/>
  <c r="Z157" i="15" s="1"/>
  <c r="AT89" i="16"/>
  <c r="I31" i="15"/>
  <c r="I39" i="15"/>
  <c r="AK39" i="15" s="1"/>
  <c r="AX39" i="15"/>
  <c r="AW62" i="15"/>
  <c r="AP68" i="15"/>
  <c r="BI68" i="15" s="1"/>
  <c r="AE68" i="15" s="1"/>
  <c r="AP75" i="15"/>
  <c r="BI75" i="15" s="1"/>
  <c r="AE75" i="15" s="1"/>
  <c r="AP78" i="15"/>
  <c r="AP81" i="15"/>
  <c r="AP84" i="15"/>
  <c r="I89" i="15"/>
  <c r="AO108" i="15"/>
  <c r="BH108" i="15" s="1"/>
  <c r="AD108" i="15" s="1"/>
  <c r="I115" i="15"/>
  <c r="AW115" i="15"/>
  <c r="I129" i="15"/>
  <c r="AW129" i="15"/>
  <c r="I131" i="15"/>
  <c r="AK131" i="15" s="1"/>
  <c r="I140" i="15"/>
  <c r="AK140" i="15" s="1"/>
  <c r="BJ144" i="15"/>
  <c r="AX144" i="15"/>
  <c r="L144" i="15"/>
  <c r="BF144" i="15" s="1"/>
  <c r="AW144" i="15"/>
  <c r="L153" i="15"/>
  <c r="AO159" i="15"/>
  <c r="BH159" i="15" s="1"/>
  <c r="AW171" i="15"/>
  <c r="AV26" i="16"/>
  <c r="AO138" i="15"/>
  <c r="BH138" i="15" s="1"/>
  <c r="AB138" i="15" s="1"/>
  <c r="AO142" i="15"/>
  <c r="AW142" i="15" s="1"/>
  <c r="AO146" i="15"/>
  <c r="BH146" i="15" s="1"/>
  <c r="AB146" i="15" s="1"/>
  <c r="AO150" i="15"/>
  <c r="BH150" i="15" s="1"/>
  <c r="AB150" i="15" s="1"/>
  <c r="BD157" i="15"/>
  <c r="I161" i="15"/>
  <c r="AK161" i="15" s="1"/>
  <c r="AP161" i="15"/>
  <c r="AX161" i="15" s="1"/>
  <c r="I165" i="15"/>
  <c r="AK165" i="15" s="1"/>
  <c r="AP165" i="15"/>
  <c r="AX165" i="15" s="1"/>
  <c r="BC165" i="15" s="1"/>
  <c r="BI165" i="15"/>
  <c r="I169" i="15"/>
  <c r="AK169" i="15" s="1"/>
  <c r="AP169" i="15"/>
  <c r="AX169" i="15" s="1"/>
  <c r="BC169" i="15" s="1"/>
  <c r="I173" i="15"/>
  <c r="AK173" i="15" s="1"/>
  <c r="AP173" i="15"/>
  <c r="AX173" i="15" s="1"/>
  <c r="BI173" i="15"/>
  <c r="AX14" i="16"/>
  <c r="AV14" i="16" s="1"/>
  <c r="AX16" i="16"/>
  <c r="AV16" i="16" s="1"/>
  <c r="L18" i="16"/>
  <c r="AW43" i="16"/>
  <c r="AW45" i="16"/>
  <c r="AW53" i="16"/>
  <c r="AW55" i="16"/>
  <c r="AW57" i="16"/>
  <c r="AW59" i="16"/>
  <c r="AW61" i="16"/>
  <c r="I62" i="16"/>
  <c r="AX77" i="16"/>
  <c r="BC77" i="16" s="1"/>
  <c r="L79" i="16"/>
  <c r="BC98" i="16"/>
  <c r="AK101" i="16"/>
  <c r="AT100" i="16" s="1"/>
  <c r="I100" i="16"/>
  <c r="BC110" i="16"/>
  <c r="BC114" i="16"/>
  <c r="BC120" i="16"/>
  <c r="BI127" i="16"/>
  <c r="AC127" i="16" s="1"/>
  <c r="AK137" i="16"/>
  <c r="AT136" i="16" s="1"/>
  <c r="I136" i="16"/>
  <c r="AV139" i="16"/>
  <c r="BF146" i="16"/>
  <c r="L145" i="16"/>
  <c r="BH146" i="16"/>
  <c r="AB146" i="16" s="1"/>
  <c r="BI151" i="16"/>
  <c r="AE151" i="16" s="1"/>
  <c r="BD163" i="15"/>
  <c r="BD167" i="15"/>
  <c r="BD171" i="15"/>
  <c r="BJ173" i="15"/>
  <c r="Z173" i="15" s="1"/>
  <c r="BC14" i="16"/>
  <c r="AS105" i="16"/>
  <c r="AK123" i="16"/>
  <c r="AT122" i="16" s="1"/>
  <c r="I122" i="16"/>
  <c r="BC130" i="16"/>
  <c r="BH132" i="16"/>
  <c r="AB132" i="16" s="1"/>
  <c r="AV134" i="16"/>
  <c r="AS136" i="16"/>
  <c r="BI137" i="16"/>
  <c r="AC137" i="16" s="1"/>
  <c r="AT155" i="16"/>
  <c r="BH158" i="16"/>
  <c r="AD158" i="16" s="1"/>
  <c r="AV162" i="16"/>
  <c r="BC162" i="16"/>
  <c r="AK165" i="16"/>
  <c r="AT164" i="16" s="1"/>
  <c r="I164" i="16"/>
  <c r="AV203" i="16"/>
  <c r="BC203" i="16"/>
  <c r="AV205" i="16"/>
  <c r="BC205" i="16"/>
  <c r="AV207" i="16"/>
  <c r="BC207" i="16"/>
  <c r="I154" i="15"/>
  <c r="BF159" i="15"/>
  <c r="AW173" i="15"/>
  <c r="I13" i="16"/>
  <c r="AX26" i="16"/>
  <c r="BC26" i="16" s="1"/>
  <c r="AX28" i="16"/>
  <c r="BC28" i="16" s="1"/>
  <c r="AX30" i="16"/>
  <c r="BC30" i="16" s="1"/>
  <c r="L32" i="16"/>
  <c r="L12" i="16" s="1"/>
  <c r="AV36" i="16"/>
  <c r="AV38" i="16"/>
  <c r="AV40" i="16"/>
  <c r="AW68" i="16"/>
  <c r="AW71" i="16"/>
  <c r="AW73" i="16"/>
  <c r="I76" i="16"/>
  <c r="AX83" i="16"/>
  <c r="BC83" i="16" s="1"/>
  <c r="L85" i="16"/>
  <c r="AV90" i="16"/>
  <c r="AV92" i="16"/>
  <c r="AV94" i="16"/>
  <c r="BH98" i="16"/>
  <c r="AB98" i="16" s="1"/>
  <c r="BI101" i="16"/>
  <c r="AC101" i="16" s="1"/>
  <c r="BH104" i="16"/>
  <c r="BI106" i="16"/>
  <c r="AV108" i="16"/>
  <c r="BF118" i="16"/>
  <c r="L117" i="16"/>
  <c r="BH118" i="16"/>
  <c r="AB118" i="16" s="1"/>
  <c r="AS122" i="16"/>
  <c r="BI123" i="16"/>
  <c r="AC123" i="16" s="1"/>
  <c r="BC125" i="16"/>
  <c r="AU136" i="16"/>
  <c r="BI143" i="16"/>
  <c r="AC143" i="16" s="1"/>
  <c r="BC149" i="16"/>
  <c r="AO163" i="15"/>
  <c r="BH163" i="15" s="1"/>
  <c r="AO167" i="15"/>
  <c r="BH167" i="15" s="1"/>
  <c r="AO171" i="15"/>
  <c r="BH171" i="15" s="1"/>
  <c r="BH33" i="16"/>
  <c r="AB33" i="16" s="1"/>
  <c r="BI63" i="16"/>
  <c r="AE63" i="16" s="1"/>
  <c r="BI65" i="16"/>
  <c r="AE65" i="16" s="1"/>
  <c r="BH86" i="16"/>
  <c r="AB86" i="16" s="1"/>
  <c r="AV156" i="16"/>
  <c r="BC156" i="16"/>
  <c r="AV182" i="16"/>
  <c r="AV186" i="16"/>
  <c r="AV190" i="16"/>
  <c r="I163" i="15"/>
  <c r="AK163" i="15" s="1"/>
  <c r="AP163" i="15"/>
  <c r="I167" i="15"/>
  <c r="AK167" i="15" s="1"/>
  <c r="AP167" i="15"/>
  <c r="I171" i="15"/>
  <c r="AK171" i="15" s="1"/>
  <c r="BC104" i="16"/>
  <c r="BC112" i="16"/>
  <c r="AV127" i="16"/>
  <c r="BC132" i="16"/>
  <c r="BH134" i="16"/>
  <c r="AB134" i="16" s="1"/>
  <c r="BI139" i="16"/>
  <c r="AC139" i="16" s="1"/>
  <c r="BC141" i="16"/>
  <c r="AK149" i="16"/>
  <c r="AT148" i="16" s="1"/>
  <c r="I148" i="16"/>
  <c r="AV151" i="16"/>
  <c r="BD161" i="15"/>
  <c r="BD165" i="15"/>
  <c r="BD169" i="15"/>
  <c r="BJ171" i="15"/>
  <c r="Z171" i="15" s="1"/>
  <c r="BD173" i="15"/>
  <c r="BH96" i="16"/>
  <c r="AB96" i="16" s="1"/>
  <c r="AW101" i="16"/>
  <c r="AV146" i="16"/>
  <c r="AS148" i="16"/>
  <c r="AV158" i="16"/>
  <c r="BC158" i="16"/>
  <c r="BC165" i="16"/>
  <c r="AV165" i="16"/>
  <c r="BC193" i="16"/>
  <c r="AV193" i="16"/>
  <c r="BC195" i="16"/>
  <c r="AV195" i="16"/>
  <c r="BC197" i="16"/>
  <c r="AV197" i="16"/>
  <c r="I35" i="16"/>
  <c r="L67" i="16"/>
  <c r="I89" i="16"/>
  <c r="AV104" i="16"/>
  <c r="AV123" i="16"/>
  <c r="BF130" i="16"/>
  <c r="L129" i="16"/>
  <c r="BH130" i="16"/>
  <c r="AB130" i="16" s="1"/>
  <c r="AV132" i="16"/>
  <c r="BC137" i="16"/>
  <c r="AV143" i="16"/>
  <c r="AX153" i="16"/>
  <c r="BC153" i="16" s="1"/>
  <c r="BI153" i="16"/>
  <c r="AE153" i="16" s="1"/>
  <c r="AK106" i="16"/>
  <c r="AT105" i="16" s="1"/>
  <c r="I105" i="16"/>
  <c r="BH156" i="16"/>
  <c r="AD156" i="16" s="1"/>
  <c r="AV160" i="16"/>
  <c r="BC160" i="16"/>
  <c r="AV200" i="16"/>
  <c r="AV230" i="16"/>
  <c r="AX182" i="16"/>
  <c r="BC182" i="16" s="1"/>
  <c r="AX184" i="16"/>
  <c r="BC184" i="16" s="1"/>
  <c r="AX186" i="16"/>
  <c r="BC186" i="16" s="1"/>
  <c r="AX188" i="16"/>
  <c r="BC188" i="16" s="1"/>
  <c r="AX190" i="16"/>
  <c r="BC190" i="16" s="1"/>
  <c r="L192" i="16"/>
  <c r="AW215" i="16"/>
  <c r="I217" i="16"/>
  <c r="AX230" i="16"/>
  <c r="BC230" i="16" s="1"/>
  <c r="BC234" i="16"/>
  <c r="BC237" i="16"/>
  <c r="BC247" i="16"/>
  <c r="BH249" i="16"/>
  <c r="AK255" i="16"/>
  <c r="AT254" i="16" s="1"/>
  <c r="I254" i="16"/>
  <c r="AV257" i="16"/>
  <c r="BH264" i="16"/>
  <c r="AB264" i="16" s="1"/>
  <c r="AV267" i="16"/>
  <c r="BI271" i="16"/>
  <c r="AC271" i="16" s="1"/>
  <c r="AV274" i="16"/>
  <c r="BC274" i="16"/>
  <c r="BH193" i="16"/>
  <c r="AD193" i="16" s="1"/>
  <c r="BH195" i="16"/>
  <c r="AD195" i="16" s="1"/>
  <c r="BH197" i="16"/>
  <c r="AD197" i="16" s="1"/>
  <c r="BI210" i="16"/>
  <c r="AC210" i="16" s="1"/>
  <c r="BI212" i="16"/>
  <c r="AC212" i="16" s="1"/>
  <c r="BI226" i="16"/>
  <c r="AC226" i="16" s="1"/>
  <c r="AK237" i="16"/>
  <c r="AT236" i="16" s="1"/>
  <c r="I236" i="16"/>
  <c r="BF239" i="16"/>
  <c r="L238" i="16"/>
  <c r="AV276" i="16"/>
  <c r="BC276" i="16"/>
  <c r="AW179" i="16"/>
  <c r="I181" i="16"/>
  <c r="AX200" i="16"/>
  <c r="BC200" i="16" s="1"/>
  <c r="L202" i="16"/>
  <c r="AV226" i="16"/>
  <c r="AX228" i="16"/>
  <c r="BC228" i="16" s="1"/>
  <c r="AT238" i="16"/>
  <c r="BC243" i="16"/>
  <c r="BH245" i="16"/>
  <c r="AU254" i="16"/>
  <c r="BF260" i="16"/>
  <c r="L259" i="16"/>
  <c r="BH260" i="16"/>
  <c r="AB260" i="16" s="1"/>
  <c r="AV269" i="16"/>
  <c r="AV278" i="16"/>
  <c r="BC278" i="16"/>
  <c r="AK283" i="16"/>
  <c r="AT282" i="16" s="1"/>
  <c r="I282" i="16"/>
  <c r="AV319" i="16"/>
  <c r="BC319" i="16"/>
  <c r="AV321" i="16"/>
  <c r="BC321" i="16"/>
  <c r="AV323" i="16"/>
  <c r="BC323" i="16"/>
  <c r="BC325" i="16"/>
  <c r="BI165" i="16"/>
  <c r="AE165" i="16" s="1"/>
  <c r="BI171" i="16"/>
  <c r="AE171" i="16" s="1"/>
  <c r="BI173" i="16"/>
  <c r="AE173" i="16" s="1"/>
  <c r="BI175" i="16"/>
  <c r="AE175" i="16" s="1"/>
  <c r="BI177" i="16"/>
  <c r="BH203" i="16"/>
  <c r="AB203" i="16" s="1"/>
  <c r="BH205" i="16"/>
  <c r="AB205" i="16" s="1"/>
  <c r="BH207" i="16"/>
  <c r="AB207" i="16" s="1"/>
  <c r="BI218" i="16"/>
  <c r="AC218" i="16" s="1"/>
  <c r="BI220" i="16"/>
  <c r="AC220" i="16" s="1"/>
  <c r="BI222" i="16"/>
  <c r="AC222" i="16" s="1"/>
  <c r="BI224" i="16"/>
  <c r="AC224" i="16" s="1"/>
  <c r="AV280" i="16"/>
  <c r="BC280" i="16"/>
  <c r="L155" i="16"/>
  <c r="AV171" i="16"/>
  <c r="AV173" i="16"/>
  <c r="AV175" i="16"/>
  <c r="AV177" i="16"/>
  <c r="I199" i="16"/>
  <c r="L214" i="16"/>
  <c r="AV218" i="16"/>
  <c r="AV220" i="16"/>
  <c r="AV222" i="16"/>
  <c r="AV224" i="16"/>
  <c r="BC239" i="16"/>
  <c r="BH241" i="16"/>
  <c r="AV243" i="16"/>
  <c r="BI257" i="16"/>
  <c r="AC257" i="16" s="1"/>
  <c r="AK267" i="16"/>
  <c r="AT266" i="16" s="1"/>
  <c r="I266" i="16"/>
  <c r="BI267" i="16"/>
  <c r="AC267" i="16" s="1"/>
  <c r="AV271" i="16"/>
  <c r="BH274" i="16"/>
  <c r="AB274" i="16" s="1"/>
  <c r="AV293" i="16"/>
  <c r="AV297" i="16"/>
  <c r="L178" i="16"/>
  <c r="I209" i="16"/>
  <c r="AK234" i="16"/>
  <c r="AT233" i="16" s="1"/>
  <c r="AV239" i="16"/>
  <c r="BC251" i="16"/>
  <c r="BC255" i="16"/>
  <c r="BI269" i="16"/>
  <c r="AC269" i="16" s="1"/>
  <c r="BF274" i="16"/>
  <c r="L273" i="16"/>
  <c r="BH278" i="16"/>
  <c r="AB278" i="16" s="1"/>
  <c r="BC302" i="16"/>
  <c r="AV302" i="16"/>
  <c r="BC308" i="16"/>
  <c r="AV308" i="16"/>
  <c r="BC310" i="16"/>
  <c r="AV310" i="16"/>
  <c r="BC312" i="16"/>
  <c r="AV312" i="16"/>
  <c r="AV245" i="16"/>
  <c r="AV260" i="16"/>
  <c r="BH280" i="16"/>
  <c r="AB280" i="16" s="1"/>
  <c r="BC283" i="16"/>
  <c r="AV283" i="16"/>
  <c r="BC314" i="16"/>
  <c r="AV314" i="16"/>
  <c r="AX293" i="16"/>
  <c r="BC293" i="16" s="1"/>
  <c r="AX295" i="16"/>
  <c r="BC295" i="16" s="1"/>
  <c r="AX297" i="16"/>
  <c r="BC297" i="16" s="1"/>
  <c r="AX299" i="16"/>
  <c r="BC299" i="16" s="1"/>
  <c r="L301" i="16"/>
  <c r="BC327" i="16"/>
  <c r="BI334" i="16"/>
  <c r="AE334" i="16" s="1"/>
  <c r="BC340" i="16"/>
  <c r="AT346" i="16"/>
  <c r="BC355" i="16"/>
  <c r="BH357" i="16"/>
  <c r="AB357" i="16" s="1"/>
  <c r="AV371" i="16"/>
  <c r="BI376" i="16"/>
  <c r="AV378" i="16"/>
  <c r="BI380" i="16"/>
  <c r="AV382" i="16"/>
  <c r="BI384" i="16"/>
  <c r="AV386" i="16"/>
  <c r="BI388" i="16"/>
  <c r="AV390" i="16"/>
  <c r="AV406" i="16"/>
  <c r="BC406" i="16"/>
  <c r="AV408" i="16"/>
  <c r="BC408" i="16"/>
  <c r="AV410" i="16"/>
  <c r="BC410" i="16"/>
  <c r="BH302" i="16"/>
  <c r="AD302" i="16" s="1"/>
  <c r="BH308" i="16"/>
  <c r="AD308" i="16" s="1"/>
  <c r="BH310" i="16"/>
  <c r="AD310" i="16" s="1"/>
  <c r="BH312" i="16"/>
  <c r="AD312" i="16" s="1"/>
  <c r="BH314" i="16"/>
  <c r="AK330" i="16"/>
  <c r="AT329" i="16" s="1"/>
  <c r="I329" i="16"/>
  <c r="AU375" i="16"/>
  <c r="AW286" i="16"/>
  <c r="AW288" i="16"/>
  <c r="AW290" i="16"/>
  <c r="I292" i="16"/>
  <c r="AX316" i="16"/>
  <c r="AV316" i="16" s="1"/>
  <c r="L318" i="16"/>
  <c r="BI325" i="16"/>
  <c r="AE325" i="16" s="1"/>
  <c r="AV327" i="16"/>
  <c r="AS329" i="16"/>
  <c r="BI330" i="16"/>
  <c r="AE330" i="16" s="1"/>
  <c r="BC332" i="16"/>
  <c r="AK340" i="16"/>
  <c r="AT339" i="16" s="1"/>
  <c r="I339" i="16"/>
  <c r="AV342" i="16"/>
  <c r="BC347" i="16"/>
  <c r="BH349" i="16"/>
  <c r="AB349" i="16" s="1"/>
  <c r="AV355" i="16"/>
  <c r="BC367" i="16"/>
  <c r="BF374" i="16"/>
  <c r="L373" i="16"/>
  <c r="BH374" i="16"/>
  <c r="AV413" i="16"/>
  <c r="AV415" i="16"/>
  <c r="AV417" i="16"/>
  <c r="AV419" i="16"/>
  <c r="BI283" i="16"/>
  <c r="AC283" i="16" s="1"/>
  <c r="BH319" i="16"/>
  <c r="AD319" i="16" s="1"/>
  <c r="BH321" i="16"/>
  <c r="AD321" i="16" s="1"/>
  <c r="BH323" i="16"/>
  <c r="AD323" i="16" s="1"/>
  <c r="AU329" i="16"/>
  <c r="AV337" i="16"/>
  <c r="AS339" i="16"/>
  <c r="AV361" i="16"/>
  <c r="AK371" i="16"/>
  <c r="AT370" i="16" s="1"/>
  <c r="I370" i="16"/>
  <c r="I315" i="16"/>
  <c r="AV334" i="16"/>
  <c r="AU339" i="16"/>
  <c r="BC352" i="16"/>
  <c r="BC363" i="16"/>
  <c r="BH365" i="16"/>
  <c r="AB365" i="16" s="1"/>
  <c r="BI371" i="16"/>
  <c r="AC371" i="16" s="1"/>
  <c r="AV376" i="16"/>
  <c r="BI378" i="16"/>
  <c r="AV380" i="16"/>
  <c r="BI382" i="16"/>
  <c r="AV384" i="16"/>
  <c r="BI386" i="16"/>
  <c r="AV388" i="16"/>
  <c r="BC394" i="16"/>
  <c r="AV394" i="16"/>
  <c r="BC396" i="16"/>
  <c r="AV396" i="16"/>
  <c r="BF355" i="16"/>
  <c r="L354" i="16"/>
  <c r="L285" i="16"/>
  <c r="AV330" i="16"/>
  <c r="BF337" i="16"/>
  <c r="L336" i="16"/>
  <c r="BH337" i="16"/>
  <c r="AD337" i="16" s="1"/>
  <c r="BI342" i="16"/>
  <c r="AC342" i="16" s="1"/>
  <c r="BC344" i="16"/>
  <c r="AK352" i="16"/>
  <c r="AT351" i="16" s="1"/>
  <c r="I351" i="16"/>
  <c r="AT354" i="16"/>
  <c r="BC359" i="16"/>
  <c r="BH361" i="16"/>
  <c r="AB361" i="16" s="1"/>
  <c r="AV363" i="16"/>
  <c r="AK376" i="16"/>
  <c r="AT375" i="16" s="1"/>
  <c r="I375" i="16"/>
  <c r="AV425" i="16"/>
  <c r="AV427" i="16"/>
  <c r="AV429" i="16"/>
  <c r="BF347" i="16"/>
  <c r="L346" i="16"/>
  <c r="AV349" i="16"/>
  <c r="AV374" i="16"/>
  <c r="L393" i="16"/>
  <c r="AV399" i="16"/>
  <c r="AV403" i="16"/>
  <c r="AW422" i="16"/>
  <c r="I424" i="16"/>
  <c r="BI438" i="16"/>
  <c r="AE438" i="16" s="1"/>
  <c r="BC458" i="16"/>
  <c r="BH460" i="16"/>
  <c r="AD460" i="16" s="1"/>
  <c r="AV473" i="16"/>
  <c r="BC479" i="16"/>
  <c r="BC481" i="16"/>
  <c r="BC483" i="16"/>
  <c r="BH394" i="16"/>
  <c r="AB394" i="16" s="1"/>
  <c r="BH396" i="16"/>
  <c r="AB396" i="16" s="1"/>
  <c r="BI413" i="16"/>
  <c r="AC413" i="16" s="1"/>
  <c r="BI415" i="16"/>
  <c r="AC415" i="16" s="1"/>
  <c r="BI417" i="16"/>
  <c r="AC417" i="16" s="1"/>
  <c r="BI419" i="16"/>
  <c r="AC419" i="16" s="1"/>
  <c r="AW432" i="16"/>
  <c r="AV449" i="16"/>
  <c r="AX399" i="16"/>
  <c r="BC399" i="16" s="1"/>
  <c r="AX401" i="16"/>
  <c r="BC401" i="16" s="1"/>
  <c r="AX403" i="16"/>
  <c r="BC403" i="16" s="1"/>
  <c r="L405" i="16"/>
  <c r="BI434" i="16"/>
  <c r="AE434" i="16" s="1"/>
  <c r="BC436" i="16"/>
  <c r="BC451" i="16"/>
  <c r="BH453" i="16"/>
  <c r="AV469" i="16"/>
  <c r="BF476" i="16"/>
  <c r="L475" i="16"/>
  <c r="BI390" i="16"/>
  <c r="BH406" i="16"/>
  <c r="AB406" i="16" s="1"/>
  <c r="BH408" i="16"/>
  <c r="AB408" i="16" s="1"/>
  <c r="BH410" i="16"/>
  <c r="AB410" i="16" s="1"/>
  <c r="BI425" i="16"/>
  <c r="AE425" i="16" s="1"/>
  <c r="BI427" i="16"/>
  <c r="AE427" i="16" s="1"/>
  <c r="BI429" i="16"/>
  <c r="AE429" i="16" s="1"/>
  <c r="AV441" i="16"/>
  <c r="AV464" i="16"/>
  <c r="AV513" i="16"/>
  <c r="BC513" i="16"/>
  <c r="I398" i="16"/>
  <c r="I392" i="16" s="1"/>
  <c r="L421" i="16"/>
  <c r="BF432" i="16"/>
  <c r="AV438" i="16"/>
  <c r="BC447" i="16"/>
  <c r="BH449" i="16"/>
  <c r="AD449" i="16" s="1"/>
  <c r="AV451" i="16"/>
  <c r="BC455" i="16"/>
  <c r="BI473" i="16"/>
  <c r="AE473" i="16" s="1"/>
  <c r="AK479" i="16"/>
  <c r="AT478" i="16" s="1"/>
  <c r="I478" i="16"/>
  <c r="BF458" i="16"/>
  <c r="L457" i="16"/>
  <c r="AV476" i="16"/>
  <c r="BC476" i="16"/>
  <c r="I412" i="16"/>
  <c r="BI432" i="16"/>
  <c r="AE432" i="16" s="1"/>
  <c r="AV434" i="16"/>
  <c r="BF441" i="16"/>
  <c r="L440" i="16"/>
  <c r="BH441" i="16"/>
  <c r="AD441" i="16" s="1"/>
  <c r="AV447" i="16"/>
  <c r="AK455" i="16"/>
  <c r="AT454" i="16" s="1"/>
  <c r="I454" i="16"/>
  <c r="AT457" i="16"/>
  <c r="BC462" i="16"/>
  <c r="BH464" i="16"/>
  <c r="AD464" i="16" s="1"/>
  <c r="AV466" i="16"/>
  <c r="AS468" i="16"/>
  <c r="BI469" i="16"/>
  <c r="AE469" i="16" s="1"/>
  <c r="BC494" i="16"/>
  <c r="AV494" i="16"/>
  <c r="BC496" i="16"/>
  <c r="AV496" i="16"/>
  <c r="BC498" i="16"/>
  <c r="AV498" i="16"/>
  <c r="BC500" i="16"/>
  <c r="AV500" i="16"/>
  <c r="BC502" i="16"/>
  <c r="AV502" i="16"/>
  <c r="BC504" i="16"/>
  <c r="AV504" i="16"/>
  <c r="BC506" i="16"/>
  <c r="AV506" i="16"/>
  <c r="AV552" i="16"/>
  <c r="BC552" i="16"/>
  <c r="AX491" i="16"/>
  <c r="BC491" i="16" s="1"/>
  <c r="L493" i="16"/>
  <c r="BF533" i="16"/>
  <c r="BC535" i="16"/>
  <c r="AV538" i="16"/>
  <c r="AV542" i="16"/>
  <c r="AV554" i="16"/>
  <c r="BI571" i="16"/>
  <c r="AE571" i="16" s="1"/>
  <c r="AX573" i="16"/>
  <c r="BC575" i="16"/>
  <c r="AV575" i="16"/>
  <c r="L579" i="16"/>
  <c r="BI588" i="16"/>
  <c r="AE588" i="16" s="1"/>
  <c r="AV592" i="16"/>
  <c r="AV610" i="16"/>
  <c r="BC610" i="16"/>
  <c r="BF630" i="16"/>
  <c r="L629" i="16"/>
  <c r="AT632" i="16"/>
  <c r="AV664" i="16"/>
  <c r="BC664" i="16"/>
  <c r="BH494" i="16"/>
  <c r="AB494" i="16" s="1"/>
  <c r="BH496" i="16"/>
  <c r="AB496" i="16" s="1"/>
  <c r="BH498" i="16"/>
  <c r="AB498" i="16" s="1"/>
  <c r="BH500" i="16"/>
  <c r="AB500" i="16" s="1"/>
  <c r="BH502" i="16"/>
  <c r="AB502" i="16" s="1"/>
  <c r="BH504" i="16"/>
  <c r="AB504" i="16" s="1"/>
  <c r="BH506" i="16"/>
  <c r="AB506" i="16" s="1"/>
  <c r="BI515" i="16"/>
  <c r="BI517" i="16"/>
  <c r="BI519" i="16"/>
  <c r="BI521" i="16"/>
  <c r="BI523" i="16"/>
  <c r="BI525" i="16"/>
  <c r="BI527" i="16"/>
  <c r="AK552" i="16"/>
  <c r="AT551" i="16" s="1"/>
  <c r="I551" i="16"/>
  <c r="AV564" i="16"/>
  <c r="BC564" i="16"/>
  <c r="BF571" i="16"/>
  <c r="L570" i="16"/>
  <c r="BI625" i="16"/>
  <c r="AC625" i="16" s="1"/>
  <c r="AW486" i="16"/>
  <c r="AW488" i="16"/>
  <c r="I490" i="16"/>
  <c r="AX510" i="16"/>
  <c r="BC510" i="16" s="1"/>
  <c r="L512" i="16"/>
  <c r="AV529" i="16"/>
  <c r="AV535" i="16"/>
  <c r="BH552" i="16"/>
  <c r="AB552" i="16" s="1"/>
  <c r="AW556" i="16"/>
  <c r="I560" i="16"/>
  <c r="AX575" i="16"/>
  <c r="BC577" i="16"/>
  <c r="AT596" i="16"/>
  <c r="AS596" i="16"/>
  <c r="BC603" i="16"/>
  <c r="AV612" i="16"/>
  <c r="BC612" i="16"/>
  <c r="AK615" i="16"/>
  <c r="AT614" i="16" s="1"/>
  <c r="I614" i="16"/>
  <c r="BC630" i="16"/>
  <c r="AV630" i="16"/>
  <c r="AU632" i="16"/>
  <c r="BC652" i="16"/>
  <c r="BI479" i="16"/>
  <c r="AC479" i="16" s="1"/>
  <c r="BI481" i="16"/>
  <c r="AC481" i="16" s="1"/>
  <c r="BI483" i="16"/>
  <c r="AC483" i="16" s="1"/>
  <c r="BH513" i="16"/>
  <c r="AK538" i="16"/>
  <c r="AT537" i="16" s="1"/>
  <c r="I537" i="16"/>
  <c r="I531" i="16" s="1"/>
  <c r="BF545" i="16"/>
  <c r="L544" i="16"/>
  <c r="L531" i="16" s="1"/>
  <c r="AW561" i="16"/>
  <c r="AX586" i="16"/>
  <c r="BC586" i="16" s="1"/>
  <c r="BC605" i="16"/>
  <c r="AV668" i="16"/>
  <c r="BC668" i="16"/>
  <c r="AV479" i="16"/>
  <c r="AV481" i="16"/>
  <c r="AV483" i="16"/>
  <c r="I509" i="16"/>
  <c r="AV540" i="16"/>
  <c r="AV558" i="16"/>
  <c r="AV566" i="16"/>
  <c r="BC566" i="16"/>
  <c r="BC571" i="16"/>
  <c r="AV571" i="16"/>
  <c r="AX577" i="16"/>
  <c r="AV577" i="16" s="1"/>
  <c r="AU579" i="16"/>
  <c r="AT653" i="16"/>
  <c r="BC660" i="16"/>
  <c r="AX552" i="16"/>
  <c r="BI552" i="16"/>
  <c r="AC552" i="16" s="1"/>
  <c r="I468" i="16"/>
  <c r="L485" i="16"/>
  <c r="I514" i="16"/>
  <c r="BH535" i="16"/>
  <c r="AB535" i="16" s="1"/>
  <c r="BC573" i="16"/>
  <c r="AV573" i="16"/>
  <c r="AV590" i="16"/>
  <c r="AV608" i="16"/>
  <c r="BC608" i="16"/>
  <c r="BH612" i="16"/>
  <c r="AD612" i="16" s="1"/>
  <c r="BC615" i="16"/>
  <c r="AV615" i="16"/>
  <c r="AV625" i="16"/>
  <c r="AV654" i="16"/>
  <c r="BI529" i="16"/>
  <c r="BI566" i="16"/>
  <c r="AE566" i="16" s="1"/>
  <c r="AV568" i="16"/>
  <c r="BC568" i="16"/>
  <c r="BC597" i="16"/>
  <c r="AT617" i="16"/>
  <c r="BH571" i="16"/>
  <c r="AD571" i="16" s="1"/>
  <c r="BH573" i="16"/>
  <c r="AD573" i="16" s="1"/>
  <c r="BH575" i="16"/>
  <c r="AD575" i="16" s="1"/>
  <c r="BH577" i="16"/>
  <c r="AD577" i="16" s="1"/>
  <c r="BI597" i="16"/>
  <c r="AE597" i="16" s="1"/>
  <c r="BI599" i="16"/>
  <c r="AE599" i="16" s="1"/>
  <c r="BI601" i="16"/>
  <c r="AE601" i="16" s="1"/>
  <c r="BI603" i="16"/>
  <c r="AE603" i="16" s="1"/>
  <c r="BI605" i="16"/>
  <c r="AE605" i="16" s="1"/>
  <c r="BC625" i="16"/>
  <c r="BC627" i="16"/>
  <c r="BH630" i="16"/>
  <c r="AB630" i="16" s="1"/>
  <c r="AW645" i="16"/>
  <c r="I648" i="16"/>
  <c r="BI652" i="16"/>
  <c r="AX654" i="16"/>
  <c r="BC654" i="16" s="1"/>
  <c r="AX656" i="16"/>
  <c r="AV656" i="16" s="1"/>
  <c r="AX658" i="16"/>
  <c r="AV658" i="16" s="1"/>
  <c r="AX660" i="16"/>
  <c r="AV660" i="16" s="1"/>
  <c r="AX662" i="16"/>
  <c r="AV662" i="16" s="1"/>
  <c r="AX664" i="16"/>
  <c r="AX666" i="16"/>
  <c r="AV666" i="16" s="1"/>
  <c r="AX590" i="16"/>
  <c r="BC590" i="16" s="1"/>
  <c r="AX592" i="16"/>
  <c r="BC592" i="16" s="1"/>
  <c r="L593" i="16"/>
  <c r="AW618" i="16"/>
  <c r="AW620" i="16"/>
  <c r="AW622" i="16"/>
  <c r="I624" i="16"/>
  <c r="AX633" i="16"/>
  <c r="AV633" i="16" s="1"/>
  <c r="AX635" i="16"/>
  <c r="AV635" i="16" s="1"/>
  <c r="AX637" i="16"/>
  <c r="AV637" i="16" s="1"/>
  <c r="AX639" i="16"/>
  <c r="BC639" i="16" s="1"/>
  <c r="AX641" i="16"/>
  <c r="BC641" i="16" s="1"/>
  <c r="AX643" i="16"/>
  <c r="BC643" i="16" s="1"/>
  <c r="AX645" i="16"/>
  <c r="BI554" i="16"/>
  <c r="AC554" i="16" s="1"/>
  <c r="BI556" i="16"/>
  <c r="AC556" i="16" s="1"/>
  <c r="BI558" i="16"/>
  <c r="AC558" i="16" s="1"/>
  <c r="BH594" i="16"/>
  <c r="AD594" i="16" s="1"/>
  <c r="BI615" i="16"/>
  <c r="AE615" i="16" s="1"/>
  <c r="BC633" i="16"/>
  <c r="BC635" i="16"/>
  <c r="BC637" i="16"/>
  <c r="BH649" i="16"/>
  <c r="AB649" i="16" s="1"/>
  <c r="I579" i="16"/>
  <c r="L607" i="16"/>
  <c r="I632" i="16"/>
  <c r="L653" i="16"/>
  <c r="BH668" i="16"/>
  <c r="L560" i="16"/>
  <c r="I596" i="16"/>
  <c r="L617" i="16"/>
  <c r="I651" i="16"/>
  <c r="C15" i="10" l="1"/>
  <c r="AV142" i="15"/>
  <c r="BC142" i="15"/>
  <c r="BC167" i="9"/>
  <c r="AV167" i="9"/>
  <c r="AV23" i="15"/>
  <c r="BC23" i="15"/>
  <c r="AV65" i="9"/>
  <c r="BC65" i="9"/>
  <c r="BC620" i="16"/>
  <c r="AV620" i="16"/>
  <c r="AV643" i="16"/>
  <c r="AV556" i="16"/>
  <c r="BC556" i="16"/>
  <c r="BC486" i="16"/>
  <c r="AV486" i="16"/>
  <c r="AV432" i="16"/>
  <c r="BC432" i="16"/>
  <c r="AV422" i="16"/>
  <c r="BC422" i="16"/>
  <c r="BC179" i="16"/>
  <c r="AV179" i="16"/>
  <c r="L116" i="16"/>
  <c r="BC173" i="15"/>
  <c r="AV173" i="15"/>
  <c r="BC16" i="16"/>
  <c r="AV59" i="16"/>
  <c r="BC59" i="16"/>
  <c r="AK129" i="15"/>
  <c r="AT128" i="15" s="1"/>
  <c r="I128" i="15"/>
  <c r="AW108" i="15"/>
  <c r="AV83" i="16"/>
  <c r="AV41" i="15"/>
  <c r="BC41" i="15"/>
  <c r="AW146" i="15"/>
  <c r="AW167" i="15"/>
  <c r="AK119" i="15"/>
  <c r="AT118" i="15" s="1"/>
  <c r="I118" i="15"/>
  <c r="AK134" i="15"/>
  <c r="AT133" i="15" s="1"/>
  <c r="I133" i="15"/>
  <c r="L158" i="12"/>
  <c r="BF159" i="12"/>
  <c r="BC148" i="15"/>
  <c r="I88" i="12"/>
  <c r="AK89" i="12"/>
  <c r="AT88" i="12" s="1"/>
  <c r="L137" i="15"/>
  <c r="BC131" i="12"/>
  <c r="AV131" i="12"/>
  <c r="AK119" i="12"/>
  <c r="AT118" i="12" s="1"/>
  <c r="I118" i="12"/>
  <c r="I85" i="9"/>
  <c r="AK86" i="9"/>
  <c r="AT85" i="9" s="1"/>
  <c r="BC159" i="12"/>
  <c r="AX78" i="9"/>
  <c r="BI78" i="9"/>
  <c r="AE78" i="9" s="1"/>
  <c r="BC65" i="12"/>
  <c r="BI50" i="12"/>
  <c r="AE50" i="12" s="1"/>
  <c r="C17" i="10" s="1"/>
  <c r="AX50" i="12"/>
  <c r="AV50" i="12" s="1"/>
  <c r="L19" i="12"/>
  <c r="BC125" i="9"/>
  <c r="AV125" i="9"/>
  <c r="AV41" i="12"/>
  <c r="BC41" i="12"/>
  <c r="BC159" i="9"/>
  <c r="AV159" i="9"/>
  <c r="AW115" i="9"/>
  <c r="L56" i="9"/>
  <c r="BF57" i="9"/>
  <c r="AW89" i="9"/>
  <c r="I28" i="9"/>
  <c r="AK29" i="9"/>
  <c r="AT28" i="9" s="1"/>
  <c r="AV134" i="9"/>
  <c r="BC134" i="9"/>
  <c r="AV62" i="9"/>
  <c r="BC159" i="6"/>
  <c r="AV159" i="6"/>
  <c r="AW59" i="6"/>
  <c r="BF119" i="6"/>
  <c r="L118" i="6"/>
  <c r="BI39" i="6"/>
  <c r="AC39" i="6" s="1"/>
  <c r="AV31" i="12"/>
  <c r="AW142" i="6"/>
  <c r="L104" i="6"/>
  <c r="BF105" i="6"/>
  <c r="AX52" i="6"/>
  <c r="BI52" i="6"/>
  <c r="AE52" i="6" s="1"/>
  <c r="AV122" i="3"/>
  <c r="BC122" i="3"/>
  <c r="AW84" i="6"/>
  <c r="AV133" i="3"/>
  <c r="BC133" i="3"/>
  <c r="BC161" i="6"/>
  <c r="AW78" i="6"/>
  <c r="BH99" i="3"/>
  <c r="AB99" i="3" s="1"/>
  <c r="AW99" i="3"/>
  <c r="AW131" i="6"/>
  <c r="BF111" i="3"/>
  <c r="L110" i="3"/>
  <c r="BI138" i="6"/>
  <c r="AC138" i="6" s="1"/>
  <c r="BI81" i="6"/>
  <c r="AE81" i="6" s="1"/>
  <c r="BF76" i="3"/>
  <c r="L75" i="3"/>
  <c r="AV46" i="3"/>
  <c r="BC46" i="3"/>
  <c r="AV41" i="3"/>
  <c r="AW90" i="3"/>
  <c r="AV641" i="16"/>
  <c r="BC656" i="16"/>
  <c r="BC316" i="16"/>
  <c r="AV153" i="16"/>
  <c r="AX163" i="15"/>
  <c r="BI163" i="15"/>
  <c r="AV57" i="16"/>
  <c r="BC57" i="16"/>
  <c r="AV144" i="15"/>
  <c r="BC144" i="15"/>
  <c r="BC115" i="15"/>
  <c r="AK157" i="15"/>
  <c r="AT156" i="15" s="1"/>
  <c r="I156" i="15"/>
  <c r="AK105" i="15"/>
  <c r="AT104" i="15" s="1"/>
  <c r="I104" i="15"/>
  <c r="BC92" i="15"/>
  <c r="AV92" i="15"/>
  <c r="BC101" i="15"/>
  <c r="AV101" i="15"/>
  <c r="BC52" i="15"/>
  <c r="AV52" i="15"/>
  <c r="L36" i="15"/>
  <c r="BF39" i="15"/>
  <c r="BI134" i="15"/>
  <c r="AC134" i="15" s="1"/>
  <c r="AX134" i="15"/>
  <c r="AV122" i="12"/>
  <c r="BC122" i="12"/>
  <c r="AV125" i="12"/>
  <c r="BC125" i="12"/>
  <c r="AW78" i="15"/>
  <c r="AW98" i="12"/>
  <c r="BH98" i="12"/>
  <c r="AD98" i="12" s="1"/>
  <c r="BC148" i="12"/>
  <c r="AV148" i="12"/>
  <c r="BC144" i="12"/>
  <c r="AV144" i="12"/>
  <c r="BI129" i="12"/>
  <c r="AC129" i="12" s="1"/>
  <c r="AX129" i="12"/>
  <c r="AK154" i="9"/>
  <c r="AT153" i="9" s="1"/>
  <c r="I153" i="9"/>
  <c r="I137" i="9"/>
  <c r="AK138" i="9"/>
  <c r="AT137" i="9" s="1"/>
  <c r="BC37" i="12"/>
  <c r="AV37" i="12"/>
  <c r="AV108" i="12"/>
  <c r="AV34" i="12"/>
  <c r="BC34" i="12"/>
  <c r="AV171" i="12"/>
  <c r="AX140" i="9"/>
  <c r="BI140" i="9"/>
  <c r="AC140" i="9" s="1"/>
  <c r="BF119" i="9"/>
  <c r="L118" i="9"/>
  <c r="BC119" i="9"/>
  <c r="AV119" i="9"/>
  <c r="L104" i="12"/>
  <c r="AX157" i="9"/>
  <c r="AV157" i="9" s="1"/>
  <c r="BI157" i="9"/>
  <c r="BC54" i="9"/>
  <c r="AV54" i="9"/>
  <c r="AV161" i="9"/>
  <c r="BC161" i="9"/>
  <c r="BC39" i="9"/>
  <c r="AV39" i="9"/>
  <c r="AW95" i="9"/>
  <c r="AV52" i="12"/>
  <c r="BC52" i="12"/>
  <c r="BF159" i="6"/>
  <c r="L158" i="6"/>
  <c r="I49" i="6"/>
  <c r="AK50" i="6"/>
  <c r="AT49" i="6" s="1"/>
  <c r="I85" i="6"/>
  <c r="AK86" i="6"/>
  <c r="AT85" i="6" s="1"/>
  <c r="BF154" i="6"/>
  <c r="L153" i="6"/>
  <c r="BC23" i="9"/>
  <c r="AV23" i="9"/>
  <c r="AW138" i="6"/>
  <c r="AW115" i="6"/>
  <c r="AX98" i="6"/>
  <c r="BI98" i="6"/>
  <c r="AE98" i="6" s="1"/>
  <c r="BI99" i="3"/>
  <c r="AC99" i="3" s="1"/>
  <c r="AX99" i="3"/>
  <c r="BI62" i="3"/>
  <c r="AE62" i="3" s="1"/>
  <c r="AX62" i="3"/>
  <c r="L28" i="3"/>
  <c r="BF29" i="3"/>
  <c r="BC79" i="3"/>
  <c r="AV79" i="3"/>
  <c r="BI115" i="6"/>
  <c r="AE115" i="6" s="1"/>
  <c r="BC134" i="6"/>
  <c r="AV131" i="3"/>
  <c r="BC131" i="3"/>
  <c r="BF127" i="3"/>
  <c r="L126" i="3"/>
  <c r="BC17" i="3"/>
  <c r="AV17" i="3"/>
  <c r="I28" i="6"/>
  <c r="AK29" i="6"/>
  <c r="AT28" i="6" s="1"/>
  <c r="AX71" i="3"/>
  <c r="BI71" i="3"/>
  <c r="AE71" i="3" s="1"/>
  <c r="BI140" i="6"/>
  <c r="AC140" i="6" s="1"/>
  <c r="L28" i="6"/>
  <c r="BF29" i="6"/>
  <c r="AK106" i="3"/>
  <c r="AT105" i="3" s="1"/>
  <c r="I105" i="3"/>
  <c r="BC117" i="3"/>
  <c r="BC662" i="16"/>
  <c r="BC561" i="16"/>
  <c r="AV561" i="16"/>
  <c r="AV401" i="16"/>
  <c r="AV299" i="16"/>
  <c r="AK154" i="15"/>
  <c r="AT153" i="15" s="1"/>
  <c r="I153" i="15"/>
  <c r="AV55" i="16"/>
  <c r="BC55" i="16"/>
  <c r="BI161" i="15"/>
  <c r="AK115" i="15"/>
  <c r="AT114" i="15" s="1"/>
  <c r="I114" i="15"/>
  <c r="BC62" i="15"/>
  <c r="AV62" i="15"/>
  <c r="BH154" i="15"/>
  <c r="AB154" i="15" s="1"/>
  <c r="AW154" i="15"/>
  <c r="L88" i="15"/>
  <c r="BF89" i="15"/>
  <c r="BC157" i="15"/>
  <c r="AV157" i="15"/>
  <c r="AW163" i="15"/>
  <c r="L49" i="15"/>
  <c r="BF50" i="15"/>
  <c r="AW20" i="15"/>
  <c r="BH20" i="15"/>
  <c r="AB20" i="15" s="1"/>
  <c r="C14" i="13" s="1"/>
  <c r="AW159" i="15"/>
  <c r="AX115" i="15"/>
  <c r="AV115" i="15" s="1"/>
  <c r="AW75" i="15"/>
  <c r="L88" i="12"/>
  <c r="BF89" i="12"/>
  <c r="AW146" i="12"/>
  <c r="BH146" i="12"/>
  <c r="AB146" i="12" s="1"/>
  <c r="BC89" i="12"/>
  <c r="AV89" i="12"/>
  <c r="AW142" i="12"/>
  <c r="BH142" i="12"/>
  <c r="AB142" i="12" s="1"/>
  <c r="L67" i="12"/>
  <c r="L85" i="9"/>
  <c r="BF86" i="9"/>
  <c r="AK37" i="9"/>
  <c r="AT36" i="9" s="1"/>
  <c r="I36" i="9"/>
  <c r="AX75" i="12"/>
  <c r="AV75" i="12" s="1"/>
  <c r="AW20" i="12"/>
  <c r="BI68" i="9"/>
  <c r="AE68" i="9" s="1"/>
  <c r="C17" i="7" s="1"/>
  <c r="L56" i="12"/>
  <c r="BF57" i="12"/>
  <c r="L36" i="12"/>
  <c r="BF37" i="12"/>
  <c r="AV171" i="9"/>
  <c r="AK157" i="9"/>
  <c r="AT156" i="9" s="1"/>
  <c r="I156" i="9"/>
  <c r="L133" i="9"/>
  <c r="BF134" i="9"/>
  <c r="BI92" i="9"/>
  <c r="AE92" i="9" s="1"/>
  <c r="AW148" i="9"/>
  <c r="BC25" i="9"/>
  <c r="AV25" i="9"/>
  <c r="BI167" i="9"/>
  <c r="BI81" i="9"/>
  <c r="AE81" i="9" s="1"/>
  <c r="AV17" i="9"/>
  <c r="BC122" i="6"/>
  <c r="AV122" i="6"/>
  <c r="I88" i="6"/>
  <c r="AK89" i="6"/>
  <c r="AT88" i="6" s="1"/>
  <c r="BF14" i="9"/>
  <c r="L13" i="9"/>
  <c r="BI78" i="6"/>
  <c r="AE78" i="6" s="1"/>
  <c r="L13" i="12"/>
  <c r="BH31" i="9"/>
  <c r="AB31" i="9" s="1"/>
  <c r="AV41" i="6"/>
  <c r="BC41" i="6"/>
  <c r="C17" i="4"/>
  <c r="AK103" i="3"/>
  <c r="AT102" i="3" s="1"/>
  <c r="I102" i="3"/>
  <c r="AW50" i="6"/>
  <c r="BH122" i="3"/>
  <c r="AB122" i="3" s="1"/>
  <c r="I98" i="3"/>
  <c r="AK99" i="3"/>
  <c r="AT98" i="3" s="1"/>
  <c r="BI142" i="6"/>
  <c r="AC142" i="6" s="1"/>
  <c r="AV111" i="6"/>
  <c r="BC111" i="6"/>
  <c r="BF14" i="6"/>
  <c r="L13" i="6"/>
  <c r="C14" i="1"/>
  <c r="BC34" i="9"/>
  <c r="I45" i="6"/>
  <c r="AK46" i="6"/>
  <c r="AT45" i="6" s="1"/>
  <c r="BI20" i="3"/>
  <c r="AC20" i="3" s="1"/>
  <c r="C15" i="1" s="1"/>
  <c r="BC57" i="9"/>
  <c r="AV105" i="6"/>
  <c r="BC105" i="6"/>
  <c r="L40" i="3"/>
  <c r="BF41" i="3"/>
  <c r="AV14" i="3"/>
  <c r="BC14" i="3"/>
  <c r="AW20" i="3"/>
  <c r="AW25" i="3"/>
  <c r="BC618" i="16"/>
  <c r="AV618" i="16"/>
  <c r="AV586" i="16"/>
  <c r="AV639" i="16"/>
  <c r="AV491" i="16"/>
  <c r="BC290" i="16"/>
  <c r="AV290" i="16"/>
  <c r="AV53" i="16"/>
  <c r="BC53" i="16"/>
  <c r="AK46" i="15"/>
  <c r="AT45" i="15" s="1"/>
  <c r="I45" i="15"/>
  <c r="I13" i="15"/>
  <c r="AK14" i="15"/>
  <c r="L156" i="15"/>
  <c r="BF157" i="15"/>
  <c r="AV105" i="15"/>
  <c r="BC105" i="15"/>
  <c r="BC161" i="15"/>
  <c r="AV161" i="15"/>
  <c r="AV57" i="15"/>
  <c r="BC57" i="15"/>
  <c r="I158" i="15"/>
  <c r="AK159" i="15"/>
  <c r="AT158" i="15" s="1"/>
  <c r="AK138" i="15"/>
  <c r="AT137" i="15" s="1"/>
  <c r="I137" i="15"/>
  <c r="BH86" i="15"/>
  <c r="AD86" i="15" s="1"/>
  <c r="AW86" i="15"/>
  <c r="AW111" i="15"/>
  <c r="AV119" i="12"/>
  <c r="BC119" i="12"/>
  <c r="AW84" i="15"/>
  <c r="AX37" i="15"/>
  <c r="AV95" i="15"/>
  <c r="L19" i="15"/>
  <c r="BC86" i="12"/>
  <c r="AK119" i="9"/>
  <c r="AT118" i="9" s="1"/>
  <c r="I118" i="9"/>
  <c r="AK20" i="12"/>
  <c r="AT19" i="12" s="1"/>
  <c r="I19" i="12"/>
  <c r="BC39" i="12"/>
  <c r="AV39" i="12"/>
  <c r="AK20" i="9"/>
  <c r="AT19" i="9" s="1"/>
  <c r="I19" i="9"/>
  <c r="I12" i="9" s="1"/>
  <c r="BC108" i="9"/>
  <c r="AV108" i="9"/>
  <c r="AV167" i="12"/>
  <c r="BF29" i="12"/>
  <c r="L28" i="12"/>
  <c r="AK154" i="6"/>
  <c r="AT153" i="6" s="1"/>
  <c r="I153" i="6"/>
  <c r="BI129" i="9"/>
  <c r="AC129" i="9" s="1"/>
  <c r="C15" i="7" s="1"/>
  <c r="BC165" i="9"/>
  <c r="AW50" i="9"/>
  <c r="I175" i="9"/>
  <c r="BH29" i="12"/>
  <c r="AB29" i="12" s="1"/>
  <c r="C14" i="10" s="1"/>
  <c r="BC20" i="9"/>
  <c r="AV20" i="9"/>
  <c r="BI146" i="9"/>
  <c r="AC146" i="9" s="1"/>
  <c r="AW148" i="6"/>
  <c r="BH148" i="6"/>
  <c r="AB148" i="6" s="1"/>
  <c r="BC157" i="9"/>
  <c r="AX157" i="6"/>
  <c r="BC157" i="6" s="1"/>
  <c r="BI157" i="6"/>
  <c r="AX92" i="6"/>
  <c r="AV92" i="6" s="1"/>
  <c r="BI92" i="6"/>
  <c r="AE92" i="6" s="1"/>
  <c r="BC37" i="6"/>
  <c r="AV37" i="6"/>
  <c r="BC14" i="9"/>
  <c r="AK76" i="3"/>
  <c r="AT75" i="3" s="1"/>
  <c r="I75" i="3"/>
  <c r="AV95" i="6"/>
  <c r="BC95" i="6"/>
  <c r="BI25" i="6"/>
  <c r="AC25" i="6" s="1"/>
  <c r="AX25" i="6"/>
  <c r="BC25" i="6" s="1"/>
  <c r="BF103" i="3"/>
  <c r="L102" i="3"/>
  <c r="AX65" i="3"/>
  <c r="BI65" i="3"/>
  <c r="AE65" i="3" s="1"/>
  <c r="BC169" i="6"/>
  <c r="AV43" i="6"/>
  <c r="BI75" i="6"/>
  <c r="AE75" i="6" s="1"/>
  <c r="AV50" i="3"/>
  <c r="BC50" i="3"/>
  <c r="BF14" i="3"/>
  <c r="L13" i="3"/>
  <c r="AW62" i="3"/>
  <c r="AV87" i="3"/>
  <c r="BC65" i="3"/>
  <c r="AV65" i="3"/>
  <c r="BC666" i="16"/>
  <c r="L392" i="16"/>
  <c r="BC288" i="16"/>
  <c r="AV288" i="16"/>
  <c r="AV295" i="16"/>
  <c r="I253" i="16"/>
  <c r="AV215" i="16"/>
  <c r="BC215" i="16"/>
  <c r="AV228" i="16"/>
  <c r="AV188" i="16"/>
  <c r="I116" i="16"/>
  <c r="AV45" i="16"/>
  <c r="BC45" i="16"/>
  <c r="BI169" i="15"/>
  <c r="AV171" i="15"/>
  <c r="BC171" i="15"/>
  <c r="AK89" i="15"/>
  <c r="AT88" i="15" s="1"/>
  <c r="I88" i="15"/>
  <c r="BC89" i="15"/>
  <c r="AV89" i="15"/>
  <c r="L28" i="15"/>
  <c r="BF29" i="15"/>
  <c r="AV140" i="15"/>
  <c r="BC140" i="15"/>
  <c r="AV77" i="16"/>
  <c r="BI154" i="15"/>
  <c r="AC154" i="15" s="1"/>
  <c r="C16" i="13"/>
  <c r="AW65" i="15"/>
  <c r="BI108" i="15"/>
  <c r="AE108" i="15" s="1"/>
  <c r="AX108" i="15"/>
  <c r="AW68" i="15"/>
  <c r="AW46" i="15"/>
  <c r="AV134" i="12"/>
  <c r="BC134" i="12"/>
  <c r="L85" i="12"/>
  <c r="BF86" i="12"/>
  <c r="C17" i="13"/>
  <c r="BC101" i="12"/>
  <c r="AV101" i="12"/>
  <c r="BC95" i="12"/>
  <c r="AV95" i="12"/>
  <c r="L118" i="12"/>
  <c r="BF119" i="12"/>
  <c r="AW14" i="15"/>
  <c r="AW81" i="15"/>
  <c r="BH17" i="12"/>
  <c r="AB17" i="12" s="1"/>
  <c r="BC78" i="12"/>
  <c r="AV78" i="12"/>
  <c r="AV14" i="12"/>
  <c r="BC14" i="12"/>
  <c r="AX29" i="12"/>
  <c r="AV29" i="12" s="1"/>
  <c r="BF154" i="9"/>
  <c r="L153" i="9"/>
  <c r="AK68" i="9"/>
  <c r="AT67" i="9" s="1"/>
  <c r="I67" i="9"/>
  <c r="I56" i="12"/>
  <c r="AK57" i="12"/>
  <c r="AT56" i="12" s="1"/>
  <c r="BC154" i="9"/>
  <c r="AV154" i="9"/>
  <c r="BC163" i="9"/>
  <c r="AV163" i="9"/>
  <c r="AW150" i="9"/>
  <c r="AK129" i="9"/>
  <c r="AT128" i="9" s="1"/>
  <c r="I128" i="9"/>
  <c r="BC129" i="9"/>
  <c r="AV129" i="9"/>
  <c r="L45" i="9"/>
  <c r="BF46" i="9"/>
  <c r="BC92" i="9"/>
  <c r="AV92" i="9"/>
  <c r="I114" i="6"/>
  <c r="AK115" i="6"/>
  <c r="AT114" i="6" s="1"/>
  <c r="AT13" i="9"/>
  <c r="BC86" i="6"/>
  <c r="AV86" i="6"/>
  <c r="C14" i="7"/>
  <c r="BC108" i="6"/>
  <c r="AV108" i="6"/>
  <c r="AW140" i="9"/>
  <c r="BI144" i="6"/>
  <c r="AC144" i="6" s="1"/>
  <c r="AK157" i="6"/>
  <c r="AT156" i="6" s="1"/>
  <c r="I156" i="6"/>
  <c r="L133" i="6"/>
  <c r="BF134" i="6"/>
  <c r="AT13" i="6"/>
  <c r="BF122" i="3"/>
  <c r="L121" i="3"/>
  <c r="I49" i="3"/>
  <c r="AK50" i="3"/>
  <c r="AT49" i="3" s="1"/>
  <c r="BC34" i="3"/>
  <c r="AV34" i="3"/>
  <c r="AW68" i="6"/>
  <c r="AV135" i="3"/>
  <c r="BC135" i="3"/>
  <c r="BC43" i="3"/>
  <c r="AV43" i="3"/>
  <c r="AW144" i="6"/>
  <c r="AK20" i="3"/>
  <c r="AT19" i="3" s="1"/>
  <c r="I19" i="3"/>
  <c r="AW54" i="6"/>
  <c r="AV76" i="3"/>
  <c r="AW31" i="6"/>
  <c r="AW37" i="3"/>
  <c r="L253" i="16"/>
  <c r="AV101" i="16"/>
  <c r="BC101" i="16"/>
  <c r="BC73" i="16"/>
  <c r="AV73" i="16"/>
  <c r="AV43" i="16"/>
  <c r="BC43" i="16"/>
  <c r="AV169" i="15"/>
  <c r="BI84" i="15"/>
  <c r="AX84" i="15"/>
  <c r="AK31" i="15"/>
  <c r="AT28" i="15" s="1"/>
  <c r="I28" i="15"/>
  <c r="BF129" i="15"/>
  <c r="L128" i="15"/>
  <c r="BC59" i="15"/>
  <c r="AV59" i="15"/>
  <c r="BF115" i="15"/>
  <c r="L114" i="15"/>
  <c r="AK138" i="12"/>
  <c r="AT137" i="12" s="1"/>
  <c r="I137" i="12"/>
  <c r="BC34" i="15"/>
  <c r="AV34" i="15"/>
  <c r="AW138" i="15"/>
  <c r="I67" i="15"/>
  <c r="AK68" i="15"/>
  <c r="AT67" i="15" s="1"/>
  <c r="L13" i="15"/>
  <c r="BF14" i="15"/>
  <c r="I133" i="12"/>
  <c r="AK134" i="12"/>
  <c r="AT133" i="12" s="1"/>
  <c r="AX157" i="12"/>
  <c r="BI157" i="12"/>
  <c r="BC150" i="15"/>
  <c r="AV150" i="15"/>
  <c r="AX68" i="15"/>
  <c r="BC84" i="12"/>
  <c r="AV84" i="12"/>
  <c r="BC140" i="12"/>
  <c r="AV140" i="12"/>
  <c r="L45" i="12"/>
  <c r="BF46" i="12"/>
  <c r="BC173" i="9"/>
  <c r="AV173" i="9"/>
  <c r="I67" i="12"/>
  <c r="AK75" i="12"/>
  <c r="AT67" i="12" s="1"/>
  <c r="BC25" i="12"/>
  <c r="AV25" i="12"/>
  <c r="BC122" i="9"/>
  <c r="AV122" i="9"/>
  <c r="I13" i="12"/>
  <c r="AK14" i="12"/>
  <c r="AV163" i="12"/>
  <c r="AX148" i="9"/>
  <c r="BI148" i="9"/>
  <c r="AC148" i="9" s="1"/>
  <c r="BC17" i="12"/>
  <c r="AV17" i="12"/>
  <c r="AV146" i="9"/>
  <c r="BC146" i="9"/>
  <c r="BC41" i="9"/>
  <c r="AV41" i="9"/>
  <c r="AK119" i="6"/>
  <c r="AT118" i="6" s="1"/>
  <c r="I118" i="6"/>
  <c r="BC68" i="9"/>
  <c r="AV68" i="9"/>
  <c r="BI138" i="9"/>
  <c r="AC138" i="9" s="1"/>
  <c r="BI150" i="9"/>
  <c r="AC150" i="9" s="1"/>
  <c r="AV105" i="9"/>
  <c r="BC105" i="9"/>
  <c r="AK125" i="3"/>
  <c r="AT124" i="3" s="1"/>
  <c r="I124" i="3"/>
  <c r="AW140" i="6"/>
  <c r="BH140" i="6"/>
  <c r="AB140" i="6" s="1"/>
  <c r="C14" i="4" s="1"/>
  <c r="BI115" i="9"/>
  <c r="AE115" i="9" s="1"/>
  <c r="AX129" i="6"/>
  <c r="BI129" i="6"/>
  <c r="AC129" i="6" s="1"/>
  <c r="AW81" i="6"/>
  <c r="AV129" i="3"/>
  <c r="BC129" i="3"/>
  <c r="AV157" i="6"/>
  <c r="BI74" i="3"/>
  <c r="AX74" i="3"/>
  <c r="AV74" i="3" s="1"/>
  <c r="BC29" i="3"/>
  <c r="AV29" i="3"/>
  <c r="BI23" i="6"/>
  <c r="AC23" i="6" s="1"/>
  <c r="AX23" i="6"/>
  <c r="BC23" i="6" s="1"/>
  <c r="BC46" i="9"/>
  <c r="BC92" i="6"/>
  <c r="BC125" i="3"/>
  <c r="AV125" i="3"/>
  <c r="I36" i="3"/>
  <c r="AK37" i="3"/>
  <c r="AT36" i="3" s="1"/>
  <c r="BF46" i="6"/>
  <c r="L45" i="6"/>
  <c r="AX53" i="3"/>
  <c r="BI53" i="3"/>
  <c r="AE53" i="3" s="1"/>
  <c r="BI150" i="6"/>
  <c r="AC150" i="6" s="1"/>
  <c r="L94" i="3"/>
  <c r="BF95" i="3"/>
  <c r="BC14" i="6"/>
  <c r="AW71" i="3"/>
  <c r="BC17" i="6"/>
  <c r="AW68" i="3"/>
  <c r="BC658" i="16"/>
  <c r="AV510" i="16"/>
  <c r="BC286" i="16"/>
  <c r="AV286" i="16"/>
  <c r="AV645" i="16"/>
  <c r="BC645" i="16"/>
  <c r="AV184" i="16"/>
  <c r="BC71" i="16"/>
  <c r="AV71" i="16"/>
  <c r="BI81" i="15"/>
  <c r="AE81" i="15" s="1"/>
  <c r="AX81" i="15"/>
  <c r="AV131" i="15"/>
  <c r="BC131" i="15"/>
  <c r="C21" i="13"/>
  <c r="I56" i="15"/>
  <c r="AK57" i="15"/>
  <c r="AT56" i="15" s="1"/>
  <c r="AX111" i="15"/>
  <c r="BI111" i="15"/>
  <c r="AE111" i="15" s="1"/>
  <c r="AK86" i="15"/>
  <c r="AT85" i="15" s="1"/>
  <c r="I85" i="15"/>
  <c r="AV43" i="15"/>
  <c r="BC43" i="15"/>
  <c r="I114" i="12"/>
  <c r="AK115" i="12"/>
  <c r="AT114" i="12" s="1"/>
  <c r="BC31" i="15"/>
  <c r="AV31" i="15"/>
  <c r="BI43" i="15"/>
  <c r="AC43" i="15" s="1"/>
  <c r="C15" i="13" s="1"/>
  <c r="AW157" i="12"/>
  <c r="BH157" i="12"/>
  <c r="AV50" i="15"/>
  <c r="AV81" i="12"/>
  <c r="BC81" i="12"/>
  <c r="BH129" i="12"/>
  <c r="AB129" i="12" s="1"/>
  <c r="AW129" i="12"/>
  <c r="BC169" i="9"/>
  <c r="AV169" i="9"/>
  <c r="BC43" i="12"/>
  <c r="AV43" i="12"/>
  <c r="BH173" i="9"/>
  <c r="BF159" i="9"/>
  <c r="L158" i="9"/>
  <c r="I88" i="9"/>
  <c r="AK89" i="9"/>
  <c r="AT88" i="9" s="1"/>
  <c r="I49" i="12"/>
  <c r="AK50" i="12"/>
  <c r="AT49" i="12" s="1"/>
  <c r="AX84" i="9"/>
  <c r="BI84" i="9"/>
  <c r="AV54" i="12"/>
  <c r="BC54" i="12"/>
  <c r="AW142" i="9"/>
  <c r="AW81" i="9"/>
  <c r="AW37" i="9"/>
  <c r="AV57" i="12"/>
  <c r="BC52" i="9"/>
  <c r="AV52" i="9"/>
  <c r="I137" i="6"/>
  <c r="AK138" i="6"/>
  <c r="AT137" i="6" s="1"/>
  <c r="AW131" i="9"/>
  <c r="BF29" i="9"/>
  <c r="L28" i="9"/>
  <c r="AW101" i="9"/>
  <c r="BC167" i="6"/>
  <c r="AV167" i="6"/>
  <c r="AW84" i="9"/>
  <c r="BI43" i="6"/>
  <c r="AC43" i="6" s="1"/>
  <c r="AV62" i="12"/>
  <c r="BC119" i="6"/>
  <c r="AV119" i="6"/>
  <c r="AW78" i="9"/>
  <c r="AW150" i="6"/>
  <c r="AK129" i="6"/>
  <c r="AT128" i="6" s="1"/>
  <c r="I128" i="6"/>
  <c r="I12" i="6" s="1"/>
  <c r="AW75" i="6"/>
  <c r="I82" i="3"/>
  <c r="AK83" i="3"/>
  <c r="AT82" i="3" s="1"/>
  <c r="BC165" i="6"/>
  <c r="AV127" i="3"/>
  <c r="BC127" i="3"/>
  <c r="BC115" i="3"/>
  <c r="AV115" i="3"/>
  <c r="AW101" i="6"/>
  <c r="AV39" i="6"/>
  <c r="BC29" i="9"/>
  <c r="AK20" i="6"/>
  <c r="AT19" i="6" s="1"/>
  <c r="I19" i="6"/>
  <c r="I173" i="6" s="1"/>
  <c r="BI87" i="3"/>
  <c r="AE87" i="3" s="1"/>
  <c r="AW23" i="3"/>
  <c r="I1" i="16"/>
  <c r="AW53" i="3"/>
  <c r="AW83" i="3"/>
  <c r="BC622" i="16"/>
  <c r="AV622" i="16"/>
  <c r="BC488" i="16"/>
  <c r="AV488" i="16"/>
  <c r="AX167" i="15"/>
  <c r="BI167" i="15"/>
  <c r="BC68" i="16"/>
  <c r="AV68" i="16"/>
  <c r="I670" i="16"/>
  <c r="I12" i="16"/>
  <c r="AV61" i="16"/>
  <c r="BC61" i="16"/>
  <c r="AV129" i="15"/>
  <c r="BC129" i="15"/>
  <c r="BI78" i="15"/>
  <c r="AE78" i="15" s="1"/>
  <c r="AX78" i="15"/>
  <c r="AV39" i="15"/>
  <c r="BC39" i="15"/>
  <c r="AK20" i="15"/>
  <c r="AT19" i="15" s="1"/>
  <c r="I19" i="15"/>
  <c r="AV30" i="16"/>
  <c r="AW25" i="15"/>
  <c r="BH25" i="15"/>
  <c r="AB25" i="15" s="1"/>
  <c r="AV28" i="16"/>
  <c r="AK37" i="15"/>
  <c r="AT36" i="15" s="1"/>
  <c r="I36" i="15"/>
  <c r="BC138" i="12"/>
  <c r="AV138" i="12"/>
  <c r="AW92" i="12"/>
  <c r="BH92" i="12"/>
  <c r="AD92" i="12" s="1"/>
  <c r="C16" i="10" s="1"/>
  <c r="AW115" i="12"/>
  <c r="BH115" i="12"/>
  <c r="AD115" i="12" s="1"/>
  <c r="I114" i="9"/>
  <c r="AK115" i="9"/>
  <c r="AT114" i="9" s="1"/>
  <c r="AK37" i="12"/>
  <c r="AT36" i="12" s="1"/>
  <c r="I36" i="12"/>
  <c r="BC86" i="9"/>
  <c r="AV86" i="9"/>
  <c r="I28" i="12"/>
  <c r="AK29" i="12"/>
  <c r="AT28" i="12" s="1"/>
  <c r="I49" i="9"/>
  <c r="AK50" i="9"/>
  <c r="AT49" i="9" s="1"/>
  <c r="L137" i="12"/>
  <c r="AV59" i="9"/>
  <c r="BC59" i="9"/>
  <c r="AX144" i="9"/>
  <c r="BC144" i="9" s="1"/>
  <c r="BI144" i="9"/>
  <c r="AC144" i="9" s="1"/>
  <c r="BC68" i="12"/>
  <c r="AV68" i="12"/>
  <c r="AV138" i="9"/>
  <c r="BC138" i="9"/>
  <c r="L104" i="9"/>
  <c r="BF105" i="9"/>
  <c r="AW75" i="9"/>
  <c r="AV31" i="9"/>
  <c r="BC31" i="9"/>
  <c r="L85" i="6"/>
  <c r="BF86" i="6"/>
  <c r="AK37" i="6"/>
  <c r="AT36" i="6" s="1"/>
  <c r="I36" i="6"/>
  <c r="BC98" i="9"/>
  <c r="AV98" i="9"/>
  <c r="BI75" i="9"/>
  <c r="AE75" i="9" s="1"/>
  <c r="BC163" i="6"/>
  <c r="AV163" i="6"/>
  <c r="BC65" i="6"/>
  <c r="AV65" i="6"/>
  <c r="AK68" i="6"/>
  <c r="AT67" i="6" s="1"/>
  <c r="I67" i="6"/>
  <c r="BC43" i="9"/>
  <c r="AV43" i="9"/>
  <c r="AW146" i="6"/>
  <c r="L56" i="6"/>
  <c r="BF57" i="6"/>
  <c r="BI146" i="6"/>
  <c r="AC146" i="6" s="1"/>
  <c r="BC119" i="3"/>
  <c r="AV119" i="3"/>
  <c r="BI68" i="3"/>
  <c r="AE68" i="3" s="1"/>
  <c r="AX68" i="3"/>
  <c r="AW89" i="6"/>
  <c r="BC111" i="3"/>
  <c r="AV111" i="3"/>
  <c r="I28" i="3"/>
  <c r="AK29" i="3"/>
  <c r="AT28" i="3" s="1"/>
  <c r="BC98" i="6"/>
  <c r="AV98" i="6"/>
  <c r="AT13" i="3"/>
  <c r="BI20" i="6"/>
  <c r="AC20" i="6" s="1"/>
  <c r="AX20" i="6"/>
  <c r="AK122" i="3"/>
  <c r="AT121" i="3" s="1"/>
  <c r="I121" i="3"/>
  <c r="BI50" i="3"/>
  <c r="AE50" i="3" s="1"/>
  <c r="C22" i="13" l="1"/>
  <c r="C22" i="10"/>
  <c r="BC37" i="9"/>
  <c r="AV37" i="9"/>
  <c r="AV81" i="15"/>
  <c r="BC81" i="15"/>
  <c r="AV144" i="9"/>
  <c r="AV83" i="3"/>
  <c r="BC83" i="3"/>
  <c r="AV131" i="9"/>
  <c r="BC131" i="9"/>
  <c r="BC129" i="6"/>
  <c r="AV129" i="6"/>
  <c r="C17" i="1"/>
  <c r="BC115" i="12"/>
  <c r="AV115" i="12"/>
  <c r="BC53" i="3"/>
  <c r="AV53" i="3"/>
  <c r="AV101" i="6"/>
  <c r="BC101" i="6"/>
  <c r="AV75" i="6"/>
  <c r="BC75" i="6"/>
  <c r="AV37" i="3"/>
  <c r="BC37" i="3"/>
  <c r="AV84" i="15"/>
  <c r="BC84" i="15"/>
  <c r="BC25" i="3"/>
  <c r="AV25" i="3"/>
  <c r="BC20" i="12"/>
  <c r="AV20" i="12"/>
  <c r="BC142" i="12"/>
  <c r="AV142" i="12"/>
  <c r="BC98" i="12"/>
  <c r="AV98" i="12"/>
  <c r="AV99" i="3"/>
  <c r="BC99" i="3"/>
  <c r="AV89" i="6"/>
  <c r="BC89" i="6"/>
  <c r="AV68" i="3"/>
  <c r="BC68" i="3"/>
  <c r="AV138" i="15"/>
  <c r="BC138" i="15"/>
  <c r="AV159" i="15"/>
  <c r="BC159" i="15"/>
  <c r="AV115" i="6"/>
  <c r="BC115" i="6"/>
  <c r="AV78" i="15"/>
  <c r="BC78" i="15"/>
  <c r="AV90" i="3"/>
  <c r="BC90" i="3"/>
  <c r="C26" i="7"/>
  <c r="BC20" i="3"/>
  <c r="AV20" i="3"/>
  <c r="BC92" i="12"/>
  <c r="AV92" i="12"/>
  <c r="BC23" i="3"/>
  <c r="AV23" i="3"/>
  <c r="BC140" i="6"/>
  <c r="AV140" i="6"/>
  <c r="BC140" i="9"/>
  <c r="AV140" i="9"/>
  <c r="BC46" i="15"/>
  <c r="AV46" i="15"/>
  <c r="BC50" i="9"/>
  <c r="AV50" i="9"/>
  <c r="AV138" i="6"/>
  <c r="BC138" i="6"/>
  <c r="BC78" i="6"/>
  <c r="AV78" i="6"/>
  <c r="AV52" i="6"/>
  <c r="BC52" i="6"/>
  <c r="BC59" i="6"/>
  <c r="AV59" i="6"/>
  <c r="AV89" i="9"/>
  <c r="BC89" i="9"/>
  <c r="BC108" i="15"/>
  <c r="AV108" i="15"/>
  <c r="BC50" i="12"/>
  <c r="AV75" i="9"/>
  <c r="BC75" i="9"/>
  <c r="BC25" i="15"/>
  <c r="AV25" i="15"/>
  <c r="BC20" i="6"/>
  <c r="AV20" i="6"/>
  <c r="AV150" i="6"/>
  <c r="BC150" i="6"/>
  <c r="BC71" i="3"/>
  <c r="AV71" i="3"/>
  <c r="BC54" i="6"/>
  <c r="AV54" i="6"/>
  <c r="BC68" i="6"/>
  <c r="AV68" i="6"/>
  <c r="AV68" i="15"/>
  <c r="BC68" i="15"/>
  <c r="BC148" i="6"/>
  <c r="AV148" i="6"/>
  <c r="BC111" i="15"/>
  <c r="AV111" i="15"/>
  <c r="AT13" i="15"/>
  <c r="C26" i="13"/>
  <c r="BC148" i="9"/>
  <c r="AV148" i="9"/>
  <c r="BC20" i="15"/>
  <c r="AV20" i="15"/>
  <c r="BC154" i="15"/>
  <c r="AV154" i="15"/>
  <c r="BC74" i="3"/>
  <c r="BC84" i="9"/>
  <c r="AV84" i="9"/>
  <c r="AV31" i="6"/>
  <c r="BC31" i="6"/>
  <c r="C15" i="4"/>
  <c r="C22" i="4" s="1"/>
  <c r="BC78" i="9"/>
  <c r="AV78" i="9"/>
  <c r="AV101" i="9"/>
  <c r="BC101" i="9"/>
  <c r="I137" i="3"/>
  <c r="I12" i="3"/>
  <c r="C26" i="4"/>
  <c r="AV150" i="9"/>
  <c r="BC150" i="9"/>
  <c r="I175" i="15"/>
  <c r="I12" i="15"/>
  <c r="BC146" i="12"/>
  <c r="AV146" i="12"/>
  <c r="AV62" i="3"/>
  <c r="BC62" i="3"/>
  <c r="C22" i="1"/>
  <c r="L12" i="12"/>
  <c r="AV25" i="6"/>
  <c r="AV23" i="6"/>
  <c r="AV142" i="6"/>
  <c r="BC142" i="6"/>
  <c r="AV115" i="9"/>
  <c r="BC115" i="9"/>
  <c r="BC75" i="12"/>
  <c r="AV167" i="15"/>
  <c r="BC167" i="15"/>
  <c r="C22" i="7"/>
  <c r="BC86" i="15"/>
  <c r="AV86" i="15"/>
  <c r="C26" i="1"/>
  <c r="AV81" i="9"/>
  <c r="BC81" i="9"/>
  <c r="C26" i="10"/>
  <c r="AT13" i="12"/>
  <c r="L12" i="15"/>
  <c r="BC144" i="6"/>
  <c r="AV144" i="6"/>
  <c r="AV14" i="15"/>
  <c r="BC14" i="15"/>
  <c r="BC65" i="15"/>
  <c r="AV65" i="15"/>
  <c r="L12" i="3"/>
  <c r="L12" i="6"/>
  <c r="BC50" i="6"/>
  <c r="AV50" i="6"/>
  <c r="AV163" i="15"/>
  <c r="BC163" i="15"/>
  <c r="BC134" i="15"/>
  <c r="AV134" i="15"/>
  <c r="BC84" i="6"/>
  <c r="AV84" i="6"/>
  <c r="AV146" i="15"/>
  <c r="BC146" i="15"/>
  <c r="BC29" i="12"/>
  <c r="AV146" i="6"/>
  <c r="BC146" i="6"/>
  <c r="BC157" i="12"/>
  <c r="AV157" i="12"/>
  <c r="AV81" i="6"/>
  <c r="BC81" i="6"/>
  <c r="AV142" i="9"/>
  <c r="BC142" i="9"/>
  <c r="BC129" i="12"/>
  <c r="AV129" i="12"/>
  <c r="I175" i="12"/>
  <c r="I12" i="12"/>
  <c r="AV37" i="15"/>
  <c r="BC37" i="15"/>
  <c r="L12" i="9"/>
  <c r="AV75" i="15"/>
  <c r="BC75" i="15"/>
  <c r="AV95" i="9"/>
  <c r="BC95" i="9"/>
  <c r="AV131" i="6"/>
  <c r="BC131" i="6"/>
  <c r="F26" i="4" l="1"/>
  <c r="I26" i="4"/>
  <c r="F26" i="1"/>
  <c r="I26" i="1"/>
  <c r="I27" i="1" s="1"/>
  <c r="F26" i="7"/>
  <c r="I26" i="7"/>
  <c r="I27" i="7" s="1"/>
  <c r="F26" i="13"/>
  <c r="I26" i="13"/>
  <c r="I27" i="13" s="1"/>
  <c r="F26" i="10"/>
  <c r="I26" i="10"/>
  <c r="I27" i="10" l="1"/>
  <c r="I27" i="4"/>
</calcChain>
</file>

<file path=xl/sharedStrings.xml><?xml version="1.0" encoding="utf-8"?>
<sst xmlns="http://schemas.openxmlformats.org/spreadsheetml/2006/main" count="9428" uniqueCount="734">
  <si>
    <t>Krycí list slepého rozpočtu (01A - VÝMĚNA OTVOROVÝCH VÝPLNÍ 1.NP)</t>
  </si>
  <si>
    <t>Název stavby:</t>
  </si>
  <si>
    <t>Objednatel:</t>
  </si>
  <si>
    <t>IČO/DIČ:</t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</si>
  <si>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</si>
  <si>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</si>
  <si>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</si>
  <si>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</si>
  <si>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</si>
  <si>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</si>
  <si>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</si>
  <si>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</si>
  <si>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</si>
  <si>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</si>
  <si>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</si>
  <si>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</si>
  <si>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</si>
  <si>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</si>
  <si>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</si>
  <si>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</si>
  <si>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</si>
  <si>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</si>
  <si>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</si>
  <si>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</si>
  <si>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</si>
  <si>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</si>
  <si>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</si>
  <si>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</si>
  <si>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</si>
  <si>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</si>
  <si>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</si>
  <si>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</si>
  <si>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</si>
  <si>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</si>
  <si>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</si>
  <si>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</si>
  <si>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</si>
  <si>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</si>
  <si>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</si>
  <si>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</si>
  <si>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VORN celkem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</si>
  <si>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</si>
  <si>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</si>
  <si>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</si>
  <si>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</si>
  <si>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</si>
  <si>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</si>
  <si>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</si>
  <si>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</si>
  <si>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</si>
  <si>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</si>
  <si>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</si>
  <si>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</si>
  <si>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 (01A - VÝMĚNA OTVOROVÝCH VÝPLNÍ 1.NP)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</si>
  <si>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</si>
  <si>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</si>
  <si>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</si>
  <si>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</si>
  <si>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</si>
  <si>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</si>
  <si>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</si>
  <si>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</si>
  <si>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</si>
  <si>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</si>
  <si>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</si>
  <si>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</si>
  <si>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</si>
  <si>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</si>
  <si>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</si>
  <si>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</si>
  <si>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</si>
  <si>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</si>
  <si>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 (01A - VÝMĚNA OTVOROVÝCH VÝPLNÍ 1.NP)</t>
  </si>
  <si>
    <t>Doba výstavby:</t>
  </si>
  <si>
    <t>Zpracováno dne: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</si>
  <si>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</si>
  <si>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</si>
  <si>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</si>
  <si>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</si>
  <si>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</si>
  <si>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</si>
  <si>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</si>
  <si>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</si>
  <si>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</si>
  <si>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Cenová</t>
  </si>
  <si>
    <t>ISWORK</t>
  </si>
  <si>
    <t>GROUPCODE</t>
  </si>
  <si>
    <t>VATTAX</t>
  </si>
  <si>
    <t xml:space="preserve"> </t>
  </si>
  <si>
    <t>Rozměry</t>
  </si>
  <si>
    <t>(Kč)</t>
  </si>
  <si>
    <t>Celkem</t>
  </si>
  <si>
    <t>Jednot.</t>
  </si>
  <si>
    <t>Celkem/MJ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</si>
  <si>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</si>
  <si>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</si>
  <si>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</si>
  <si>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</si>
  <si>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</si>
  <si>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</si>
  <si>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</si>
  <si>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</si>
  <si>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</si>
  <si>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</si>
  <si>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</si>
  <si>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</si>
  <si>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</si>
  <si>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01A</t>
  </si>
  <si>
    <t>VÝMĚNA OTVOROVÝCH VÝPLNÍ 1.NP</t>
  </si>
  <si>
    <t>60</t>
  </si>
  <si>
    <t>Omítky ze suchých směsí</t>
  </si>
  <si>
    <t>1</t>
  </si>
  <si>
    <t>601012142RT1</t>
  </si>
  <si>
    <t>Štuk na stropech  ručně VNĚJŠÍ OMÍTKY</t>
  </si>
  <si>
    <t>m2</t>
  </si>
  <si>
    <t>RTS I / 2025</t>
  </si>
  <si>
    <t>60_</t>
  </si>
  <si>
    <t>01A_6_</t>
  </si>
  <si>
    <t>01A_</t>
  </si>
  <si>
    <t>tloušťka vrstvy 2 mm</t>
  </si>
  <si>
    <t>26,84</t>
  </si>
  <si>
    <t>2</t>
  </si>
  <si>
    <t>601013191R00</t>
  </si>
  <si>
    <t>Podkladní nátěr stropů pod šlechtěné omítky</t>
  </si>
  <si>
    <t>26,84*2</t>
  </si>
  <si>
    <t>61</t>
  </si>
  <si>
    <t>Úprava povrchů vnitřní</t>
  </si>
  <si>
    <t>3</t>
  </si>
  <si>
    <t>612425931RT2</t>
  </si>
  <si>
    <t>Omítka vápenná vnitřního ostění - štuková</t>
  </si>
  <si>
    <t>61_</t>
  </si>
  <si>
    <t>s použitím suché maltové směsi</t>
  </si>
  <si>
    <t>;1.np; 0,2*(1,5*3+1,2*3*12+0,9*3*4+1,2*5+0,9*2*5+1,5+2,1*2+1,8*2+2,1*4+1,8+1,5*2+1,5*2+2,7*4+1,25+2,7*2)</t>
  </si>
  <si>
    <t>4</t>
  </si>
  <si>
    <t>610991111R00</t>
  </si>
  <si>
    <t>Zakrývání výplní vnitřních otvorů</t>
  </si>
  <si>
    <t>1,5*1,5+1,2*1,2*12+0,9*0,9*4+1,2*0,9*5+1,5*2,1+1,8*2,1*2+1,8*1,5+1,5*2,7*2+1,25*2,7</t>
  </si>
  <si>
    <t>5</t>
  </si>
  <si>
    <t>622473187RT2</t>
  </si>
  <si>
    <t>Příplatek za okenní lištu (APU) - montáž</t>
  </si>
  <si>
    <t>m</t>
  </si>
  <si>
    <t>včetně dodávky lišty</t>
  </si>
  <si>
    <t>1,5*3+1,2*3*12+0,9*3*4+1,2*5+0,9*2*5+1,5+2,1*2+1,8*2+2,1*4+1,8+1,5*2+1,5*2+2,7*4+1,25+2,7*2</t>
  </si>
  <si>
    <t>62</t>
  </si>
  <si>
    <t>Úprava povrchů vnější</t>
  </si>
  <si>
    <t>6</t>
  </si>
  <si>
    <t>621477124R00</t>
  </si>
  <si>
    <t>Oprava vnější omítky hladké podhledů,II,do 40%,SMS</t>
  </si>
  <si>
    <t>62_</t>
  </si>
  <si>
    <t>4,88*3+3,76*2+0,25*(3,9*3+3,5*2)</t>
  </si>
  <si>
    <t>7</t>
  </si>
  <si>
    <t>621481211RT7</t>
  </si>
  <si>
    <t>Montáž výztužné sítě (perlinky) do stěrky - podhledy</t>
  </si>
  <si>
    <t>včetně výztužné sítě a stěrkového tmelu</t>
  </si>
  <si>
    <t>8</t>
  </si>
  <si>
    <t>621412313R00</t>
  </si>
  <si>
    <t>Nátěr podhledů vnějších silikonový</t>
  </si>
  <si>
    <t>64</t>
  </si>
  <si>
    <t>Výplně otvorů</t>
  </si>
  <si>
    <t>9</t>
  </si>
  <si>
    <t>648991113RT3</t>
  </si>
  <si>
    <t>Osazení parapet.desek plast. a lamin. š.nad 20cm</t>
  </si>
  <si>
    <t>64_</t>
  </si>
  <si>
    <t>včetně dodávky plastové parapetní desky š. 300 mm</t>
  </si>
  <si>
    <t>1,55+1,25*12+0,95*4+1,25*5+1,55+1,85*2+1,85</t>
  </si>
  <si>
    <t>764</t>
  </si>
  <si>
    <t>Konstrukce klempířské</t>
  </si>
  <si>
    <t>10</t>
  </si>
  <si>
    <t>764410850R00</t>
  </si>
  <si>
    <t>Demontáž oplechování parapetů,rš od 100 do 330 mm</t>
  </si>
  <si>
    <t>764_</t>
  </si>
  <si>
    <t>01A_76_</t>
  </si>
  <si>
    <t>11</t>
  </si>
  <si>
    <t>764816140RT3</t>
  </si>
  <si>
    <t>Oplechování parapetů, lakovaný Pz plech, rš 400 mm</t>
  </si>
  <si>
    <t>lepení na nízkoexpanzní pěnu</t>
  </si>
  <si>
    <t>12</t>
  </si>
  <si>
    <t>764410910R00</t>
  </si>
  <si>
    <t>Oprava oplechování parapetů z Pz plechu,rš 100 mm</t>
  </si>
  <si>
    <t>OKAPOVÁ PARAPETNÍ PŘECHODOVÁ LIŠTA</t>
  </si>
  <si>
    <t>34,0</t>
  </si>
  <si>
    <t>766</t>
  </si>
  <si>
    <t>Konstrukce truhlářské</t>
  </si>
  <si>
    <t>13</t>
  </si>
  <si>
    <t>766000036VD</t>
  </si>
  <si>
    <t>Vstupní hliníkové dveře</t>
  </si>
  <si>
    <t>ks</t>
  </si>
  <si>
    <t>766_</t>
  </si>
  <si>
    <t>D+M, SPECIFIKACE DLE TABULEK PSV</t>
  </si>
  <si>
    <t>;PSV 10, 11; 2</t>
  </si>
  <si>
    <t>14</t>
  </si>
  <si>
    <t>766670029RAA</t>
  </si>
  <si>
    <t>Okno plastové  atyp</t>
  </si>
  <si>
    <t>Specifikace dle tabulek PSV</t>
  </si>
  <si>
    <t>;O2; 1,5*1,5</t>
  </si>
  <si>
    <t>;O3; 1,2*1,2*12</t>
  </si>
  <si>
    <t>;O4; 0,9*0,9*4</t>
  </si>
  <si>
    <t>;O5; 1,2*0,9*5</t>
  </si>
  <si>
    <t>;O7; 1,5*2,1</t>
  </si>
  <si>
    <t>;O8; 1,8*2,1*2</t>
  </si>
  <si>
    <t>;O9A; 1,8*1,5</t>
  </si>
  <si>
    <t>15</t>
  </si>
  <si>
    <t>766000002VD</t>
  </si>
  <si>
    <t>Vstupní  dveře dvoukřídlé plastové</t>
  </si>
  <si>
    <t>;12; 1</t>
  </si>
  <si>
    <t>16</t>
  </si>
  <si>
    <t>766601211RT2</t>
  </si>
  <si>
    <t>Těsnění okenní spáry, ostění, PT fólie+ PP páska</t>
  </si>
  <si>
    <t>folie š.100 mm, páska tl. 6 mm, š. 15 mm</t>
  </si>
  <si>
    <t>116,5</t>
  </si>
  <si>
    <t>17</t>
  </si>
  <si>
    <t>766601229RT2</t>
  </si>
  <si>
    <t>Těsnění oken.spáry,parapet,PT folie+PP folie+páska</t>
  </si>
  <si>
    <t>PT folie š. 70 mm; PP folie š.100 mm+páska tl.4 mm</t>
  </si>
  <si>
    <t>33,7</t>
  </si>
  <si>
    <t>18</t>
  </si>
  <si>
    <t>766000153VD</t>
  </si>
  <si>
    <t>Sitě proti hmyzu do oken</t>
  </si>
  <si>
    <t>KS</t>
  </si>
  <si>
    <t xml:space="preserve"> D+M, SPECIFIKACE DLE VÝPISU PSV</t>
  </si>
  <si>
    <t>12+4+5+2</t>
  </si>
  <si>
    <t>19</t>
  </si>
  <si>
    <t>998766103R00</t>
  </si>
  <si>
    <t>Přesun hmot pro truhlářské konstr., výšky do 24 m</t>
  </si>
  <si>
    <t>t</t>
  </si>
  <si>
    <t>783</t>
  </si>
  <si>
    <t>Nátěry</t>
  </si>
  <si>
    <t>20</t>
  </si>
  <si>
    <t>783950040RAB</t>
  </si>
  <si>
    <t>Oprava nátěrů dřevěných oken syntet. lakem</t>
  </si>
  <si>
    <t>783_</t>
  </si>
  <si>
    <t>01A_78_</t>
  </si>
  <si>
    <t>oškrábání, tmelení, 2 x</t>
  </si>
  <si>
    <t>;17; 3,14*0,7*0,7*2</t>
  </si>
  <si>
    <t>21</t>
  </si>
  <si>
    <t>783950010RAA</t>
  </si>
  <si>
    <t>Oprava nátěrů kovových konstrukcí syntet. lakem</t>
  </si>
  <si>
    <t>oškrábání, odrezivění, 1x krycí + 1x email</t>
  </si>
  <si>
    <t>34,0*0,35</t>
  </si>
  <si>
    <t>784</t>
  </si>
  <si>
    <t>Malby</t>
  </si>
  <si>
    <t>22</t>
  </si>
  <si>
    <t>784011222RT2</t>
  </si>
  <si>
    <t>Zakrytí podlah, včetně odstranění</t>
  </si>
  <si>
    <t>784_</t>
  </si>
  <si>
    <t>včetně papírové lepenky</t>
  </si>
  <si>
    <t>5,8*4,15+7,2*4,2+1,7*3,6+2,35*3,6+4,2*3,6*2+4,15*3,6+3,35*3,55+3,55*1,6*2</t>
  </si>
  <si>
    <t>5,6*8,8+3,55*1,77+1,95*2,2+1,7*15,0</t>
  </si>
  <si>
    <t>23</t>
  </si>
  <si>
    <t>784442001RT2</t>
  </si>
  <si>
    <t>Malba disperzní interiér.HET Klasik,výška do 3,8 m</t>
  </si>
  <si>
    <t>1barevná, 2x nátěr, 1x penetrace</t>
  </si>
  <si>
    <t>23,3</t>
  </si>
  <si>
    <t>24</t>
  </si>
  <si>
    <t>784011221RT2</t>
  </si>
  <si>
    <t>Zakrytí předmětů, včetně odstranění</t>
  </si>
  <si>
    <t>včetně dodávky fólie tl. 0,04 mm</t>
  </si>
  <si>
    <t>(5,8*4,15+7,2*4,2+1,7*3,6+2,35*3,6+4,2*3,6*2+4,15*3,6+3,35*3,55+3,55*1,6*2)*2</t>
  </si>
  <si>
    <t>(5,6*8,8+3,55*1,77+1,95*2,2+1,7*15,0)*1,2</t>
  </si>
  <si>
    <t>786</t>
  </si>
  <si>
    <t>Čalounické úpravy</t>
  </si>
  <si>
    <t>25</t>
  </si>
  <si>
    <t>786622211RT2</t>
  </si>
  <si>
    <t>Žaluzie horizontální vnitřní AL lamely bílé</t>
  </si>
  <si>
    <t>786_</t>
  </si>
  <si>
    <t>včetně dodávky žaluzie</t>
  </si>
  <si>
    <t>1,8*1,5+1,8*2,1*2+1,5*2,1+1,2*0,9*5+0,9*0,9*4+1,2*1,2*12</t>
  </si>
  <si>
    <t>90</t>
  </si>
  <si>
    <t>Hodinové zúčtovací sazby (HZS)</t>
  </si>
  <si>
    <t>26</t>
  </si>
  <si>
    <t>900      R03</t>
  </si>
  <si>
    <t>HZS</t>
  </si>
  <si>
    <t>h</t>
  </si>
  <si>
    <t>90_</t>
  </si>
  <si>
    <t>01A_9_</t>
  </si>
  <si>
    <t>stavební dělník v tarifní třídě 6</t>
  </si>
  <si>
    <t>;STĚHOVÁNÍ PŘEDMĚTŮ; 30</t>
  </si>
  <si>
    <t>94</t>
  </si>
  <si>
    <t>Lešení a stavební výtahy</t>
  </si>
  <si>
    <t>27</t>
  </si>
  <si>
    <t>941955001R00</t>
  </si>
  <si>
    <t>Lešení lehké pomocné, výška podlahy do 1,2 m</t>
  </si>
  <si>
    <t>94_</t>
  </si>
  <si>
    <t>3,0*(1+12+4+5+1+2+1+3+1)</t>
  </si>
  <si>
    <t>95</t>
  </si>
  <si>
    <t>Různé dokončovací konstrukce a práce na pozemních stavbách</t>
  </si>
  <si>
    <t>28</t>
  </si>
  <si>
    <t>952901111R00</t>
  </si>
  <si>
    <t>Vyčištění budov o výšce podlaží do 4 m</t>
  </si>
  <si>
    <t>95_</t>
  </si>
  <si>
    <t>96</t>
  </si>
  <si>
    <t>Bourání konstrukcí</t>
  </si>
  <si>
    <t>29</t>
  </si>
  <si>
    <t>968096001R00</t>
  </si>
  <si>
    <t>Bourání parapetů plastových š. do 20 cm</t>
  </si>
  <si>
    <t>96_</t>
  </si>
  <si>
    <t>30</t>
  </si>
  <si>
    <t>968061112R00</t>
  </si>
  <si>
    <t>Vyvěšení dřevěných a plastových okenních křídel pl. do 1,5 m2</t>
  </si>
  <si>
    <t>kus</t>
  </si>
  <si>
    <t>2+12+4+5+4+8+3</t>
  </si>
  <si>
    <t>31</t>
  </si>
  <si>
    <t>968062245R00</t>
  </si>
  <si>
    <t>Vybourání dřevěných rámů oken jednoduch. pl. 2 m2</t>
  </si>
  <si>
    <t>1,8*1,5+1,8*2,1*2+1,5*2,1+1,2*0,9+0,9*0,9*4+1,2*1,2*12+1,5*1,5</t>
  </si>
  <si>
    <t>32</t>
  </si>
  <si>
    <t>968071125R00</t>
  </si>
  <si>
    <t>Vyvěšení, zavěšení kovových křídel dveří pl. 2 m2</t>
  </si>
  <si>
    <t>33</t>
  </si>
  <si>
    <t>968072456R00</t>
  </si>
  <si>
    <t>Vybourání kovových dveřních zárubní pl. nad 2 m2</t>
  </si>
  <si>
    <t>1,23*2,7+1,5*2,7*2</t>
  </si>
  <si>
    <t>97</t>
  </si>
  <si>
    <t>Prorážení otvorů a ostatní bourací práce</t>
  </si>
  <si>
    <t>34</t>
  </si>
  <si>
    <t>978013191R00</t>
  </si>
  <si>
    <t>Otlučení omítek vnitřních stěn v rozsahu do 100 %</t>
  </si>
  <si>
    <t>97_</t>
  </si>
  <si>
    <t>H99</t>
  </si>
  <si>
    <t>Ostatní přesuny hmot</t>
  </si>
  <si>
    <t>35</t>
  </si>
  <si>
    <t>999281111R00</t>
  </si>
  <si>
    <t>Přesun hmot pro opravy a údržbu do výšky 25 m</t>
  </si>
  <si>
    <t>H99_</t>
  </si>
  <si>
    <t>S</t>
  </si>
  <si>
    <t>Přesuny sutí</t>
  </si>
  <si>
    <t>36</t>
  </si>
  <si>
    <t>979082111R00</t>
  </si>
  <si>
    <t>Vnitrostaveništní doprava suti do 10 m</t>
  </si>
  <si>
    <t>S_</t>
  </si>
  <si>
    <t>2,32+1,0</t>
  </si>
  <si>
    <t>37</t>
  </si>
  <si>
    <t>979082318R00</t>
  </si>
  <si>
    <t>Vodorovná doprava suti a hmot po suchu do 6000 m</t>
  </si>
  <si>
    <t>3,32</t>
  </si>
  <si>
    <t>38</t>
  </si>
  <si>
    <t>979086112R00</t>
  </si>
  <si>
    <t>Nakládání nebo překládání suti a vybouraných hmot</t>
  </si>
  <si>
    <t>39</t>
  </si>
  <si>
    <t>979990162R00</t>
  </si>
  <si>
    <t>Poplatek za uložení suti - dřevo+sklo, skupina odpadu 170904</t>
  </si>
  <si>
    <t>2,32</t>
  </si>
  <si>
    <t>40</t>
  </si>
  <si>
    <t>979999997R00</t>
  </si>
  <si>
    <t>Poplatek za recyklaci směsi suti betonu, cihel, tašek a keram.výrobků, kusovost do 1600 cm2 (170107)</t>
  </si>
  <si>
    <t>1,0</t>
  </si>
  <si>
    <t>Krycí list slepého rozpočtu (01B - VÝMĚNA OTVOROVÝCH VÝPLNÍ 2.NP)</t>
  </si>
  <si>
    <t>Vedlejší a ostatní rozpočtové náklady (01B - VÝMĚNA OTVOROVÝCH VÝPLNÍ 2.NP)</t>
  </si>
  <si>
    <t>Slepý stavební rozpočet (01B - VÝMĚNA OTVOROVÝCH VÝPLNÍ 2.NP)</t>
  </si>
  <si>
    <t>01B</t>
  </si>
  <si>
    <t>VÝMĚNA OTVOROVÝCH VÝPLNÍ 2.NP</t>
  </si>
  <si>
    <t>01B_6_</t>
  </si>
  <si>
    <t>01B_</t>
  </si>
  <si>
    <t>0,2*(1,5*3*4+1,2*12+1,5*24+1,8*2+1,5*4+1,0*6+2,4*12+1,0*3+2,4*6)</t>
  </si>
  <si>
    <t>1,5*1,5*4+1,2*1,5*12+1,8*1,5*2+1,0*2,4*9</t>
  </si>
  <si>
    <t>1,5*3*4+1,2*12+1,5*24+1,8*2+1,5*4+1,0*6+2,4*12+1,0*3+2,4*6</t>
  </si>
  <si>
    <t>63</t>
  </si>
  <si>
    <t>Podlahy a podlahové konstrukce</t>
  </si>
  <si>
    <t>631416211R00</t>
  </si>
  <si>
    <t>Mazanina betonová, tloušťka 5 - 8 cm</t>
  </si>
  <si>
    <t>m3</t>
  </si>
  <si>
    <t>63_</t>
  </si>
  <si>
    <t>0,05*(4,9*3+3,8*2)</t>
  </si>
  <si>
    <t>631664111R00</t>
  </si>
  <si>
    <t>Oprava beton. podlah cement. hmotou tl. do 10 mm</t>
  </si>
  <si>
    <t>22,3</t>
  </si>
  <si>
    <t>631351101R00</t>
  </si>
  <si>
    <t>Bednění stěn, rýh a otvorů v podlahách - zřízení</t>
  </si>
  <si>
    <t>0,3*(3,9*3+3,5*2)</t>
  </si>
  <si>
    <t>631351102R00</t>
  </si>
  <si>
    <t>Bednění stěn, rýh a otvorů v podlahách -odstranění</t>
  </si>
  <si>
    <t>5,61</t>
  </si>
  <si>
    <t>1,55*4+1,25*12+1,85*2</t>
  </si>
  <si>
    <t>711</t>
  </si>
  <si>
    <t>Izolace proti vodě</t>
  </si>
  <si>
    <t>711140102R00</t>
  </si>
  <si>
    <t>Odstranění izolace proti vlhkosti na ploše vodorovné, asfaltové pásy přitavením, 2 vrstvy</t>
  </si>
  <si>
    <t>711_</t>
  </si>
  <si>
    <t>01B_71_</t>
  </si>
  <si>
    <t>4,9*3+3,8*2</t>
  </si>
  <si>
    <t>711404111R00</t>
  </si>
  <si>
    <t>Stěrková izolace</t>
  </si>
  <si>
    <t>22,3+0,15*(1,2*10+0,6*3)</t>
  </si>
  <si>
    <t>711404122R00</t>
  </si>
  <si>
    <t>Páska  šířky 100 mm</t>
  </si>
  <si>
    <t>1,2*10+0,65*3+4,0*3+3,6*2</t>
  </si>
  <si>
    <t>01B_76_</t>
  </si>
  <si>
    <t>24,9</t>
  </si>
  <si>
    <t>764816420R00</t>
  </si>
  <si>
    <t>Okapnice z lakovaného Pz plechu, rš 200 mm</t>
  </si>
  <si>
    <t>4,0*3+3,7*2</t>
  </si>
  <si>
    <t>;O2; 1,5*1,5*4</t>
  </si>
  <si>
    <t>;O9; 1,8*1,5*2</t>
  </si>
  <si>
    <t>;O6; 1,2*1,5*12</t>
  </si>
  <si>
    <t>;14; 1,0*2,4*6</t>
  </si>
  <si>
    <t>;15; 1,0*2,4*3</t>
  </si>
  <si>
    <t>130,2</t>
  </si>
  <si>
    <t>777</t>
  </si>
  <si>
    <t>Podlahy ze syntetických hmot</t>
  </si>
  <si>
    <t>777511113R00</t>
  </si>
  <si>
    <t>Podlahová stěrka ext.syst.</t>
  </si>
  <si>
    <t>777_</t>
  </si>
  <si>
    <t>01B_77_</t>
  </si>
  <si>
    <t>24,4</t>
  </si>
  <si>
    <t>01B_78_</t>
  </si>
  <si>
    <t>;17; 3,14*0,7*0,7*4</t>
  </si>
  <si>
    <t>0,35*25,0</t>
  </si>
  <si>
    <t>783920010RAC</t>
  </si>
  <si>
    <t>Nátěr ZÁBRADLÍ syntetický</t>
  </si>
  <si>
    <t>nátěr základní a dvojnásobný krycí</t>
  </si>
  <si>
    <t>1,1*3,6*2+1,1*4,0*2+1,5*1,5*6</t>
  </si>
  <si>
    <t>783900090RAC</t>
  </si>
  <si>
    <t>Ostatní práce pro nátěry</t>
  </si>
  <si>
    <t>odrezivění kovových konstrukcí</t>
  </si>
  <si>
    <t>783900090RAB</t>
  </si>
  <si>
    <t>odmaštění konstrukcí a výrobků</t>
  </si>
  <si>
    <t>4,2*5,3*6+3,6*3,5*2+3,6*4,5*2+3,6*6,9+1,8*(9,6+7,0+6,0)</t>
  </si>
  <si>
    <t>26,1</t>
  </si>
  <si>
    <t>(4,2*5,3*6+3,6*3,5*2+3,6*4,5*2+3,6*6,9+1,8*(9,6+7,0+6,0))*2</t>
  </si>
  <si>
    <t>Žaluzie horizontální vnitřní AL lamely</t>
  </si>
  <si>
    <t>1,2*1,5*12</t>
  </si>
  <si>
    <t>01B_9_</t>
  </si>
  <si>
    <t xml:space="preserve">stavební dělník v tarifní třídě 6
- DEMONTÁŽ STÁVAJÍCÍCH DĚLÍCÍCH PŘÍČEK NA BALKONECH, PO PROVEDENÍ 
STAVEBNÍCH ÚPRAV BALKONU (NOVÉ PODLAHY BALKONU A VYSPRAVENÍ PODHLEDU STROPNÍ KONSTRUKCE)
- DĚLÍCÍ PŘÍČKA BUDE DLE POTŘEBY OPRAVENA, OSAZENA DO PŮVODNÍ POLOHY VČETNĚ NOVÉHO NAKOTVENÍ (DLE POTŘEBY)
</t>
  </si>
  <si>
    <t>900      R02</t>
  </si>
  <si>
    <t>stavební dělník v tarifní třídě 5
BALKONOVÉ DVEŘE -  POTŘEBNÁ ÚPRAVA V MÍSTĚ PRAHU Z VNĚJŠÍ I
VNITŘNÍ STRANY</t>
  </si>
  <si>
    <t>3,0*(4+12+2+6+3+2)</t>
  </si>
  <si>
    <t>949942101R00</t>
  </si>
  <si>
    <t>Nájem za hydraulickou zvedací plošinu, H do 27 m</t>
  </si>
  <si>
    <t>41</t>
  </si>
  <si>
    <t>42</t>
  </si>
  <si>
    <t>43</t>
  </si>
  <si>
    <t>8+12+6+12+6</t>
  </si>
  <si>
    <t>44</t>
  </si>
  <si>
    <t>1,0*2,4*9+1,8*1,5*2+1,2*1,5*12+1,5*1,5*4</t>
  </si>
  <si>
    <t>45</t>
  </si>
  <si>
    <t>965042131R00</t>
  </si>
  <si>
    <t>Bourání mazanin betonových  tl. 10 cm, pl. 4 m2</t>
  </si>
  <si>
    <t>46</t>
  </si>
  <si>
    <t>965043331R00</t>
  </si>
  <si>
    <t>Bourání podkladů bet., potěr tl. 10 cm, pl. 4 m2</t>
  </si>
  <si>
    <t>0,04*(4,9*3+3,8*2)</t>
  </si>
  <si>
    <t>47</t>
  </si>
  <si>
    <t>965048515R00</t>
  </si>
  <si>
    <t>Broušení betonových povrchů do tl. 5 mm</t>
  </si>
  <si>
    <t>3,8*2+4,9*3</t>
  </si>
  <si>
    <t>48</t>
  </si>
  <si>
    <t>965081723R00</t>
  </si>
  <si>
    <t>Bourání dlažeb kamenin. tl. do 25 mm, pl.nad 1 m2</t>
  </si>
  <si>
    <t>0,1*(1,0*6+1,0*4)</t>
  </si>
  <si>
    <t>49</t>
  </si>
  <si>
    <t>26,04</t>
  </si>
  <si>
    <t>50</t>
  </si>
  <si>
    <t>51</t>
  </si>
  <si>
    <t>979011211R00</t>
  </si>
  <si>
    <t>Svislá doprava suti a vybour. hmot za 2.NP nošením</t>
  </si>
  <si>
    <t>0,22+7,88+1,2</t>
  </si>
  <si>
    <t>52</t>
  </si>
  <si>
    <t>53</t>
  </si>
  <si>
    <t>9,3</t>
  </si>
  <si>
    <t>54</t>
  </si>
  <si>
    <t>55</t>
  </si>
  <si>
    <t>1,85+0,3</t>
  </si>
  <si>
    <t>56</t>
  </si>
  <si>
    <t>7,88+1,2-1,85-0,3</t>
  </si>
  <si>
    <t>57</t>
  </si>
  <si>
    <t>979990121R00</t>
  </si>
  <si>
    <t>Poplatek za uložení suti - asfaltové pásy, skupina odpadu 170302</t>
  </si>
  <si>
    <t>0,22</t>
  </si>
  <si>
    <t>Krycí list slepého rozpočtu (01C - VÝMĚNA OTVOROVÝCH VÝPLNÍ 3.NP)</t>
  </si>
  <si>
    <t>Vedlejší a ostatní rozpočtové náklady (01C - VÝMĚNA OTVOROVÝCH VÝPLNÍ 3.NP)</t>
  </si>
  <si>
    <t>Slepý stavební rozpočet (01C - VÝMĚNA OTVOROVÝCH VÝPLNÍ 3.NP)</t>
  </si>
  <si>
    <t>01C</t>
  </si>
  <si>
    <t>VÝMĚNA OTVOROVÝCH VÝPLNÍ 3.NP</t>
  </si>
  <si>
    <t>01C_6_</t>
  </si>
  <si>
    <t>01C_</t>
  </si>
  <si>
    <t>01C_71_</t>
  </si>
  <si>
    <t>01C_76_</t>
  </si>
  <si>
    <t>24,9+8</t>
  </si>
  <si>
    <t>01C_77_</t>
  </si>
  <si>
    <t>01C_78_</t>
  </si>
  <si>
    <t>01C_9_</t>
  </si>
  <si>
    <t>stavební dělník v tarifní třídě 6
- DEMONTÁŽ STÁVAJÍCÍCH DĚLÍCÍCH PŘÍČEK NA BALKONECH, PO PROVEDENÍ 
STAVEBNÍCH ÚPRAV BALKONU (NOVÉ PODLAHY BALKONU</t>
  </si>
  <si>
    <t>979011219R00</t>
  </si>
  <si>
    <t>Přípl.k svislé dopr.suti za každé další NP nošením</t>
  </si>
  <si>
    <t>58</t>
  </si>
  <si>
    <t>Krycí list slepého rozpočtu (01D - VÝMĚNA OTVOROVÝCH VÝPLNÍ 4.NP)</t>
  </si>
  <si>
    <t>Vedlejší a ostatní rozpočtové náklady (01D - VÝMĚNA OTVOROVÝCH VÝPLNÍ 4.NP)</t>
  </si>
  <si>
    <t>Slepý stavební rozpočet (01D - VÝMĚNA OTVOROVÝCH VÝPLNÍ 4.NP)</t>
  </si>
  <si>
    <t>01D</t>
  </si>
  <si>
    <t>VÝMĚNA OTVOROVÝCH VÝPLNÍ 4.NP</t>
  </si>
  <si>
    <t>01D_6_</t>
  </si>
  <si>
    <t>01D_</t>
  </si>
  <si>
    <t>0,2*(1,5*3*4+1,2*12+1,5*24+1,8*2+1,5*4+1,0*6+2,4*12+1,0*4+2,4*8)</t>
  </si>
  <si>
    <t>1,5*1,5*4+1,2*1,5*12+1,8*1,5*2+1,0*2,4*10</t>
  </si>
  <si>
    <t>1,5*3*4+1,2*12+1,5*24+1,8*2+1,5*4+1,0*6+2,4*12+1,0*4+2,4*8</t>
  </si>
  <si>
    <t>01D_71_</t>
  </si>
  <si>
    <t>01D_76_</t>
  </si>
  <si>
    <t>;15; 1,0*2,4*4</t>
  </si>
  <si>
    <t>136</t>
  </si>
  <si>
    <t>24,9+10</t>
  </si>
  <si>
    <t>01D_77_</t>
  </si>
  <si>
    <t>01D_78_</t>
  </si>
  <si>
    <t>27,2</t>
  </si>
  <si>
    <t>01D_9_</t>
  </si>
  <si>
    <t>8+12+6+12+6+2</t>
  </si>
  <si>
    <t>1,0*2,4*10+1,8*1,5*2+1,2*1,5*12+1,5*1,5*4</t>
  </si>
  <si>
    <t>0,22+7,96+1,2</t>
  </si>
  <si>
    <t>9,38</t>
  </si>
  <si>
    <t>9,38*3</t>
  </si>
  <si>
    <t>1,92+0,3</t>
  </si>
  <si>
    <t>7,88+1,2-1,96-0,3</t>
  </si>
  <si>
    <t>Krycí list slepého rozpočtu (01E - VÝMĚNA OTVOROVÝCH VÝPLNÍ 5.NP)</t>
  </si>
  <si>
    <t>Vedlejší a ostatní rozpočtové náklady (01E - VÝMĚNA OTVOROVÝCH VÝPLNÍ 5.NP)</t>
  </si>
  <si>
    <t>Slepý stavební rozpočet (01E - VÝMĚNA OTVOROVÝCH VÝPLNÍ 5.NP)</t>
  </si>
  <si>
    <t>01E</t>
  </si>
  <si>
    <t>VÝMĚNA OTVOROVÝCH VÝPLNÍ 5.NP</t>
  </si>
  <si>
    <t>01E_6_</t>
  </si>
  <si>
    <t>01E_</t>
  </si>
  <si>
    <t>01E_71_</t>
  </si>
  <si>
    <t>01E_76_</t>
  </si>
  <si>
    <t>1,85*2+1,25*12+1,55*4</t>
  </si>
  <si>
    <t>01E_77_</t>
  </si>
  <si>
    <t>01E_78_</t>
  </si>
  <si>
    <t>01E_9_</t>
  </si>
  <si>
    <t>9,38*4</t>
  </si>
  <si>
    <t>Slepý stavební rozpočet</t>
  </si>
  <si>
    <t>VÝMĚNA OKEN A OPRAVA BALKONŮ - BYTOVÝ DŮM J.E. PURKYNĚ 1150, LITOMYŠL</t>
  </si>
  <si>
    <t> </t>
  </si>
  <si>
    <t>25.01.2025</t>
  </si>
  <si>
    <t>LITOMYŠL</t>
  </si>
  <si>
    <t>MARTIN ČERNÝ, DIS.</t>
  </si>
  <si>
    <t>59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</si>
  <si>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</si>
  <si>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</si>
  <si>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</si>
  <si>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</si>
  <si>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</si>
  <si>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</si>
  <si>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</si>
  <si>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</si>
  <si>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</si>
  <si>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</si>
  <si>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</si>
  <si>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</si>
  <si>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</si>
  <si>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</si>
  <si>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</si>
  <si>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</si>
  <si>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</si>
  <si>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</si>
  <si>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</si>
  <si>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</si>
  <si>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</si>
  <si>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</si>
  <si>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</si>
  <si>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</si>
  <si>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</si>
  <si>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91</t>
  </si>
  <si>
    <t>92</t>
  </si>
  <si>
    <t>93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</si>
  <si>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</si>
  <si>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</si>
  <si>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</si>
  <si>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</si>
  <si>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</si>
  <si>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</si>
  <si>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</si>
  <si>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</si>
  <si>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</si>
  <si>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</si>
  <si>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</si>
  <si>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</si>
  <si>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</si>
  <si>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</si>
  <si>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</si>
  <si>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</si>
  <si>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</si>
  <si>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</si>
  <si>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</si>
  <si>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</si>
  <si>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</si>
  <si>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</si>
  <si>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</si>
  <si>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</si>
  <si>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</si>
  <si>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</si>
  <si>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</si>
  <si>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</si>
  <si>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</si>
  <si>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</si>
  <si>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</si>
  <si>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</si>
  <si>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</si>
  <si>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</si>
  <si>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</si>
  <si>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</si>
  <si>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</si>
  <si>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</si>
  <si>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</si>
  <si>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</si>
  <si>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</si>
  <si>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</si>
  <si>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</si>
  <si>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</si>
  <si>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</si>
  <si>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</si>
  <si>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</si>
  <si>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</si>
  <si>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</si>
  <si>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</si>
  <si>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</si>
  <si>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</si>
  <si>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</si>
  <si>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</si>
  <si>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</si>
  <si>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</si>
  <si>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</si>
  <si>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</si>
  <si>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</si>
  <si>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</si>
  <si>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</si>
  <si>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</si>
  <si>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</si>
  <si>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</si>
  <si>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</si>
  <si>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</si>
  <si>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</si>
  <si>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</si>
  <si>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</si>
  <si>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</si>
  <si>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</si>
  <si>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</si>
  <si>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</si>
  <si>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</si>
  <si>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</si>
  <si>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</si>
  <si>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</si>
  <si>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</si>
  <si>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</si>
  <si>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</si>
  <si>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</si>
  <si>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</si>
  <si>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</si>
  <si>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</si>
  <si>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</si>
  <si>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</si>
  <si>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</si>
  <si>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</si>
  <si>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</si>
  <si>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</si>
  <si>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</si>
  <si>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</si>
  <si>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</si>
  <si>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</si>
  <si>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</si>
  <si>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</si>
  <si>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</si>
  <si>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</si>
  <si>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</si>
  <si>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</si>
  <si>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</si>
  <si>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</si>
  <si>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</si>
  <si>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</si>
  <si>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</si>
  <si>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</si>
  <si>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</si>
  <si>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</si>
  <si>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</si>
  <si>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</si>
  <si>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</si>
  <si>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</si>
  <si>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</si>
  <si>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</si>
  <si>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</si>
  <si>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</si>
  <si>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</si>
  <si>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</si>
  <si>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</si>
  <si>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</si>
  <si>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</si>
  <si>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</si>
  <si>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</si>
  <si>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</si>
  <si>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</si>
  <si>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</si>
  <si>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</si>
  <si>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</si>
  <si>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</si>
  <si>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</si>
  <si>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</si>
  <si>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</si>
  <si>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</si>
  <si>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</si>
  <si>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</si>
  <si>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</si>
  <si>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</si>
  <si>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</si>
  <si>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</si>
  <si>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</si>
  <si>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</si>
  <si>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</si>
  <si>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</si>
  <si>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</si>
  <si>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</si>
  <si>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</si>
  <si>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</si>
  <si>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</si>
  <si>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</si>
  <si>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</si>
  <si>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</si>
  <si>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</si>
  <si>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</si>
  <si>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</si>
  <si>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</si>
  <si>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</si>
  <si>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</si>
  <si>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</si>
  <si>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</si>
  <si>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</si>
  <si>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</si>
  <si>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</si>
  <si>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</si>
  <si>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</si>
  <si>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</si>
  <si>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</si>
  <si>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</si>
  <si>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</si>
  <si>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</si>
  <si>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</si>
  <si>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</si>
  <si>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</si>
  <si>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</si>
  <si>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Položka je určena pro vyčištění budov bytové nebo občanské výstavby - zametení a umytí podlah, dlažeb, obkladů, schodů v místnostech, chodbách a schodištích, vyčištění a umytí oken, dveří s rámy, zárubněmi, omytí zaprášených  povrchů nábytku, osvětlení, obrazů, dveří, topení, čištění provozem stavby znečištěných koberců, sedaček, čalounění, umytí a vyčistění jiných zasklených a natíraných ploch a zařizovacích předmětů před předáním do užívání.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</si>
</sst>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38"/>
    </font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8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1" fontId="3" fillId="0" borderId="5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4" fontId="9" fillId="0" borderId="8" xfId="0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right" vertical="center"/>
    </xf>
    <xf numFmtId="4" fontId="9" fillId="0" borderId="5" xfId="0" applyNumberFormat="1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4" fontId="9" fillId="0" borderId="10" xfId="0" applyNumberFormat="1" applyFont="1" applyBorder="1" applyAlignment="1" applyProtection="1">
      <alignment horizontal="right" vertical="center"/>
    </xf>
    <xf numFmtId="4" fontId="8" fillId="2" borderId="10" xfId="0" applyNumberFormat="1" applyFont="1" applyFill="1" applyBorder="1" applyAlignment="1" applyProtection="1">
      <alignment horizontal="right" vertical="center"/>
    </xf>
    <xf numFmtId="4" fontId="8" fillId="2" borderId="8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/>
    </xf>
    <xf numFmtId="4" fontId="3" fillId="0" borderId="5" xfId="0" applyNumberFormat="1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right" vertical="center"/>
    </xf>
    <xf numFmtId="4" fontId="4" fillId="0" borderId="24" xfId="0" applyNumberFormat="1" applyFont="1" applyBorder="1" applyAlignment="1" applyProtection="1">
      <alignment horizontal="right" vertical="center"/>
    </xf>
    <xf numFmtId="4" fontId="4" fillId="2" borderId="0" xfId="0" applyNumberFormat="1" applyFont="1" applyFill="1" applyBorder="1" applyAlignment="1" applyProtection="1">
      <alignment horizontal="righ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0" borderId="3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/>
    <xf numFmtId="0" fontId="11" fillId="0" borderId="0" xfId="0" applyFont="1" applyBorder="1" applyAlignment="1" applyProtection="1">
      <alignment horizontal="left" vertical="center"/>
    </xf>
    <xf numFmtId="4" fontId="11" fillId="0" borderId="0" xfId="0" applyNumberFormat="1" applyFont="1" applyBorder="1" applyAlignment="1" applyProtection="1">
      <alignment horizontal="right" vertic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/>
    <xf numFmtId="0" fontId="11" fillId="0" borderId="7" xfId="0" applyFont="1" applyBorder="1" applyAlignment="1" applyProtection="1">
      <alignment horizontal="left" vertical="center"/>
    </xf>
    <xf numFmtId="4" fontId="11" fillId="0" borderId="7" xfId="0" applyNumberFormat="1" applyFont="1" applyBorder="1" applyAlignment="1" applyProtection="1">
      <alignment horizontal="right" vertical="center"/>
    </xf>
    <xf numFmtId="0" fontId="1" fillId="0" borderId="8" xfId="0" applyFont="1" applyBorder="1" applyAlignment="1" applyProtection="1"/>
    <xf numFmtId="4" fontId="4" fillId="0" borderId="0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8" fillId="2" borderId="13" xfId="0" applyFont="1" applyFill="1" applyBorder="1" applyAlignment="1" applyProtection="1">
      <alignment horizontal="left" vertical="center"/>
    </xf>
    <xf numFmtId="0" fontId="8" fillId="2" borderId="6" xfId="0" applyFont="1" applyFill="1" applyBorder="1" applyAlignment="1" applyProtection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9" fillId="0" borderId="15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4" fontId="8" fillId="0" borderId="24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21960</xdr:colOff>
      <xdr:row>0</xdr:row>
      <xdr:rowOff>666360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6360" cy="66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21960</xdr:colOff>
      <xdr:row>0</xdr:row>
      <xdr:rowOff>666360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6360" cy="66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21960</xdr:colOff>
      <xdr:row>0</xdr:row>
      <xdr:rowOff>666360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6360" cy="66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21960</xdr:colOff>
      <xdr:row>0</xdr:row>
      <xdr:rowOff>666360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6360" cy="66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21960</xdr:colOff>
      <xdr:row>0</xdr:row>
      <xdr:rowOff>666360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6360" cy="66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444600</xdr:colOff>
      <xdr:row>0</xdr:row>
      <xdr:rowOff>666360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6360" cy="66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zoomScaleNormal="100" workbookViewId="0">
      <selection activeCell="C8" sqref="C8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7.140625" style="15" customWidth="1"/>
    <col min="4" max="4" width="10" style="15" customWidth="1"/>
    <col min="5" max="5" width="14" style="15" customWidth="1"/>
    <col min="6" max="6" width="27.140625" style="15" customWidth="1"/>
    <col min="7" max="7" width="9.140625" style="15" customWidth="1"/>
    <col min="8" max="8" width="12.85546875" style="15" customWidth="1"/>
    <col min="9" max="9" width="27.140625" style="15" customWidth="1"/>
  </cols>
  <sheetData>
    <row r="1" spans="1:9" ht="54.7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/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40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2" spans="1:9" ht="23.25" x14ac:dyDescent="0.2">
      <c r="A12" s="72" t="s">
        <v>14</v>
      </c>
      <c r="B12" s="72"/>
      <c r="C12" s="72"/>
      <c r="D12" s="72"/>
      <c r="E12" s="72"/>
      <c r="F12" s="72"/>
      <c r="G12" s="72"/>
      <c r="H12" s="72"/>
      <c r="I12" s="72"/>
    </row>
    <row r="13" spans="1:9" ht="26.25" customHeight="1" x14ac:dyDescent="0.2">
      <c r="A13" s="19" t="s">
        <v>15</v>
      </c>
      <c r="B13" s="73" t="s">
        <v>16</v>
      </c>
      <c r="C13" s="73"/>
      <c r="D13" s="20" t="s">
        <v>17</v>
      </c>
      <c r="E13" s="73" t="s">
        <v>18</v>
      </c>
      <c r="F13" s="73"/>
      <c r="G13" s="20" t="s">
        <v>19</v>
      </c>
      <c r="H13" s="73" t="s">
        <v>20</v>
      </c>
      <c r="I13" s="73"/>
    </row>
    <row r="14" spans="1:9" ht="15.75" x14ac:dyDescent="0.2">
      <c r="A14" s="21" t="s">
        <v>21</v>
      </c>
      <c r="B14" s="22" t="s">
        <v>22</v>
      </c>
      <c r="C14" s="23">
        <f>SUM('Stavební rozpočet (01A)'!AB12:AB669)</f>
        <v>0</v>
      </c>
      <c r="D14" s="74" t="s">
        <v>23</v>
      </c>
      <c r="E14" s="74"/>
      <c r="F14" s="23">
        <f>'VORN objektu (01A)'!I15</f>
        <v>0</v>
      </c>
      <c r="G14" s="74" t="s">
        <v>24</v>
      </c>
      <c r="H14" s="74"/>
      <c r="I14" s="23">
        <f>'VORN objektu (01A)'!I21</f>
        <v>0</v>
      </c>
    </row>
    <row r="15" spans="1:9" ht="15.75" x14ac:dyDescent="0.2">
      <c r="A15" s="24"/>
      <c r="B15" s="22" t="s">
        <v>25</v>
      </c>
      <c r="C15" s="23">
        <f>SUM('Stavební rozpočet (01A)'!AC12:AC669)</f>
        <v>0</v>
      </c>
      <c r="D15" s="74" t="s">
        <v>26</v>
      </c>
      <c r="E15" s="74"/>
      <c r="F15" s="23">
        <f>'VORN objektu (01A)'!I16</f>
        <v>0</v>
      </c>
      <c r="G15" s="74" t="s">
        <v>27</v>
      </c>
      <c r="H15" s="74"/>
      <c r="I15" s="23">
        <f>'VORN objektu (01A)'!I22</f>
        <v>0</v>
      </c>
    </row>
    <row r="16" spans="1:9" ht="15.75" x14ac:dyDescent="0.2">
      <c r="A16" s="21" t="s">
        <v>28</v>
      </c>
      <c r="B16" s="22" t="s">
        <v>22</v>
      </c>
      <c r="C16" s="23">
        <f>SUM('Stavební rozpočet (01A)'!AD12:AD669)</f>
        <v>0</v>
      </c>
      <c r="D16" s="74" t="s">
        <v>29</v>
      </c>
      <c r="E16" s="74"/>
      <c r="F16" s="23">
        <f>'VORN objektu (01A)'!I17</f>
        <v>0</v>
      </c>
      <c r="G16" s="74" t="s">
        <v>30</v>
      </c>
      <c r="H16" s="74"/>
      <c r="I16" s="23">
        <f>'VORN objektu (01A)'!I23</f>
        <v>0</v>
      </c>
    </row>
    <row r="17" spans="1:9" ht="15.75" x14ac:dyDescent="0.2">
      <c r="A17" s="24"/>
      <c r="B17" s="22" t="s">
        <v>25</v>
      </c>
      <c r="C17" s="23">
        <f>SUM('Stavební rozpočet (01A)'!AE12:AE669)</f>
        <v>0</v>
      </c>
      <c r="D17" s="74"/>
      <c r="E17" s="74"/>
      <c r="F17" s="25"/>
      <c r="G17" s="74" t="s">
        <v>31</v>
      </c>
      <c r="H17" s="74"/>
      <c r="I17" s="23">
        <f>'VORN objektu (01A)'!I24</f>
        <v>0</v>
      </c>
    </row>
    <row r="18" spans="1:9" ht="15.75" x14ac:dyDescent="0.2">
      <c r="A18" s="21" t="s">
        <v>32</v>
      </c>
      <c r="B18" s="22" t="s">
        <v>22</v>
      </c>
      <c r="C18" s="23">
        <f>SUM('Stavební rozpočet (01A)'!AF12:AF669)</f>
        <v>0</v>
      </c>
      <c r="D18" s="74"/>
      <c r="E18" s="74"/>
      <c r="F18" s="25"/>
      <c r="G18" s="74" t="s">
        <v>33</v>
      </c>
      <c r="H18" s="74"/>
      <c r="I18" s="23">
        <f>'VORN objektu (01A)'!I25</f>
        <v>0</v>
      </c>
    </row>
    <row r="19" spans="1:9" ht="15.75" x14ac:dyDescent="0.2">
      <c r="A19" s="24"/>
      <c r="B19" s="22" t="s">
        <v>25</v>
      </c>
      <c r="C19" s="23">
        <f>SUM('Stavební rozpočet (01A)'!AG12:AG669)</f>
        <v>0</v>
      </c>
      <c r="D19" s="74"/>
      <c r="E19" s="74"/>
      <c r="F19" s="25"/>
      <c r="G19" s="74" t="s">
        <v>34</v>
      </c>
      <c r="H19" s="74"/>
      <c r="I19" s="23">
        <f>'VORN objektu (01A)'!I26</f>
        <v>0</v>
      </c>
    </row>
    <row r="20" spans="1:9" ht="15.75" x14ac:dyDescent="0.2">
      <c r="A20" s="75" t="s">
        <v>35</v>
      </c>
      <c r="B20" s="75"/>
      <c r="C20" s="23">
        <f>SUM('Stavební rozpočet (01A)'!AH12:AH669)</f>
        <v>0</v>
      </c>
      <c r="D20" s="74"/>
      <c r="E20" s="74"/>
      <c r="F20" s="25"/>
      <c r="G20" s="74"/>
      <c r="H20" s="74"/>
      <c r="I20" s="25"/>
    </row>
    <row r="21" spans="1:9" ht="15.75" x14ac:dyDescent="0.2">
      <c r="A21" s="76" t="s">
        <v>36</v>
      </c>
      <c r="B21" s="76"/>
      <c r="C21" s="26">
        <f>SUM('Stavební rozpočet (01A)'!Z12:Z669)</f>
        <v>0</v>
      </c>
      <c r="D21" s="77"/>
      <c r="E21" s="77"/>
      <c r="F21" s="27"/>
      <c r="G21" s="77"/>
      <c r="H21" s="77"/>
      <c r="I21" s="27"/>
    </row>
    <row r="22" spans="1:9" ht="16.5" customHeight="1" x14ac:dyDescent="0.2">
      <c r="A22" s="78" t="s">
        <v>37</v>
      </c>
      <c r="B22" s="78"/>
      <c r="C22" s="28">
        <f>ROUND(SUM(C14:C21),0)</f>
        <v>0</v>
      </c>
      <c r="D22" s="79" t="s">
        <v>38</v>
      </c>
      <c r="E22" s="79"/>
      <c r="F22" s="28">
        <f>SUM(F14:F21)</f>
        <v>0</v>
      </c>
      <c r="G22" s="79" t="s">
        <v>39</v>
      </c>
      <c r="H22" s="79"/>
      <c r="I22" s="28">
        <f>SUM(I14:I21)</f>
        <v>0</v>
      </c>
    </row>
    <row r="23" spans="1:9" ht="15.75" x14ac:dyDescent="0.25">
      <c r="G23" s="75" t="s">
        <v>40</v>
      </c>
      <c r="H23" s="75"/>
      <c r="I23" s="23">
        <f>'VORN objektu (01A)'!I45</f>
        <v>0</v>
      </c>
    </row>
    <row r="25" spans="1:9" ht="15.75" x14ac:dyDescent="0.25">
      <c r="A25" s="80" t="s">
        <v>41</v>
      </c>
      <c r="B25" s="80"/>
      <c r="C25" s="29">
        <f>ROUND(SUM('Stavební rozpočet (01A)'!AJ12:AJ669),0)</f>
        <v>0</v>
      </c>
    </row>
    <row r="26" spans="1:9" ht="15.75" x14ac:dyDescent="0.2">
      <c r="A26" s="81" t="s">
        <v>42</v>
      </c>
      <c r="B26" s="81"/>
      <c r="C26" s="30">
        <f>ROUND(SUM('Stavební rozpočet (01A)'!AK12:AK669),0)</f>
        <v>0</v>
      </c>
      <c r="D26" s="82" t="s">
        <v>43</v>
      </c>
      <c r="E26" s="82"/>
      <c r="F26" s="29">
        <f>ROUND(C26*(12/100),2)</f>
        <v>0</v>
      </c>
      <c r="G26" s="82" t="s">
        <v>44</v>
      </c>
      <c r="H26" s="82"/>
      <c r="I26" s="29">
        <f>ROUND(SUM(C25:C27),0)</f>
        <v>0</v>
      </c>
    </row>
    <row r="27" spans="1:9" ht="15.75" x14ac:dyDescent="0.2">
      <c r="A27" s="81" t="s">
        <v>45</v>
      </c>
      <c r="B27" s="81"/>
      <c r="C27" s="30">
        <f>ROUND(SUM('Stavební rozpočet (01A)'!AL12:AL669),0)</f>
        <v>0</v>
      </c>
      <c r="D27" s="83" t="s">
        <v>46</v>
      </c>
      <c r="E27" s="83"/>
      <c r="F27" s="30">
        <f>ROUND(C27*(21/100),2)</f>
        <v>0</v>
      </c>
      <c r="G27" s="83" t="s">
        <v>47</v>
      </c>
      <c r="H27" s="83"/>
      <c r="I27" s="30">
        <f>ROUND(SUM(F26:F27)+I26,0)</f>
        <v>0</v>
      </c>
    </row>
    <row r="29" spans="1:9" x14ac:dyDescent="0.2">
      <c r="A29" s="84" t="s">
        <v>48</v>
      </c>
      <c r="B29" s="84"/>
      <c r="C29" s="84"/>
      <c r="D29" s="85" t="s">
        <v>49</v>
      </c>
      <c r="E29" s="85"/>
      <c r="F29" s="85"/>
      <c r="G29" s="85" t="s">
        <v>50</v>
      </c>
      <c r="H29" s="85"/>
      <c r="I29" s="85"/>
    </row>
    <row r="30" spans="1:9" x14ac:dyDescent="0.2">
      <c r="A30" s="86"/>
      <c r="B30" s="86"/>
      <c r="C30" s="86"/>
      <c r="D30" s="87"/>
      <c r="E30" s="87"/>
      <c r="F30" s="87"/>
      <c r="G30" s="87"/>
      <c r="H30" s="87"/>
      <c r="I30" s="87"/>
    </row>
    <row r="31" spans="1:9" x14ac:dyDescent="0.2">
      <c r="A31" s="86"/>
      <c r="B31" s="86"/>
      <c r="C31" s="86"/>
      <c r="D31" s="87"/>
      <c r="E31" s="87"/>
      <c r="F31" s="87"/>
      <c r="G31" s="87"/>
      <c r="H31" s="87"/>
      <c r="I31" s="87"/>
    </row>
    <row r="32" spans="1:9" x14ac:dyDescent="0.2">
      <c r="A32" s="86"/>
      <c r="B32" s="86"/>
      <c r="C32" s="86"/>
      <c r="D32" s="87"/>
      <c r="E32" s="87"/>
      <c r="F32" s="87"/>
      <c r="G32" s="87"/>
      <c r="H32" s="87"/>
      <c r="I32" s="87"/>
    </row>
    <row r="33" spans="1:9" x14ac:dyDescent="0.2">
      <c r="A33" s="88" t="s">
        <v>51</v>
      </c>
      <c r="B33" s="88"/>
      <c r="C33" s="88"/>
      <c r="D33" s="89" t="s">
        <v>51</v>
      </c>
      <c r="E33" s="89"/>
      <c r="F33" s="89"/>
      <c r="G33" s="89" t="s">
        <v>51</v>
      </c>
      <c r="H33" s="89"/>
      <c r="I33" s="89"/>
    </row>
    <row r="34" spans="1:9" x14ac:dyDescent="0.25">
      <c r="A34" s="31" t="s">
        <v>52</v>
      </c>
    </row>
    <row r="35" spans="1:9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</row>
  </sheetData>
  <mergeCells count="80">
    <mergeCell ref="A35:I35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D31:F31"/>
    <mergeCell ref="G31:I31"/>
    <mergeCell ref="A27:B27"/>
    <mergeCell ref="D27:E27"/>
    <mergeCell ref="G27:H27"/>
    <mergeCell ref="A29:C29"/>
    <mergeCell ref="D29:F29"/>
    <mergeCell ref="G29:I29"/>
    <mergeCell ref="G23:H23"/>
    <mergeCell ref="A25:B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5"/>
  <sheetViews>
    <sheetView zoomScaleNormal="100" workbookViewId="0">
      <selection activeCell="C8" sqref="C8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7.140625" style="15" customWidth="1"/>
    <col min="4" max="4" width="10" style="15" customWidth="1"/>
    <col min="5" max="5" width="14" style="15" customWidth="1"/>
    <col min="6" max="6" width="27.140625" style="15" customWidth="1"/>
    <col min="7" max="7" width="9.140625" style="15" customWidth="1"/>
    <col min="8" max="8" width="12.85546875" style="15" customWidth="1"/>
    <col min="9" max="9" width="27.140625" style="15" customWidth="1"/>
  </cols>
  <sheetData>
    <row r="1" spans="1:9" ht="54.75" customHeight="1" x14ac:dyDescent="0.2">
      <c r="A1" s="14" t="s">
        <v>485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/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58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2" spans="1:9" ht="23.25" x14ac:dyDescent="0.2">
      <c r="A12" s="72" t="s">
        <v>14</v>
      </c>
      <c r="B12" s="72"/>
      <c r="C12" s="72"/>
      <c r="D12" s="72"/>
      <c r="E12" s="72"/>
      <c r="F12" s="72"/>
      <c r="G12" s="72"/>
      <c r="H12" s="72"/>
      <c r="I12" s="72"/>
    </row>
    <row r="13" spans="1:9" ht="26.25" customHeight="1" x14ac:dyDescent="0.2">
      <c r="A13" s="19" t="s">
        <v>15</v>
      </c>
      <c r="B13" s="73" t="s">
        <v>16</v>
      </c>
      <c r="C13" s="73"/>
      <c r="D13" s="20" t="s">
        <v>17</v>
      </c>
      <c r="E13" s="73" t="s">
        <v>18</v>
      </c>
      <c r="F13" s="73"/>
      <c r="G13" s="20" t="s">
        <v>19</v>
      </c>
      <c r="H13" s="73" t="s">
        <v>20</v>
      </c>
      <c r="I13" s="73"/>
    </row>
    <row r="14" spans="1:9" ht="15.75" x14ac:dyDescent="0.2">
      <c r="A14" s="21" t="s">
        <v>21</v>
      </c>
      <c r="B14" s="22" t="s">
        <v>22</v>
      </c>
      <c r="C14" s="23">
        <f>SUM('Stavební rozpočet (01D)'!AB12:AB669)</f>
        <v>0</v>
      </c>
      <c r="D14" s="74" t="s">
        <v>23</v>
      </c>
      <c r="E14" s="74"/>
      <c r="F14" s="23">
        <f>'VORN objektu (01D)'!I15</f>
        <v>0</v>
      </c>
      <c r="G14" s="74" t="s">
        <v>24</v>
      </c>
      <c r="H14" s="74"/>
      <c r="I14" s="23">
        <f>'VORN objektu (01D)'!I21</f>
        <v>0</v>
      </c>
    </row>
    <row r="15" spans="1:9" ht="15.75" x14ac:dyDescent="0.2">
      <c r="A15" s="24"/>
      <c r="B15" s="22" t="s">
        <v>25</v>
      </c>
      <c r="C15" s="23">
        <f>SUM('Stavební rozpočet (01D)'!AC12:AC669)</f>
        <v>0</v>
      </c>
      <c r="D15" s="74" t="s">
        <v>26</v>
      </c>
      <c r="E15" s="74"/>
      <c r="F15" s="23">
        <f>'VORN objektu (01D)'!I16</f>
        <v>0</v>
      </c>
      <c r="G15" s="74" t="s">
        <v>27</v>
      </c>
      <c r="H15" s="74"/>
      <c r="I15" s="23">
        <f>'VORN objektu (01D)'!I22</f>
        <v>0</v>
      </c>
    </row>
    <row r="16" spans="1:9" ht="15.75" x14ac:dyDescent="0.2">
      <c r="A16" s="21" t="s">
        <v>28</v>
      </c>
      <c r="B16" s="22" t="s">
        <v>22</v>
      </c>
      <c r="C16" s="23">
        <f>SUM('Stavební rozpočet (01D)'!AD12:AD669)</f>
        <v>0</v>
      </c>
      <c r="D16" s="74" t="s">
        <v>29</v>
      </c>
      <c r="E16" s="74"/>
      <c r="F16" s="23">
        <f>'VORN objektu (01D)'!I17</f>
        <v>0</v>
      </c>
      <c r="G16" s="74" t="s">
        <v>30</v>
      </c>
      <c r="H16" s="74"/>
      <c r="I16" s="23">
        <f>'VORN objektu (01D)'!I23</f>
        <v>0</v>
      </c>
    </row>
    <row r="17" spans="1:9" ht="15.75" x14ac:dyDescent="0.2">
      <c r="A17" s="24"/>
      <c r="B17" s="22" t="s">
        <v>25</v>
      </c>
      <c r="C17" s="23">
        <f>SUM('Stavební rozpočet (01D)'!AE12:AE669)</f>
        <v>0</v>
      </c>
      <c r="D17" s="74"/>
      <c r="E17" s="74"/>
      <c r="F17" s="25"/>
      <c r="G17" s="74" t="s">
        <v>31</v>
      </c>
      <c r="H17" s="74"/>
      <c r="I17" s="23">
        <f>'VORN objektu (01D)'!I24</f>
        <v>0</v>
      </c>
    </row>
    <row r="18" spans="1:9" ht="15.75" x14ac:dyDescent="0.2">
      <c r="A18" s="21" t="s">
        <v>32</v>
      </c>
      <c r="B18" s="22" t="s">
        <v>22</v>
      </c>
      <c r="C18" s="23">
        <f>SUM('Stavební rozpočet (01D)'!AF12:AF669)</f>
        <v>0</v>
      </c>
      <c r="D18" s="74"/>
      <c r="E18" s="74"/>
      <c r="F18" s="25"/>
      <c r="G18" s="74" t="s">
        <v>33</v>
      </c>
      <c r="H18" s="74"/>
      <c r="I18" s="23">
        <f>'VORN objektu (01D)'!I25</f>
        <v>0</v>
      </c>
    </row>
    <row r="19" spans="1:9" ht="15.75" x14ac:dyDescent="0.2">
      <c r="A19" s="24"/>
      <c r="B19" s="22" t="s">
        <v>25</v>
      </c>
      <c r="C19" s="23">
        <f>SUM('Stavební rozpočet (01D)'!AG12:AG669)</f>
        <v>0</v>
      </c>
      <c r="D19" s="74"/>
      <c r="E19" s="74"/>
      <c r="F19" s="25"/>
      <c r="G19" s="74" t="s">
        <v>34</v>
      </c>
      <c r="H19" s="74"/>
      <c r="I19" s="23">
        <f>'VORN objektu (01D)'!I26</f>
        <v>0</v>
      </c>
    </row>
    <row r="20" spans="1:9" ht="15.75" x14ac:dyDescent="0.2">
      <c r="A20" s="75" t="s">
        <v>35</v>
      </c>
      <c r="B20" s="75"/>
      <c r="C20" s="23">
        <f>SUM('Stavební rozpočet (01D)'!AH12:AH669)</f>
        <v>0</v>
      </c>
      <c r="D20" s="74"/>
      <c r="E20" s="74"/>
      <c r="F20" s="25"/>
      <c r="G20" s="74"/>
      <c r="H20" s="74"/>
      <c r="I20" s="25"/>
    </row>
    <row r="21" spans="1:9" ht="15.75" x14ac:dyDescent="0.2">
      <c r="A21" s="76" t="s">
        <v>36</v>
      </c>
      <c r="B21" s="76"/>
      <c r="C21" s="26">
        <f>SUM('Stavební rozpočet (01D)'!Z12:Z669)</f>
        <v>0</v>
      </c>
      <c r="D21" s="77"/>
      <c r="E21" s="77"/>
      <c r="F21" s="27"/>
      <c r="G21" s="77"/>
      <c r="H21" s="77"/>
      <c r="I21" s="27"/>
    </row>
    <row r="22" spans="1:9" ht="16.5" customHeight="1" x14ac:dyDescent="0.2">
      <c r="A22" s="78" t="s">
        <v>37</v>
      </c>
      <c r="B22" s="78"/>
      <c r="C22" s="28">
        <f>ROUND(SUM(C14:C21),0)</f>
        <v>0</v>
      </c>
      <c r="D22" s="79" t="s">
        <v>38</v>
      </c>
      <c r="E22" s="79"/>
      <c r="F22" s="28">
        <f>SUM(F14:F21)</f>
        <v>0</v>
      </c>
      <c r="G22" s="79" t="s">
        <v>39</v>
      </c>
      <c r="H22" s="79"/>
      <c r="I22" s="28">
        <f>SUM(I14:I21)</f>
        <v>0</v>
      </c>
    </row>
    <row r="23" spans="1:9" ht="15.75" x14ac:dyDescent="0.25">
      <c r="G23" s="75" t="s">
        <v>40</v>
      </c>
      <c r="H23" s="75"/>
      <c r="I23" s="23">
        <f>'VORN objektu (01D)'!I45</f>
        <v>0</v>
      </c>
    </row>
    <row r="25" spans="1:9" ht="15.75" x14ac:dyDescent="0.25">
      <c r="A25" s="80" t="s">
        <v>41</v>
      </c>
      <c r="B25" s="80"/>
      <c r="C25" s="29">
        <f>ROUND(SUM('Stavební rozpočet (01D)'!AJ12:AJ669),0)</f>
        <v>0</v>
      </c>
    </row>
    <row r="26" spans="1:9" ht="15.75" x14ac:dyDescent="0.2">
      <c r="A26" s="81" t="s">
        <v>42</v>
      </c>
      <c r="B26" s="81"/>
      <c r="C26" s="30">
        <f>ROUND(SUM('Stavební rozpočet (01D)'!AK12:AK669),0)</f>
        <v>0</v>
      </c>
      <c r="D26" s="82" t="s">
        <v>43</v>
      </c>
      <c r="E26" s="82"/>
      <c r="F26" s="29">
        <f>ROUND(C26*(12/100),2)</f>
        <v>0</v>
      </c>
      <c r="G26" s="82" t="s">
        <v>44</v>
      </c>
      <c r="H26" s="82"/>
      <c r="I26" s="29">
        <f>ROUND(SUM(C25:C27),0)</f>
        <v>0</v>
      </c>
    </row>
    <row r="27" spans="1:9" ht="15.75" x14ac:dyDescent="0.2">
      <c r="A27" s="81" t="s">
        <v>45</v>
      </c>
      <c r="B27" s="81"/>
      <c r="C27" s="30">
        <f>ROUND(SUM('Stavební rozpočet (01D)'!AL12:AL669),0)</f>
        <v>0</v>
      </c>
      <c r="D27" s="83" t="s">
        <v>46</v>
      </c>
      <c r="E27" s="83"/>
      <c r="F27" s="30">
        <f>ROUND(C27*(21/100),2)</f>
        <v>0</v>
      </c>
      <c r="G27" s="83" t="s">
        <v>47</v>
      </c>
      <c r="H27" s="83"/>
      <c r="I27" s="30">
        <f>ROUND(SUM(F26:F27)+I26,0)</f>
        <v>0</v>
      </c>
    </row>
    <row r="29" spans="1:9" x14ac:dyDescent="0.2">
      <c r="A29" s="84" t="s">
        <v>48</v>
      </c>
      <c r="B29" s="84"/>
      <c r="C29" s="84"/>
      <c r="D29" s="85" t="s">
        <v>49</v>
      </c>
      <c r="E29" s="85"/>
      <c r="F29" s="85"/>
      <c r="G29" s="85" t="s">
        <v>50</v>
      </c>
      <c r="H29" s="85"/>
      <c r="I29" s="85"/>
    </row>
    <row r="30" spans="1:9" x14ac:dyDescent="0.2">
      <c r="A30" s="86"/>
      <c r="B30" s="86"/>
      <c r="C30" s="86"/>
      <c r="D30" s="87"/>
      <c r="E30" s="87"/>
      <c r="F30" s="87"/>
      <c r="G30" s="87"/>
      <c r="H30" s="87"/>
      <c r="I30" s="87"/>
    </row>
    <row r="31" spans="1:9" x14ac:dyDescent="0.2">
      <c r="A31" s="86"/>
      <c r="B31" s="86"/>
      <c r="C31" s="86"/>
      <c r="D31" s="87"/>
      <c r="E31" s="87"/>
      <c r="F31" s="87"/>
      <c r="G31" s="87"/>
      <c r="H31" s="87"/>
      <c r="I31" s="87"/>
    </row>
    <row r="32" spans="1:9" x14ac:dyDescent="0.2">
      <c r="A32" s="86"/>
      <c r="B32" s="86"/>
      <c r="C32" s="86"/>
      <c r="D32" s="87"/>
      <c r="E32" s="87"/>
      <c r="F32" s="87"/>
      <c r="G32" s="87"/>
      <c r="H32" s="87"/>
      <c r="I32" s="87"/>
    </row>
    <row r="33" spans="1:9" x14ac:dyDescent="0.2">
      <c r="A33" s="88" t="s">
        <v>51</v>
      </c>
      <c r="B33" s="88"/>
      <c r="C33" s="88"/>
      <c r="D33" s="89" t="s">
        <v>51</v>
      </c>
      <c r="E33" s="89"/>
      <c r="F33" s="89"/>
      <c r="G33" s="89" t="s">
        <v>51</v>
      </c>
      <c r="H33" s="89"/>
      <c r="I33" s="89"/>
    </row>
    <row r="34" spans="1:9" x14ac:dyDescent="0.25">
      <c r="A34" s="31" t="s">
        <v>52</v>
      </c>
    </row>
    <row r="35" spans="1:9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</row>
  </sheetData>
  <mergeCells count="80">
    <mergeCell ref="A35:I35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D31:F31"/>
    <mergeCell ref="G31:I31"/>
    <mergeCell ref="A27:B27"/>
    <mergeCell ref="D27:E27"/>
    <mergeCell ref="G27:H27"/>
    <mergeCell ref="A29:C29"/>
    <mergeCell ref="D29:F29"/>
    <mergeCell ref="G29:I29"/>
    <mergeCell ref="G23:H23"/>
    <mergeCell ref="A25:B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5"/>
  <sheetViews>
    <sheetView zoomScaleNormal="100" workbookViewId="0">
      <selection activeCell="A45" sqref="A45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2.85546875" style="15" customWidth="1"/>
    <col min="4" max="4" width="10" style="15" customWidth="1"/>
    <col min="5" max="5" width="14" style="15" customWidth="1"/>
    <col min="6" max="6" width="22.85546875" style="15" customWidth="1"/>
    <col min="7" max="7" width="9.140625" style="15" customWidth="1"/>
    <col min="8" max="8" width="17.140625" style="15" customWidth="1"/>
    <col min="9" max="9" width="22.85546875" style="15" customWidth="1"/>
  </cols>
  <sheetData>
    <row r="1" spans="1:9" ht="54.75" customHeight="1" x14ac:dyDescent="0.2">
      <c r="A1" s="14" t="s">
        <v>486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 t="str">
        <f>'Stavební rozpočet'!H4</f>
        <v>25.01.2025</v>
      </c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58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3" spans="1:9" ht="15.75" x14ac:dyDescent="0.25">
      <c r="A13" s="90" t="s">
        <v>54</v>
      </c>
      <c r="B13" s="90"/>
      <c r="C13" s="90"/>
      <c r="D13" s="90"/>
      <c r="E13" s="90"/>
    </row>
    <row r="14" spans="1:9" ht="12.75" x14ac:dyDescent="0.2">
      <c r="A14" s="91" t="s">
        <v>55</v>
      </c>
      <c r="B14" s="91"/>
      <c r="C14" s="91"/>
      <c r="D14" s="91"/>
      <c r="E14" s="91"/>
      <c r="F14" s="32" t="s">
        <v>56</v>
      </c>
      <c r="G14" s="32" t="s">
        <v>57</v>
      </c>
      <c r="H14" s="32" t="s">
        <v>58</v>
      </c>
      <c r="I14" s="32" t="s">
        <v>56</v>
      </c>
    </row>
    <row r="15" spans="1:9" ht="12.75" x14ac:dyDescent="0.2">
      <c r="A15" s="92" t="s">
        <v>23</v>
      </c>
      <c r="B15" s="92"/>
      <c r="C15" s="92"/>
      <c r="D15" s="92"/>
      <c r="E15" s="92"/>
      <c r="F15" s="33">
        <v>0</v>
      </c>
      <c r="G15" s="34"/>
      <c r="H15" s="34"/>
      <c r="I15" s="33">
        <f>F15</f>
        <v>0</v>
      </c>
    </row>
    <row r="16" spans="1:9" ht="12.75" x14ac:dyDescent="0.2">
      <c r="A16" s="92" t="s">
        <v>26</v>
      </c>
      <c r="B16" s="92"/>
      <c r="C16" s="92"/>
      <c r="D16" s="92"/>
      <c r="E16" s="92"/>
      <c r="F16" s="33">
        <v>0</v>
      </c>
      <c r="G16" s="34"/>
      <c r="H16" s="34"/>
      <c r="I16" s="33">
        <f>F16</f>
        <v>0</v>
      </c>
    </row>
    <row r="17" spans="1:9" ht="12.75" x14ac:dyDescent="0.2">
      <c r="A17" s="93" t="s">
        <v>29</v>
      </c>
      <c r="B17" s="93"/>
      <c r="C17" s="93"/>
      <c r="D17" s="93"/>
      <c r="E17" s="93"/>
      <c r="F17" s="35">
        <v>0</v>
      </c>
      <c r="G17" s="17"/>
      <c r="H17" s="17"/>
      <c r="I17" s="35">
        <f>F17</f>
        <v>0</v>
      </c>
    </row>
    <row r="18" spans="1:9" ht="12.75" x14ac:dyDescent="0.2">
      <c r="A18" s="94" t="s">
        <v>59</v>
      </c>
      <c r="B18" s="94"/>
      <c r="C18" s="94"/>
      <c r="D18" s="94"/>
      <c r="E18" s="94"/>
      <c r="F18" s="36"/>
      <c r="G18" s="37"/>
      <c r="H18" s="37"/>
      <c r="I18" s="38">
        <f>SUM(I15:I17)</f>
        <v>0</v>
      </c>
    </row>
    <row r="20" spans="1:9" ht="12.75" x14ac:dyDescent="0.2">
      <c r="A20" s="91" t="s">
        <v>20</v>
      </c>
      <c r="B20" s="91"/>
      <c r="C20" s="91"/>
      <c r="D20" s="91"/>
      <c r="E20" s="91"/>
      <c r="F20" s="32" t="s">
        <v>56</v>
      </c>
      <c r="G20" s="32" t="s">
        <v>57</v>
      </c>
      <c r="H20" s="32" t="s">
        <v>58</v>
      </c>
      <c r="I20" s="32" t="s">
        <v>56</v>
      </c>
    </row>
    <row r="21" spans="1:9" ht="12.75" x14ac:dyDescent="0.2">
      <c r="A21" s="92" t="s">
        <v>24</v>
      </c>
      <c r="B21" s="92"/>
      <c r="C21" s="92"/>
      <c r="D21" s="92"/>
      <c r="E21" s="92"/>
      <c r="F21" s="33">
        <v>0</v>
      </c>
      <c r="G21" s="34"/>
      <c r="H21" s="34"/>
      <c r="I21" s="33">
        <f t="shared" ref="I21:I26" si="0">F21</f>
        <v>0</v>
      </c>
    </row>
    <row r="22" spans="1:9" ht="12.75" x14ac:dyDescent="0.2">
      <c r="A22" s="92" t="s">
        <v>27</v>
      </c>
      <c r="B22" s="92"/>
      <c r="C22" s="92"/>
      <c r="D22" s="92"/>
      <c r="E22" s="92"/>
      <c r="F22" s="33">
        <v>0</v>
      </c>
      <c r="G22" s="34"/>
      <c r="H22" s="34"/>
      <c r="I22" s="33">
        <f t="shared" si="0"/>
        <v>0</v>
      </c>
    </row>
    <row r="23" spans="1:9" ht="12.75" x14ac:dyDescent="0.2">
      <c r="A23" s="92" t="s">
        <v>30</v>
      </c>
      <c r="B23" s="92"/>
      <c r="C23" s="92"/>
      <c r="D23" s="92"/>
      <c r="E23" s="92"/>
      <c r="F23" s="33">
        <v>0</v>
      </c>
      <c r="G23" s="34"/>
      <c r="H23" s="34"/>
      <c r="I23" s="33">
        <f t="shared" si="0"/>
        <v>0</v>
      </c>
    </row>
    <row r="24" spans="1:9" ht="12.75" x14ac:dyDescent="0.2">
      <c r="A24" s="92" t="s">
        <v>31</v>
      </c>
      <c r="B24" s="92"/>
      <c r="C24" s="92"/>
      <c r="D24" s="92"/>
      <c r="E24" s="92"/>
      <c r="F24" s="33">
        <v>0</v>
      </c>
      <c r="G24" s="34"/>
      <c r="H24" s="34"/>
      <c r="I24" s="33">
        <f t="shared" si="0"/>
        <v>0</v>
      </c>
    </row>
    <row r="25" spans="1:9" ht="12.75" x14ac:dyDescent="0.2">
      <c r="A25" s="92" t="s">
        <v>33</v>
      </c>
      <c r="B25" s="92"/>
      <c r="C25" s="92"/>
      <c r="D25" s="92"/>
      <c r="E25" s="92"/>
      <c r="F25" s="33">
        <v>0</v>
      </c>
      <c r="G25" s="34"/>
      <c r="H25" s="34"/>
      <c r="I25" s="33">
        <f t="shared" si="0"/>
        <v>0</v>
      </c>
    </row>
    <row r="26" spans="1:9" ht="12.75" x14ac:dyDescent="0.2">
      <c r="A26" s="93" t="s">
        <v>34</v>
      </c>
      <c r="B26" s="93"/>
      <c r="C26" s="93"/>
      <c r="D26" s="93"/>
      <c r="E26" s="93"/>
      <c r="F26" s="35">
        <v>0</v>
      </c>
      <c r="G26" s="17"/>
      <c r="H26" s="17"/>
      <c r="I26" s="35">
        <f t="shared" si="0"/>
        <v>0</v>
      </c>
    </row>
    <row r="27" spans="1:9" ht="12.75" x14ac:dyDescent="0.2">
      <c r="A27" s="94" t="s">
        <v>60</v>
      </c>
      <c r="B27" s="94"/>
      <c r="C27" s="94"/>
      <c r="D27" s="94"/>
      <c r="E27" s="94"/>
      <c r="F27" s="36"/>
      <c r="G27" s="37"/>
      <c r="H27" s="37"/>
      <c r="I27" s="38">
        <f>SUM(I21:I26)</f>
        <v>0</v>
      </c>
    </row>
    <row r="29" spans="1:9" ht="15.75" x14ac:dyDescent="0.2">
      <c r="A29" s="95" t="s">
        <v>61</v>
      </c>
      <c r="B29" s="95"/>
      <c r="C29" s="95"/>
      <c r="D29" s="95"/>
      <c r="E29" s="95"/>
      <c r="F29" s="96">
        <f>I18+I27</f>
        <v>0</v>
      </c>
      <c r="G29" s="96"/>
      <c r="H29" s="96"/>
      <c r="I29" s="96"/>
    </row>
    <row r="33" spans="1:9" ht="15.75" x14ac:dyDescent="0.25">
      <c r="A33" s="90" t="s">
        <v>62</v>
      </c>
      <c r="B33" s="90"/>
      <c r="C33" s="90"/>
      <c r="D33" s="90"/>
      <c r="E33" s="90"/>
    </row>
    <row r="34" spans="1:9" ht="12.75" x14ac:dyDescent="0.2">
      <c r="A34" s="91" t="s">
        <v>63</v>
      </c>
      <c r="B34" s="91"/>
      <c r="C34" s="91"/>
      <c r="D34" s="91"/>
      <c r="E34" s="91"/>
      <c r="F34" s="32" t="s">
        <v>56</v>
      </c>
      <c r="G34" s="32" t="s">
        <v>57</v>
      </c>
      <c r="H34" s="32" t="s">
        <v>58</v>
      </c>
      <c r="I34" s="32" t="s">
        <v>56</v>
      </c>
    </row>
    <row r="35" spans="1:9" ht="12.75" x14ac:dyDescent="0.2">
      <c r="A35" s="92" t="s">
        <v>64</v>
      </c>
      <c r="B35" s="92"/>
      <c r="C35" s="92"/>
      <c r="D35" s="92"/>
      <c r="E35" s="92"/>
      <c r="F35" s="33">
        <f>SUM('Stavební rozpočet'!BM12:BM669)</f>
        <v>0</v>
      </c>
      <c r="G35" s="34"/>
      <c r="H35" s="34"/>
      <c r="I35" s="33">
        <f t="shared" ref="I35:I44" si="1">F35</f>
        <v>0</v>
      </c>
    </row>
    <row r="36" spans="1:9" ht="12.75" x14ac:dyDescent="0.2">
      <c r="A36" s="92" t="s">
        <v>65</v>
      </c>
      <c r="B36" s="92"/>
      <c r="C36" s="92"/>
      <c r="D36" s="92"/>
      <c r="E36" s="92"/>
      <c r="F36" s="33">
        <f>SUM('Stavební rozpočet'!BN12:BN669)</f>
        <v>0</v>
      </c>
      <c r="G36" s="34"/>
      <c r="H36" s="34"/>
      <c r="I36" s="33">
        <f t="shared" si="1"/>
        <v>0</v>
      </c>
    </row>
    <row r="37" spans="1:9" ht="12.75" x14ac:dyDescent="0.2">
      <c r="A37" s="92" t="s">
        <v>24</v>
      </c>
      <c r="B37" s="92"/>
      <c r="C37" s="92"/>
      <c r="D37" s="92"/>
      <c r="E37" s="92"/>
      <c r="F37" s="33">
        <f>SUM('Stavební rozpočet'!BO12:BO669)</f>
        <v>0</v>
      </c>
      <c r="G37" s="34"/>
      <c r="H37" s="34"/>
      <c r="I37" s="33">
        <f t="shared" si="1"/>
        <v>0</v>
      </c>
    </row>
    <row r="38" spans="1:9" ht="12.75" x14ac:dyDescent="0.2">
      <c r="A38" s="92" t="s">
        <v>66</v>
      </c>
      <c r="B38" s="92"/>
      <c r="C38" s="92"/>
      <c r="D38" s="92"/>
      <c r="E38" s="92"/>
      <c r="F38" s="33">
        <f>SUM('Stavební rozpočet'!BP12:BP669)</f>
        <v>0</v>
      </c>
      <c r="G38" s="34"/>
      <c r="H38" s="34"/>
      <c r="I38" s="33">
        <f t="shared" si="1"/>
        <v>0</v>
      </c>
    </row>
    <row r="39" spans="1:9" ht="12.75" x14ac:dyDescent="0.2">
      <c r="A39" s="92" t="s">
        <v>67</v>
      </c>
      <c r="B39" s="92"/>
      <c r="C39" s="92"/>
      <c r="D39" s="92"/>
      <c r="E39" s="92"/>
      <c r="F39" s="33">
        <f>SUM('Stavební rozpočet'!BQ12:BQ669)</f>
        <v>0</v>
      </c>
      <c r="G39" s="34"/>
      <c r="H39" s="34"/>
      <c r="I39" s="33">
        <f t="shared" si="1"/>
        <v>0</v>
      </c>
    </row>
    <row r="40" spans="1:9" ht="12.75" x14ac:dyDescent="0.2">
      <c r="A40" s="92" t="s">
        <v>30</v>
      </c>
      <c r="B40" s="92"/>
      <c r="C40" s="92"/>
      <c r="D40" s="92"/>
      <c r="E40" s="92"/>
      <c r="F40" s="33">
        <f>SUM('Stavební rozpočet'!BR12:BR669)</f>
        <v>0</v>
      </c>
      <c r="G40" s="34"/>
      <c r="H40" s="34"/>
      <c r="I40" s="33">
        <f t="shared" si="1"/>
        <v>0</v>
      </c>
    </row>
    <row r="41" spans="1:9" ht="12.75" x14ac:dyDescent="0.2">
      <c r="A41" s="92" t="s">
        <v>31</v>
      </c>
      <c r="B41" s="92"/>
      <c r="C41" s="92"/>
      <c r="D41" s="92"/>
      <c r="E41" s="92"/>
      <c r="F41" s="33">
        <f>SUM('Stavební rozpočet'!BS12:BS669)</f>
        <v>0</v>
      </c>
      <c r="G41" s="34"/>
      <c r="H41" s="34"/>
      <c r="I41" s="33">
        <f t="shared" si="1"/>
        <v>0</v>
      </c>
    </row>
    <row r="42" spans="1:9" ht="12.75" x14ac:dyDescent="0.2">
      <c r="A42" s="92" t="s">
        <v>68</v>
      </c>
      <c r="B42" s="92"/>
      <c r="C42" s="92"/>
      <c r="D42" s="92"/>
      <c r="E42" s="92"/>
      <c r="F42" s="33">
        <f>SUM('Stavební rozpočet'!BT12:BT669)</f>
        <v>0</v>
      </c>
      <c r="G42" s="34"/>
      <c r="H42" s="34"/>
      <c r="I42" s="33">
        <f t="shared" si="1"/>
        <v>0</v>
      </c>
    </row>
    <row r="43" spans="1:9" ht="12.75" x14ac:dyDescent="0.2">
      <c r="A43" s="92" t="s">
        <v>69</v>
      </c>
      <c r="B43" s="92"/>
      <c r="C43" s="92"/>
      <c r="D43" s="92"/>
      <c r="E43" s="92"/>
      <c r="F43" s="33">
        <f>SUM('Stavební rozpočet'!BU12:BU669)</f>
        <v>0</v>
      </c>
      <c r="G43" s="34"/>
      <c r="H43" s="34"/>
      <c r="I43" s="33">
        <f t="shared" si="1"/>
        <v>0</v>
      </c>
    </row>
    <row r="44" spans="1:9" ht="12.75" x14ac:dyDescent="0.2">
      <c r="A44" s="93" t="s">
        <v>70</v>
      </c>
      <c r="B44" s="93"/>
      <c r="C44" s="93"/>
      <c r="D44" s="93"/>
      <c r="E44" s="93"/>
      <c r="F44" s="35">
        <f>SUM('Stavební rozpočet'!BV12:BV669)</f>
        <v>0</v>
      </c>
      <c r="G44" s="17"/>
      <c r="H44" s="17"/>
      <c r="I44" s="35">
        <f t="shared" si="1"/>
        <v>0</v>
      </c>
    </row>
    <row r="45" spans="1:9" ht="12.75" x14ac:dyDescent="0.2">
      <c r="A45" s="94" t="s">
        <v>71</v>
      </c>
      <c r="B45" s="94"/>
      <c r="C45" s="94"/>
      <c r="D45" s="94"/>
      <c r="E45" s="94"/>
      <c r="F45" s="36"/>
      <c r="G45" s="37"/>
      <c r="H45" s="37"/>
      <c r="I45" s="38">
        <f>SUM(I35:I44)</f>
        <v>0</v>
      </c>
    </row>
  </sheetData>
  <mergeCells count="60">
    <mergeCell ref="A42:E42"/>
    <mergeCell ref="A43:E43"/>
    <mergeCell ref="A44:E44"/>
    <mergeCell ref="A45:E45"/>
    <mergeCell ref="A37:E37"/>
    <mergeCell ref="A38:E38"/>
    <mergeCell ref="A39:E39"/>
    <mergeCell ref="A40:E40"/>
    <mergeCell ref="A41:E41"/>
    <mergeCell ref="F29:I29"/>
    <mergeCell ref="A33:E33"/>
    <mergeCell ref="A34:E34"/>
    <mergeCell ref="A35:E35"/>
    <mergeCell ref="A36:E36"/>
    <mergeCell ref="A24:E24"/>
    <mergeCell ref="A25:E25"/>
    <mergeCell ref="A26:E26"/>
    <mergeCell ref="A27:E27"/>
    <mergeCell ref="A29:E29"/>
    <mergeCell ref="A18:E18"/>
    <mergeCell ref="A20:E20"/>
    <mergeCell ref="A21:E21"/>
    <mergeCell ref="A22:E22"/>
    <mergeCell ref="A23:E23"/>
    <mergeCell ref="A13:E13"/>
    <mergeCell ref="A14:E14"/>
    <mergeCell ref="A15:E15"/>
    <mergeCell ref="A16:E16"/>
    <mergeCell ref="A17:E17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Z177"/>
  <sheetViews>
    <sheetView zoomScaleNormal="100" workbookViewId="0">
      <pane ySplit="11" topLeftCell="A124" activePane="bottomLeft" state="frozen"/>
      <selection pane="bottomLeft" activeCell="D135" sqref="D135:M135"/>
    </sheetView>
  </sheetViews>
  <sheetFormatPr defaultColWidth="12.140625" defaultRowHeight="15" x14ac:dyDescent="0.25"/>
  <cols>
    <col min="1" max="1" width="3.140625" style="15" customWidth="1"/>
    <col min="2" max="2" width="8" style="15" customWidth="1"/>
    <col min="3" max="3" width="17.85546875" style="15" customWidth="1"/>
    <col min="4" max="4" width="42.85546875" style="15" customWidth="1"/>
    <col min="5" max="5" width="35.7109375" style="15" customWidth="1"/>
    <col min="6" max="6" width="7.5703125" style="15" customWidth="1"/>
    <col min="7" max="7" width="12.85546875" style="15" customWidth="1"/>
    <col min="8" max="8" width="12" style="15" customWidth="1"/>
    <col min="9" max="9" width="15.7109375" style="15" customWidth="1"/>
    <col min="10" max="12" width="11.7109375" style="15" customWidth="1"/>
    <col min="13" max="13" width="23.140625" style="15" customWidth="1"/>
    <col min="25" max="75" width="12.140625" style="15" hidden="1"/>
    <col min="76" max="76" width="78.5703125" style="15" hidden="1" customWidth="1"/>
    <col min="77" max="78" width="12.140625" style="15" hidden="1"/>
  </cols>
  <sheetData>
    <row r="1" spans="1:76" ht="54.75" customHeight="1" x14ac:dyDescent="0.25">
      <c r="A1" s="97" t="s">
        <v>487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ht="15" customHeight="1" x14ac:dyDescent="0.25">
      <c r="A2" s="13" t="s">
        <v>1</v>
      </c>
      <c r="B2" s="13"/>
      <c r="C2" s="13"/>
      <c r="D2" s="12" t="str">
        <f>'Stavební rozpočet'!D2</f>
        <v>VÝMĚNA OKEN A OPRAVA BALKONŮ - BYTOVÝ DŮM J.E. PURKYNĚ 1150, LITOMYŠL</v>
      </c>
      <c r="E2" s="12"/>
      <c r="F2" s="98" t="s">
        <v>73</v>
      </c>
      <c r="G2" s="98"/>
      <c r="H2" s="11" t="str">
        <f>'Stavební rozpočet'!H2</f>
        <v xml:space="preserve"> </v>
      </c>
      <c r="I2" s="11" t="s">
        <v>2</v>
      </c>
      <c r="J2" s="11"/>
      <c r="K2" s="99" t="str">
        <f>'Stavební rozpočet'!K2</f>
        <v> </v>
      </c>
      <c r="L2" s="99"/>
      <c r="M2" s="99"/>
    </row>
    <row r="3" spans="1:76" x14ac:dyDescent="0.25">
      <c r="A3" s="13"/>
      <c r="B3" s="13"/>
      <c r="C3" s="13"/>
      <c r="D3" s="12"/>
      <c r="E3" s="12"/>
      <c r="F3" s="98"/>
      <c r="G3" s="98"/>
      <c r="H3" s="11"/>
      <c r="I3" s="11"/>
      <c r="J3" s="11"/>
      <c r="K3" s="99"/>
      <c r="L3" s="99"/>
      <c r="M3" s="99"/>
    </row>
    <row r="4" spans="1:76" ht="15" customHeight="1" x14ac:dyDescent="0.25">
      <c r="A4" s="9" t="s">
        <v>4</v>
      </c>
      <c r="B4" s="9"/>
      <c r="C4" s="9"/>
      <c r="D4" s="8" t="str">
        <f>'Stavební rozpočet'!D4</f>
        <v xml:space="preserve"> </v>
      </c>
      <c r="E4" s="8"/>
      <c r="F4" s="6" t="s">
        <v>8</v>
      </c>
      <c r="G4" s="6"/>
      <c r="H4" s="8"/>
      <c r="I4" s="8" t="s">
        <v>5</v>
      </c>
      <c r="J4" s="8"/>
      <c r="K4" s="100" t="str">
        <f>'Stavební rozpočet'!K4</f>
        <v> </v>
      </c>
      <c r="L4" s="100"/>
      <c r="M4" s="100"/>
    </row>
    <row r="5" spans="1:76" x14ac:dyDescent="0.25">
      <c r="A5" s="9"/>
      <c r="B5" s="9"/>
      <c r="C5" s="9"/>
      <c r="D5" s="8"/>
      <c r="E5" s="8"/>
      <c r="F5" s="6"/>
      <c r="G5" s="6"/>
      <c r="H5" s="8"/>
      <c r="I5" s="8"/>
      <c r="J5" s="8"/>
      <c r="K5" s="100"/>
      <c r="L5" s="100"/>
      <c r="M5" s="100"/>
    </row>
    <row r="6" spans="1:76" ht="15" customHeight="1" x14ac:dyDescent="0.25">
      <c r="A6" s="9" t="s">
        <v>6</v>
      </c>
      <c r="B6" s="9"/>
      <c r="C6" s="9"/>
      <c r="D6" s="8" t="str">
        <f>'Stavební rozpočet'!D6</f>
        <v>LITOMYŠL</v>
      </c>
      <c r="E6" s="8"/>
      <c r="F6" s="6" t="s">
        <v>9</v>
      </c>
      <c r="G6" s="6"/>
      <c r="H6" s="8" t="str">
        <f>'Stavební rozpočet'!H6</f>
        <v xml:space="preserve"> </v>
      </c>
      <c r="I6" s="8" t="s">
        <v>7</v>
      </c>
      <c r="J6" s="8"/>
      <c r="K6" s="100" t="str">
        <f>'Stavební rozpočet'!K6</f>
        <v> </v>
      </c>
      <c r="L6" s="100"/>
      <c r="M6" s="100"/>
    </row>
    <row r="7" spans="1:76" x14ac:dyDescent="0.25">
      <c r="A7" s="9"/>
      <c r="B7" s="9"/>
      <c r="C7" s="9"/>
      <c r="D7" s="8"/>
      <c r="E7" s="8"/>
      <c r="F7" s="6"/>
      <c r="G7" s="6"/>
      <c r="H7" s="8"/>
      <c r="I7" s="8"/>
      <c r="J7" s="8"/>
      <c r="K7" s="100"/>
      <c r="L7" s="100"/>
      <c r="M7" s="100"/>
    </row>
    <row r="8" spans="1:76" ht="15" customHeight="1" x14ac:dyDescent="0.25">
      <c r="A8" s="9" t="s">
        <v>11</v>
      </c>
      <c r="B8" s="9"/>
      <c r="C8" s="9"/>
      <c r="D8" s="8" t="str">
        <f>'Stavební rozpočet'!D8</f>
        <v xml:space="preserve"> </v>
      </c>
      <c r="E8" s="8"/>
      <c r="F8" s="6" t="s">
        <v>74</v>
      </c>
      <c r="G8" s="6"/>
      <c r="H8" s="8" t="str">
        <f>'Stavební rozpočet'!H8</f>
        <v>25.01.2025</v>
      </c>
      <c r="I8" s="8" t="s">
        <v>12</v>
      </c>
      <c r="J8" s="8"/>
      <c r="K8" s="100" t="str">
        <f>'Stavební rozpočet'!K8</f>
        <v>MARTIN ČERNÝ, DIS.</v>
      </c>
      <c r="L8" s="100"/>
      <c r="M8" s="100"/>
    </row>
    <row r="9" spans="1:76" x14ac:dyDescent="0.25">
      <c r="A9" s="9"/>
      <c r="B9" s="9"/>
      <c r="C9" s="9"/>
      <c r="D9" s="8"/>
      <c r="E9" s="8"/>
      <c r="F9" s="6"/>
      <c r="G9" s="6"/>
      <c r="H9" s="8"/>
      <c r="I9" s="8"/>
      <c r="J9" s="8"/>
      <c r="K9" s="100"/>
      <c r="L9" s="100"/>
      <c r="M9" s="100"/>
    </row>
    <row r="10" spans="1:76" x14ac:dyDescent="0.25">
      <c r="A10" s="40" t="s">
        <v>75</v>
      </c>
      <c r="B10" s="41" t="s">
        <v>76</v>
      </c>
      <c r="C10" s="41" t="s">
        <v>77</v>
      </c>
      <c r="D10" s="101" t="s">
        <v>78</v>
      </c>
      <c r="E10" s="101"/>
      <c r="F10" s="41" t="s">
        <v>79</v>
      </c>
      <c r="G10" s="42" t="s">
        <v>80</v>
      </c>
      <c r="H10" s="43" t="s">
        <v>81</v>
      </c>
      <c r="I10" s="44" t="s">
        <v>82</v>
      </c>
      <c r="J10" s="102" t="s">
        <v>83</v>
      </c>
      <c r="K10" s="102"/>
      <c r="L10" s="102"/>
      <c r="M10" s="45" t="s">
        <v>84</v>
      </c>
      <c r="BK10" s="46" t="s">
        <v>85</v>
      </c>
      <c r="BL10" s="47" t="s">
        <v>86</v>
      </c>
      <c r="BW10" s="47" t="s">
        <v>87</v>
      </c>
    </row>
    <row r="11" spans="1:76" x14ac:dyDescent="0.25">
      <c r="A11" s="48" t="s">
        <v>88</v>
      </c>
      <c r="B11" s="49" t="s">
        <v>88</v>
      </c>
      <c r="C11" s="49" t="s">
        <v>88</v>
      </c>
      <c r="D11" s="103" t="s">
        <v>89</v>
      </c>
      <c r="E11" s="103"/>
      <c r="F11" s="49" t="s">
        <v>88</v>
      </c>
      <c r="G11" s="49" t="s">
        <v>88</v>
      </c>
      <c r="H11" s="50" t="s">
        <v>90</v>
      </c>
      <c r="I11" s="51" t="s">
        <v>91</v>
      </c>
      <c r="J11" s="50" t="s">
        <v>92</v>
      </c>
      <c r="K11" s="50" t="s">
        <v>93</v>
      </c>
      <c r="L11" s="52" t="s">
        <v>91</v>
      </c>
      <c r="M11" s="53" t="s">
        <v>94</v>
      </c>
      <c r="Z11" s="46" t="s">
        <v>95</v>
      </c>
      <c r="AA11" s="46" t="s">
        <v>96</v>
      </c>
      <c r="AB11" s="46" t="s">
        <v>97</v>
      </c>
      <c r="AC11" s="46" t="s">
        <v>98</v>
      </c>
      <c r="AD11" s="46" t="s">
        <v>99</v>
      </c>
      <c r="AE11" s="46" t="s">
        <v>100</v>
      </c>
      <c r="AF11" s="46" t="s">
        <v>101</v>
      </c>
      <c r="AG11" s="46" t="s">
        <v>102</v>
      </c>
      <c r="AH11" s="46" t="s">
        <v>103</v>
      </c>
      <c r="BH11" s="46" t="s">
        <v>104</v>
      </c>
      <c r="BI11" s="46" t="s">
        <v>105</v>
      </c>
      <c r="BJ11" s="46" t="s">
        <v>106</v>
      </c>
    </row>
    <row r="12" spans="1:76" ht="15" customHeight="1" x14ac:dyDescent="0.25">
      <c r="A12" s="54"/>
      <c r="B12" s="55" t="s">
        <v>488</v>
      </c>
      <c r="C12" s="55"/>
      <c r="D12" s="104" t="s">
        <v>489</v>
      </c>
      <c r="E12" s="104"/>
      <c r="F12" s="56" t="s">
        <v>88</v>
      </c>
      <c r="G12" s="56" t="s">
        <v>88</v>
      </c>
      <c r="H12" s="56" t="s">
        <v>88</v>
      </c>
      <c r="I12" s="39">
        <f>I13+I19+I28+I36+I45+I49+I56+I67+I85+I88+I104+I114+I118+I128+I133+I137+I153+I156+I158</f>
        <v>0</v>
      </c>
      <c r="J12" s="46"/>
      <c r="K12" s="46"/>
      <c r="L12" s="39">
        <f>L13+L19+L28+L36+L45+L49+L56+L67+L85+L88+L104+L114+L118+L128+L133+L137+L153+L156+L158</f>
        <v>16.89518786</v>
      </c>
      <c r="M12" s="57"/>
    </row>
    <row r="13" spans="1:76" ht="15" customHeight="1" x14ac:dyDescent="0.25">
      <c r="A13" s="54"/>
      <c r="B13" s="55" t="s">
        <v>488</v>
      </c>
      <c r="C13" s="55" t="s">
        <v>109</v>
      </c>
      <c r="D13" s="104" t="s">
        <v>110</v>
      </c>
      <c r="E13" s="104"/>
      <c r="F13" s="56" t="s">
        <v>88</v>
      </c>
      <c r="G13" s="56" t="s">
        <v>88</v>
      </c>
      <c r="H13" s="56" t="s">
        <v>88</v>
      </c>
      <c r="I13" s="39">
        <f>SUM(I14:I17)</f>
        <v>0</v>
      </c>
      <c r="J13" s="46"/>
      <c r="K13" s="46"/>
      <c r="L13" s="39">
        <f>SUM(L14:L17)</f>
        <v>0.14842520000000001</v>
      </c>
      <c r="M13" s="57"/>
      <c r="AI13" s="46" t="s">
        <v>488</v>
      </c>
      <c r="AS13" s="39">
        <f>SUM(AJ14:AJ17)</f>
        <v>0</v>
      </c>
      <c r="AT13" s="39">
        <f>SUM(AK14:AK17)</f>
        <v>0</v>
      </c>
      <c r="AU13" s="39">
        <f>SUM(AL14:AL17)</f>
        <v>0</v>
      </c>
    </row>
    <row r="14" spans="1:76" ht="15" customHeight="1" x14ac:dyDescent="0.25">
      <c r="A14" s="58" t="s">
        <v>111</v>
      </c>
      <c r="B14" s="18" t="s">
        <v>488</v>
      </c>
      <c r="C14" s="18" t="s">
        <v>112</v>
      </c>
      <c r="D14" s="8" t="s">
        <v>113</v>
      </c>
      <c r="E14" s="8"/>
      <c r="F14" s="18" t="s">
        <v>114</v>
      </c>
      <c r="G14" s="59">
        <f>'Stavební rozpočet'!G394</f>
        <v>26.84</v>
      </c>
      <c r="H14" s="59">
        <f>'Stavební rozpočet'!H394</f>
        <v>0</v>
      </c>
      <c r="I14" s="59">
        <f>ROUND(G14*H14,2)</f>
        <v>0</v>
      </c>
      <c r="J14" s="59">
        <f>'Stavební rozpočet'!J394</f>
        <v>4.5900000000000003E-3</v>
      </c>
      <c r="K14" s="59">
        <f>'Stavební rozpočet'!K394</f>
        <v>4.5900000000000003E-3</v>
      </c>
      <c r="L14" s="59">
        <f>G14*K14</f>
        <v>0.1231956</v>
      </c>
      <c r="M14" s="60" t="s">
        <v>115</v>
      </c>
      <c r="Z14" s="59">
        <f>ROUND(IF(AQ14="5",BJ14,0),2)</f>
        <v>0</v>
      </c>
      <c r="AB14" s="59">
        <f>ROUND(IF(AQ14="1",BH14,0),2)</f>
        <v>0</v>
      </c>
      <c r="AC14" s="59">
        <f>ROUND(IF(AQ14="1",BI14,0),2)</f>
        <v>0</v>
      </c>
      <c r="AD14" s="59">
        <f>ROUND(IF(AQ14="7",BH14,0),2)</f>
        <v>0</v>
      </c>
      <c r="AE14" s="59">
        <f>ROUND(IF(AQ14="7",BI14,0),2)</f>
        <v>0</v>
      </c>
      <c r="AF14" s="59">
        <f>ROUND(IF(AQ14="2",BH14,0),2)</f>
        <v>0</v>
      </c>
      <c r="AG14" s="59">
        <f>ROUND(IF(AQ14="2",BI14,0),2)</f>
        <v>0</v>
      </c>
      <c r="AH14" s="59">
        <f>ROUND(IF(AQ14="0",BJ14,0),2)</f>
        <v>0</v>
      </c>
      <c r="AI14" s="46" t="s">
        <v>488</v>
      </c>
      <c r="AJ14" s="59">
        <f>IF(AN14=0,I14,0)</f>
        <v>0</v>
      </c>
      <c r="AK14" s="59">
        <f>IF(AN14=12,I14,0)</f>
        <v>0</v>
      </c>
      <c r="AL14" s="59">
        <f>IF(AN14=21,I14,0)</f>
        <v>0</v>
      </c>
      <c r="AN14" s="59">
        <v>12</v>
      </c>
      <c r="AO14" s="59">
        <f>H14*0.151837697</f>
        <v>0</v>
      </c>
      <c r="AP14" s="59">
        <f>H14*(1-0.151837697)</f>
        <v>0</v>
      </c>
      <c r="AQ14" s="61" t="s">
        <v>111</v>
      </c>
      <c r="AV14" s="59">
        <f>ROUND(AW14+AX14,2)</f>
        <v>0</v>
      </c>
      <c r="AW14" s="59">
        <f>ROUND(G14*AO14,2)</f>
        <v>0</v>
      </c>
      <c r="AX14" s="59">
        <f>ROUND(G14*AP14,2)</f>
        <v>0</v>
      </c>
      <c r="AY14" s="61" t="s">
        <v>116</v>
      </c>
      <c r="AZ14" s="61" t="s">
        <v>490</v>
      </c>
      <c r="BA14" s="46" t="s">
        <v>491</v>
      </c>
      <c r="BC14" s="59">
        <f>AW14+AX14</f>
        <v>0</v>
      </c>
      <c r="BD14" s="59">
        <f>H14/(100-BE14)*100</f>
        <v>0</v>
      </c>
      <c r="BE14" s="59">
        <v>0</v>
      </c>
      <c r="BF14" s="59">
        <f>L14</f>
        <v>0.1231956</v>
      </c>
      <c r="BH14" s="59">
        <f>G14*AO14</f>
        <v>0</v>
      </c>
      <c r="BI14" s="59">
        <f>G14*AP14</f>
        <v>0</v>
      </c>
      <c r="BJ14" s="59">
        <f>G14*H14</f>
        <v>0</v>
      </c>
      <c r="BK14" s="59"/>
      <c r="BL14" s="59">
        <v>60</v>
      </c>
      <c r="BW14" s="59">
        <v>12</v>
      </c>
      <c r="BX14" s="16" t="s">
        <v>113</v>
      </c>
    </row>
    <row r="15" spans="1:76" ht="13.5" customHeight="1" x14ac:dyDescent="0.25">
      <c r="A15" s="62"/>
      <c r="D15" s="105" t="s">
        <v>119</v>
      </c>
      <c r="E15" s="105"/>
      <c r="F15" s="105"/>
      <c r="G15" s="105"/>
      <c r="H15" s="105"/>
      <c r="I15" s="105"/>
      <c r="J15" s="105"/>
      <c r="K15" s="105"/>
      <c r="L15" s="105"/>
      <c r="M15" s="105"/>
    </row>
    <row r="16" spans="1:76" x14ac:dyDescent="0.25">
      <c r="A16" s="62"/>
      <c r="D16" s="63" t="s">
        <v>120</v>
      </c>
      <c r="E16" s="63"/>
      <c r="G16" s="64">
        <v>26.84</v>
      </c>
      <c r="M16" s="65"/>
    </row>
    <row r="17" spans="1:76" ht="15" customHeight="1" x14ac:dyDescent="0.25">
      <c r="A17" s="58" t="s">
        <v>121</v>
      </c>
      <c r="B17" s="18" t="s">
        <v>488</v>
      </c>
      <c r="C17" s="18" t="s">
        <v>122</v>
      </c>
      <c r="D17" s="8" t="s">
        <v>123</v>
      </c>
      <c r="E17" s="8"/>
      <c r="F17" s="18" t="s">
        <v>114</v>
      </c>
      <c r="G17" s="59">
        <f>'Stavební rozpočet'!G396</f>
        <v>53.68</v>
      </c>
      <c r="H17" s="59">
        <f>'Stavební rozpočet'!H396</f>
        <v>0</v>
      </c>
      <c r="I17" s="59">
        <f>ROUND(G17*H17,2)</f>
        <v>0</v>
      </c>
      <c r="J17" s="59">
        <f>'Stavební rozpočet'!J396</f>
        <v>4.6999999999999999E-4</v>
      </c>
      <c r="K17" s="59">
        <f>'Stavební rozpočet'!K396</f>
        <v>4.6999999999999999E-4</v>
      </c>
      <c r="L17" s="59">
        <f>G17*K17</f>
        <v>2.5229599999999998E-2</v>
      </c>
      <c r="M17" s="60" t="s">
        <v>115</v>
      </c>
      <c r="Z17" s="59">
        <f>ROUND(IF(AQ17="5",BJ17,0),2)</f>
        <v>0</v>
      </c>
      <c r="AB17" s="59">
        <f>ROUND(IF(AQ17="1",BH17,0),2)</f>
        <v>0</v>
      </c>
      <c r="AC17" s="59">
        <f>ROUND(IF(AQ17="1",BI17,0),2)</f>
        <v>0</v>
      </c>
      <c r="AD17" s="59">
        <f>ROUND(IF(AQ17="7",BH17,0),2)</f>
        <v>0</v>
      </c>
      <c r="AE17" s="59">
        <f>ROUND(IF(AQ17="7",BI17,0),2)</f>
        <v>0</v>
      </c>
      <c r="AF17" s="59">
        <f>ROUND(IF(AQ17="2",BH17,0),2)</f>
        <v>0</v>
      </c>
      <c r="AG17" s="59">
        <f>ROUND(IF(AQ17="2",BI17,0),2)</f>
        <v>0</v>
      </c>
      <c r="AH17" s="59">
        <f>ROUND(IF(AQ17="0",BJ17,0),2)</f>
        <v>0</v>
      </c>
      <c r="AI17" s="46" t="s">
        <v>488</v>
      </c>
      <c r="AJ17" s="59">
        <f>IF(AN17=0,I17,0)</f>
        <v>0</v>
      </c>
      <c r="AK17" s="59">
        <f>IF(AN17=12,I17,0)</f>
        <v>0</v>
      </c>
      <c r="AL17" s="59">
        <f>IF(AN17=21,I17,0)</f>
        <v>0</v>
      </c>
      <c r="AN17" s="59">
        <v>12</v>
      </c>
      <c r="AO17" s="59">
        <f>H17*0.50964582</f>
        <v>0</v>
      </c>
      <c r="AP17" s="59">
        <f>H17*(1-0.50964582)</f>
        <v>0</v>
      </c>
      <c r="AQ17" s="61" t="s">
        <v>111</v>
      </c>
      <c r="AV17" s="59">
        <f>ROUND(AW17+AX17,2)</f>
        <v>0</v>
      </c>
      <c r="AW17" s="59">
        <f>ROUND(G17*AO17,2)</f>
        <v>0</v>
      </c>
      <c r="AX17" s="59">
        <f>ROUND(G17*AP17,2)</f>
        <v>0</v>
      </c>
      <c r="AY17" s="61" t="s">
        <v>116</v>
      </c>
      <c r="AZ17" s="61" t="s">
        <v>490</v>
      </c>
      <c r="BA17" s="46" t="s">
        <v>491</v>
      </c>
      <c r="BC17" s="59">
        <f>AW17+AX17</f>
        <v>0</v>
      </c>
      <c r="BD17" s="59">
        <f>H17/(100-BE17)*100</f>
        <v>0</v>
      </c>
      <c r="BE17" s="59">
        <v>0</v>
      </c>
      <c r="BF17" s="59">
        <f>L17</f>
        <v>2.5229599999999998E-2</v>
      </c>
      <c r="BH17" s="59">
        <f>G17*AO17</f>
        <v>0</v>
      </c>
      <c r="BI17" s="59">
        <f>G17*AP17</f>
        <v>0</v>
      </c>
      <c r="BJ17" s="59">
        <f>G17*H17</f>
        <v>0</v>
      </c>
      <c r="BK17" s="59"/>
      <c r="BL17" s="59">
        <v>60</v>
      </c>
      <c r="BW17" s="59">
        <v>12</v>
      </c>
      <c r="BX17" s="16" t="s">
        <v>123</v>
      </c>
    </row>
    <row r="18" spans="1:76" x14ac:dyDescent="0.25">
      <c r="A18" s="62"/>
      <c r="D18" s="63" t="s">
        <v>124</v>
      </c>
      <c r="E18" s="63"/>
      <c r="G18" s="64">
        <v>53.68</v>
      </c>
      <c r="M18" s="65"/>
    </row>
    <row r="19" spans="1:76" ht="15" customHeight="1" x14ac:dyDescent="0.25">
      <c r="A19" s="54"/>
      <c r="B19" s="55" t="s">
        <v>488</v>
      </c>
      <c r="C19" s="55" t="s">
        <v>125</v>
      </c>
      <c r="D19" s="104" t="s">
        <v>126</v>
      </c>
      <c r="E19" s="104"/>
      <c r="F19" s="56" t="s">
        <v>88</v>
      </c>
      <c r="G19" s="56" t="s">
        <v>88</v>
      </c>
      <c r="H19" s="56" t="s">
        <v>88</v>
      </c>
      <c r="I19" s="39">
        <f>SUM(I20:I25)</f>
        <v>0</v>
      </c>
      <c r="J19" s="46"/>
      <c r="K19" s="46"/>
      <c r="L19" s="39">
        <f>SUM(L20:L25)</f>
        <v>0.98595199999999994</v>
      </c>
      <c r="M19" s="57"/>
      <c r="AI19" s="46" t="s">
        <v>488</v>
      </c>
      <c r="AS19" s="39">
        <f>SUM(AJ20:AJ25)</f>
        <v>0</v>
      </c>
      <c r="AT19" s="39">
        <f>SUM(AK20:AK25)</f>
        <v>0</v>
      </c>
      <c r="AU19" s="39">
        <f>SUM(AL20:AL25)</f>
        <v>0</v>
      </c>
    </row>
    <row r="20" spans="1:76" ht="15" customHeight="1" x14ac:dyDescent="0.25">
      <c r="A20" s="58" t="s">
        <v>127</v>
      </c>
      <c r="B20" s="18" t="s">
        <v>488</v>
      </c>
      <c r="C20" s="18" t="s">
        <v>128</v>
      </c>
      <c r="D20" s="8" t="s">
        <v>129</v>
      </c>
      <c r="E20" s="8"/>
      <c r="F20" s="18" t="s">
        <v>114</v>
      </c>
      <c r="G20" s="59">
        <f>'Stavební rozpočet'!G399</f>
        <v>27.2</v>
      </c>
      <c r="H20" s="59">
        <f>'Stavební rozpočet'!H399</f>
        <v>0</v>
      </c>
      <c r="I20" s="59">
        <f>ROUND(G20*H20,2)</f>
        <v>0</v>
      </c>
      <c r="J20" s="59">
        <f>'Stavební rozpočet'!J399</f>
        <v>3.5659999999999997E-2</v>
      </c>
      <c r="K20" s="59">
        <f>'Stavební rozpočet'!K399</f>
        <v>3.5659999999999997E-2</v>
      </c>
      <c r="L20" s="59">
        <f>G20*K20</f>
        <v>0.96995199999999993</v>
      </c>
      <c r="M20" s="60" t="s">
        <v>115</v>
      </c>
      <c r="Z20" s="59">
        <f>ROUND(IF(AQ20="5",BJ20,0),2)</f>
        <v>0</v>
      </c>
      <c r="AB20" s="59">
        <f>ROUND(IF(AQ20="1",BH20,0),2)</f>
        <v>0</v>
      </c>
      <c r="AC20" s="59">
        <f>ROUND(IF(AQ20="1",BI20,0),2)</f>
        <v>0</v>
      </c>
      <c r="AD20" s="59">
        <f>ROUND(IF(AQ20="7",BH20,0),2)</f>
        <v>0</v>
      </c>
      <c r="AE20" s="59">
        <f>ROUND(IF(AQ20="7",BI20,0),2)</f>
        <v>0</v>
      </c>
      <c r="AF20" s="59">
        <f>ROUND(IF(AQ20="2",BH20,0),2)</f>
        <v>0</v>
      </c>
      <c r="AG20" s="59">
        <f>ROUND(IF(AQ20="2",BI20,0),2)</f>
        <v>0</v>
      </c>
      <c r="AH20" s="59">
        <f>ROUND(IF(AQ20="0",BJ20,0),2)</f>
        <v>0</v>
      </c>
      <c r="AI20" s="46" t="s">
        <v>488</v>
      </c>
      <c r="AJ20" s="59">
        <f>IF(AN20=0,I20,0)</f>
        <v>0</v>
      </c>
      <c r="AK20" s="59">
        <f>IF(AN20=12,I20,0)</f>
        <v>0</v>
      </c>
      <c r="AL20" s="59">
        <f>IF(AN20=21,I20,0)</f>
        <v>0</v>
      </c>
      <c r="AN20" s="59">
        <v>12</v>
      </c>
      <c r="AO20" s="59">
        <f>H20*0.283684274</f>
        <v>0</v>
      </c>
      <c r="AP20" s="59">
        <f>H20*(1-0.283684274)</f>
        <v>0</v>
      </c>
      <c r="AQ20" s="61" t="s">
        <v>111</v>
      </c>
      <c r="AV20" s="59">
        <f>ROUND(AW20+AX20,2)</f>
        <v>0</v>
      </c>
      <c r="AW20" s="59">
        <f>ROUND(G20*AO20,2)</f>
        <v>0</v>
      </c>
      <c r="AX20" s="59">
        <f>ROUND(G20*AP20,2)</f>
        <v>0</v>
      </c>
      <c r="AY20" s="61" t="s">
        <v>130</v>
      </c>
      <c r="AZ20" s="61" t="s">
        <v>490</v>
      </c>
      <c r="BA20" s="46" t="s">
        <v>491</v>
      </c>
      <c r="BC20" s="59">
        <f>AW20+AX20</f>
        <v>0</v>
      </c>
      <c r="BD20" s="59">
        <f>H20/(100-BE20)*100</f>
        <v>0</v>
      </c>
      <c r="BE20" s="59">
        <v>0</v>
      </c>
      <c r="BF20" s="59">
        <f>L20</f>
        <v>0.96995199999999993</v>
      </c>
      <c r="BH20" s="59">
        <f>G20*AO20</f>
        <v>0</v>
      </c>
      <c r="BI20" s="59">
        <f>G20*AP20</f>
        <v>0</v>
      </c>
      <c r="BJ20" s="59">
        <f>G20*H20</f>
        <v>0</v>
      </c>
      <c r="BK20" s="59"/>
      <c r="BL20" s="59">
        <v>61</v>
      </c>
      <c r="BW20" s="59">
        <v>12</v>
      </c>
      <c r="BX20" s="16" t="s">
        <v>129</v>
      </c>
    </row>
    <row r="21" spans="1:76" ht="13.5" customHeight="1" x14ac:dyDescent="0.25">
      <c r="A21" s="62"/>
      <c r="D21" s="105" t="s">
        <v>131</v>
      </c>
      <c r="E21" s="105"/>
      <c r="F21" s="105"/>
      <c r="G21" s="105"/>
      <c r="H21" s="105"/>
      <c r="I21" s="105"/>
      <c r="J21" s="105"/>
      <c r="K21" s="105"/>
      <c r="L21" s="105"/>
      <c r="M21" s="105"/>
    </row>
    <row r="22" spans="1:76" x14ac:dyDescent="0.25">
      <c r="A22" s="62"/>
      <c r="D22" s="63" t="s">
        <v>492</v>
      </c>
      <c r="E22" s="63"/>
      <c r="G22" s="64">
        <v>27.2</v>
      </c>
      <c r="M22" s="65"/>
    </row>
    <row r="23" spans="1:76" ht="15" customHeight="1" x14ac:dyDescent="0.25">
      <c r="A23" s="58" t="s">
        <v>133</v>
      </c>
      <c r="B23" s="18" t="s">
        <v>488</v>
      </c>
      <c r="C23" s="18" t="s">
        <v>134</v>
      </c>
      <c r="D23" s="8" t="s">
        <v>135</v>
      </c>
      <c r="E23" s="8"/>
      <c r="F23" s="18" t="s">
        <v>114</v>
      </c>
      <c r="G23" s="59">
        <f>'Stavební rozpočet'!G401</f>
        <v>60</v>
      </c>
      <c r="H23" s="59">
        <f>'Stavební rozpočet'!H401</f>
        <v>0</v>
      </c>
      <c r="I23" s="59">
        <f>ROUND(G23*H23,2)</f>
        <v>0</v>
      </c>
      <c r="J23" s="59">
        <f>'Stavební rozpočet'!J401</f>
        <v>4.0000000000000003E-5</v>
      </c>
      <c r="K23" s="59">
        <f>'Stavební rozpočet'!K401</f>
        <v>4.0000000000000003E-5</v>
      </c>
      <c r="L23" s="59">
        <f>G23*K23</f>
        <v>2.4000000000000002E-3</v>
      </c>
      <c r="M23" s="60" t="s">
        <v>115</v>
      </c>
      <c r="Z23" s="59">
        <f>ROUND(IF(AQ23="5",BJ23,0),2)</f>
        <v>0</v>
      </c>
      <c r="AB23" s="59">
        <f>ROUND(IF(AQ23="1",BH23,0),2)</f>
        <v>0</v>
      </c>
      <c r="AC23" s="59">
        <f>ROUND(IF(AQ23="1",BI23,0),2)</f>
        <v>0</v>
      </c>
      <c r="AD23" s="59">
        <f>ROUND(IF(AQ23="7",BH23,0),2)</f>
        <v>0</v>
      </c>
      <c r="AE23" s="59">
        <f>ROUND(IF(AQ23="7",BI23,0),2)</f>
        <v>0</v>
      </c>
      <c r="AF23" s="59">
        <f>ROUND(IF(AQ23="2",BH23,0),2)</f>
        <v>0</v>
      </c>
      <c r="AG23" s="59">
        <f>ROUND(IF(AQ23="2",BI23,0),2)</f>
        <v>0</v>
      </c>
      <c r="AH23" s="59">
        <f>ROUND(IF(AQ23="0",BJ23,0),2)</f>
        <v>0</v>
      </c>
      <c r="AI23" s="46" t="s">
        <v>488</v>
      </c>
      <c r="AJ23" s="59">
        <f>IF(AN23=0,I23,0)</f>
        <v>0</v>
      </c>
      <c r="AK23" s="59">
        <f>IF(AN23=12,I23,0)</f>
        <v>0</v>
      </c>
      <c r="AL23" s="59">
        <f>IF(AN23=21,I23,0)</f>
        <v>0</v>
      </c>
      <c r="AN23" s="59">
        <v>12</v>
      </c>
      <c r="AO23" s="59">
        <f>H23*0.267962042</f>
        <v>0</v>
      </c>
      <c r="AP23" s="59">
        <f>H23*(1-0.267962042)</f>
        <v>0</v>
      </c>
      <c r="AQ23" s="61" t="s">
        <v>111</v>
      </c>
      <c r="AV23" s="59">
        <f>ROUND(AW23+AX23,2)</f>
        <v>0</v>
      </c>
      <c r="AW23" s="59">
        <f>ROUND(G23*AO23,2)</f>
        <v>0</v>
      </c>
      <c r="AX23" s="59">
        <f>ROUND(G23*AP23,2)</f>
        <v>0</v>
      </c>
      <c r="AY23" s="61" t="s">
        <v>130</v>
      </c>
      <c r="AZ23" s="61" t="s">
        <v>490</v>
      </c>
      <c r="BA23" s="46" t="s">
        <v>491</v>
      </c>
      <c r="BC23" s="59">
        <f>AW23+AX23</f>
        <v>0</v>
      </c>
      <c r="BD23" s="59">
        <f>H23/(100-BE23)*100</f>
        <v>0</v>
      </c>
      <c r="BE23" s="59">
        <v>0</v>
      </c>
      <c r="BF23" s="59">
        <f>L23</f>
        <v>2.4000000000000002E-3</v>
      </c>
      <c r="BH23" s="59">
        <f>G23*AO23</f>
        <v>0</v>
      </c>
      <c r="BI23" s="59">
        <f>G23*AP23</f>
        <v>0</v>
      </c>
      <c r="BJ23" s="59">
        <f>G23*H23</f>
        <v>0</v>
      </c>
      <c r="BK23" s="59"/>
      <c r="BL23" s="59">
        <v>61</v>
      </c>
      <c r="BW23" s="59">
        <v>12</v>
      </c>
      <c r="BX23" s="16" t="s">
        <v>135</v>
      </c>
    </row>
    <row r="24" spans="1:76" x14ac:dyDescent="0.25">
      <c r="A24" s="62"/>
      <c r="D24" s="63" t="s">
        <v>493</v>
      </c>
      <c r="E24" s="63"/>
      <c r="G24" s="64">
        <v>60</v>
      </c>
      <c r="M24" s="65"/>
    </row>
    <row r="25" spans="1:76" ht="15" customHeight="1" x14ac:dyDescent="0.25">
      <c r="A25" s="58" t="s">
        <v>137</v>
      </c>
      <c r="B25" s="18" t="s">
        <v>488</v>
      </c>
      <c r="C25" s="18" t="s">
        <v>138</v>
      </c>
      <c r="D25" s="8" t="s">
        <v>139</v>
      </c>
      <c r="E25" s="8"/>
      <c r="F25" s="18" t="s">
        <v>140</v>
      </c>
      <c r="G25" s="59">
        <f>'Stavební rozpočet'!G403</f>
        <v>136</v>
      </c>
      <c r="H25" s="59">
        <f>'Stavební rozpočet'!H403</f>
        <v>0</v>
      </c>
      <c r="I25" s="59">
        <f>ROUND(G25*H25,2)</f>
        <v>0</v>
      </c>
      <c r="J25" s="59">
        <f>'Stavební rozpočet'!J403</f>
        <v>1E-4</v>
      </c>
      <c r="K25" s="59">
        <f>'Stavební rozpočet'!K403</f>
        <v>1E-4</v>
      </c>
      <c r="L25" s="59">
        <f>G25*K25</f>
        <v>1.3600000000000001E-2</v>
      </c>
      <c r="M25" s="60" t="s">
        <v>115</v>
      </c>
      <c r="Z25" s="59">
        <f>ROUND(IF(AQ25="5",BJ25,0),2)</f>
        <v>0</v>
      </c>
      <c r="AB25" s="59">
        <f>ROUND(IF(AQ25="1",BH25,0),2)</f>
        <v>0</v>
      </c>
      <c r="AC25" s="59">
        <f>ROUND(IF(AQ25="1",BI25,0),2)</f>
        <v>0</v>
      </c>
      <c r="AD25" s="59">
        <f>ROUND(IF(AQ25="7",BH25,0),2)</f>
        <v>0</v>
      </c>
      <c r="AE25" s="59">
        <f>ROUND(IF(AQ25="7",BI25,0),2)</f>
        <v>0</v>
      </c>
      <c r="AF25" s="59">
        <f>ROUND(IF(AQ25="2",BH25,0),2)</f>
        <v>0</v>
      </c>
      <c r="AG25" s="59">
        <f>ROUND(IF(AQ25="2",BI25,0),2)</f>
        <v>0</v>
      </c>
      <c r="AH25" s="59">
        <f>ROUND(IF(AQ25="0",BJ25,0),2)</f>
        <v>0</v>
      </c>
      <c r="AI25" s="46" t="s">
        <v>488</v>
      </c>
      <c r="AJ25" s="59">
        <f>IF(AN25=0,I25,0)</f>
        <v>0</v>
      </c>
      <c r="AK25" s="59">
        <f>IF(AN25=12,I25,0)</f>
        <v>0</v>
      </c>
      <c r="AL25" s="59">
        <f>IF(AN25=21,I25,0)</f>
        <v>0</v>
      </c>
      <c r="AN25" s="59">
        <v>12</v>
      </c>
      <c r="AO25" s="59">
        <f>H25*0.367459878</f>
        <v>0</v>
      </c>
      <c r="AP25" s="59">
        <f>H25*(1-0.367459878)</f>
        <v>0</v>
      </c>
      <c r="AQ25" s="61" t="s">
        <v>111</v>
      </c>
      <c r="AV25" s="59">
        <f>ROUND(AW25+AX25,2)</f>
        <v>0</v>
      </c>
      <c r="AW25" s="59">
        <f>ROUND(G25*AO25,2)</f>
        <v>0</v>
      </c>
      <c r="AX25" s="59">
        <f>ROUND(G25*AP25,2)</f>
        <v>0</v>
      </c>
      <c r="AY25" s="61" t="s">
        <v>130</v>
      </c>
      <c r="AZ25" s="61" t="s">
        <v>490</v>
      </c>
      <c r="BA25" s="46" t="s">
        <v>491</v>
      </c>
      <c r="BC25" s="59">
        <f>AW25+AX25</f>
        <v>0</v>
      </c>
      <c r="BD25" s="59">
        <f>H25/(100-BE25)*100</f>
        <v>0</v>
      </c>
      <c r="BE25" s="59">
        <v>0</v>
      </c>
      <c r="BF25" s="59">
        <f>L25</f>
        <v>1.3600000000000001E-2</v>
      </c>
      <c r="BH25" s="59">
        <f>G25*AO25</f>
        <v>0</v>
      </c>
      <c r="BI25" s="59">
        <f>G25*AP25</f>
        <v>0</v>
      </c>
      <c r="BJ25" s="59">
        <f>G25*H25</f>
        <v>0</v>
      </c>
      <c r="BK25" s="59"/>
      <c r="BL25" s="59">
        <v>61</v>
      </c>
      <c r="BW25" s="59">
        <v>12</v>
      </c>
      <c r="BX25" s="16" t="s">
        <v>139</v>
      </c>
    </row>
    <row r="26" spans="1:76" ht="13.5" customHeight="1" x14ac:dyDescent="0.25">
      <c r="A26" s="62"/>
      <c r="D26" s="105" t="s">
        <v>141</v>
      </c>
      <c r="E26" s="105"/>
      <c r="F26" s="105"/>
      <c r="G26" s="105"/>
      <c r="H26" s="105"/>
      <c r="I26" s="105"/>
      <c r="J26" s="105"/>
      <c r="K26" s="105"/>
      <c r="L26" s="105"/>
      <c r="M26" s="105"/>
    </row>
    <row r="27" spans="1:76" x14ac:dyDescent="0.25">
      <c r="A27" s="62"/>
      <c r="D27" s="63" t="s">
        <v>494</v>
      </c>
      <c r="E27" s="63"/>
      <c r="G27" s="64">
        <v>136</v>
      </c>
      <c r="M27" s="65"/>
    </row>
    <row r="28" spans="1:76" ht="15" customHeight="1" x14ac:dyDescent="0.25">
      <c r="A28" s="54"/>
      <c r="B28" s="55" t="s">
        <v>488</v>
      </c>
      <c r="C28" s="55" t="s">
        <v>143</v>
      </c>
      <c r="D28" s="104" t="s">
        <v>144</v>
      </c>
      <c r="E28" s="104"/>
      <c r="F28" s="56" t="s">
        <v>88</v>
      </c>
      <c r="G28" s="56" t="s">
        <v>88</v>
      </c>
      <c r="H28" s="56" t="s">
        <v>88</v>
      </c>
      <c r="I28" s="39">
        <f>SUM(I29:I34)</f>
        <v>0</v>
      </c>
      <c r="J28" s="46"/>
      <c r="K28" s="46"/>
      <c r="L28" s="39">
        <f>SUM(L29:L34)</f>
        <v>0.38913170000000002</v>
      </c>
      <c r="M28" s="57"/>
      <c r="AI28" s="46" t="s">
        <v>488</v>
      </c>
      <c r="AS28" s="39">
        <f>SUM(AJ29:AJ34)</f>
        <v>0</v>
      </c>
      <c r="AT28" s="39">
        <f>SUM(AK29:AK34)</f>
        <v>0</v>
      </c>
      <c r="AU28" s="39">
        <f>SUM(AL29:AL34)</f>
        <v>0</v>
      </c>
    </row>
    <row r="29" spans="1:76" ht="15" customHeight="1" x14ac:dyDescent="0.25">
      <c r="A29" s="58" t="s">
        <v>145</v>
      </c>
      <c r="B29" s="18" t="s">
        <v>488</v>
      </c>
      <c r="C29" s="18" t="s">
        <v>146</v>
      </c>
      <c r="D29" s="8" t="s">
        <v>147</v>
      </c>
      <c r="E29" s="8"/>
      <c r="F29" s="18" t="s">
        <v>114</v>
      </c>
      <c r="G29" s="59">
        <f>'Stavební rozpočet'!G406</f>
        <v>26.835000000000001</v>
      </c>
      <c r="H29" s="59">
        <f>'Stavební rozpočet'!H406</f>
        <v>0</v>
      </c>
      <c r="I29" s="59">
        <f>ROUND(G29*H29,2)</f>
        <v>0</v>
      </c>
      <c r="J29" s="59">
        <f>'Stavební rozpočet'!J406</f>
        <v>9.6600000000000002E-3</v>
      </c>
      <c r="K29" s="59">
        <f>'Stavební rozpočet'!K406</f>
        <v>9.6600000000000002E-3</v>
      </c>
      <c r="L29" s="59">
        <f>G29*K29</f>
        <v>0.25922610000000001</v>
      </c>
      <c r="M29" s="60" t="s">
        <v>115</v>
      </c>
      <c r="Z29" s="59">
        <f>ROUND(IF(AQ29="5",BJ29,0),2)</f>
        <v>0</v>
      </c>
      <c r="AB29" s="59">
        <f>ROUND(IF(AQ29="1",BH29,0),2)</f>
        <v>0</v>
      </c>
      <c r="AC29" s="59">
        <f>ROUND(IF(AQ29="1",BI29,0),2)</f>
        <v>0</v>
      </c>
      <c r="AD29" s="59">
        <f>ROUND(IF(AQ29="7",BH29,0),2)</f>
        <v>0</v>
      </c>
      <c r="AE29" s="59">
        <f>ROUND(IF(AQ29="7",BI29,0),2)</f>
        <v>0</v>
      </c>
      <c r="AF29" s="59">
        <f>ROUND(IF(AQ29="2",BH29,0),2)</f>
        <v>0</v>
      </c>
      <c r="AG29" s="59">
        <f>ROUND(IF(AQ29="2",BI29,0),2)</f>
        <v>0</v>
      </c>
      <c r="AH29" s="59">
        <f>ROUND(IF(AQ29="0",BJ29,0),2)</f>
        <v>0</v>
      </c>
      <c r="AI29" s="46" t="s">
        <v>488</v>
      </c>
      <c r="AJ29" s="59">
        <f>IF(AN29=0,I29,0)</f>
        <v>0</v>
      </c>
      <c r="AK29" s="59">
        <f>IF(AN29=12,I29,0)</f>
        <v>0</v>
      </c>
      <c r="AL29" s="59">
        <f>IF(AN29=21,I29,0)</f>
        <v>0</v>
      </c>
      <c r="AN29" s="59">
        <v>12</v>
      </c>
      <c r="AO29" s="59">
        <f>H29*0.218564986</f>
        <v>0</v>
      </c>
      <c r="AP29" s="59">
        <f>H29*(1-0.218564986)</f>
        <v>0</v>
      </c>
      <c r="AQ29" s="61" t="s">
        <v>111</v>
      </c>
      <c r="AV29" s="59">
        <f>ROUND(AW29+AX29,2)</f>
        <v>0</v>
      </c>
      <c r="AW29" s="59">
        <f>ROUND(G29*AO29,2)</f>
        <v>0</v>
      </c>
      <c r="AX29" s="59">
        <f>ROUND(G29*AP29,2)</f>
        <v>0</v>
      </c>
      <c r="AY29" s="61" t="s">
        <v>148</v>
      </c>
      <c r="AZ29" s="61" t="s">
        <v>490</v>
      </c>
      <c r="BA29" s="46" t="s">
        <v>491</v>
      </c>
      <c r="BC29" s="59">
        <f>AW29+AX29</f>
        <v>0</v>
      </c>
      <c r="BD29" s="59">
        <f>H29/(100-BE29)*100</f>
        <v>0</v>
      </c>
      <c r="BE29" s="59">
        <v>0</v>
      </c>
      <c r="BF29" s="59">
        <f>L29</f>
        <v>0.25922610000000001</v>
      </c>
      <c r="BH29" s="59">
        <f>G29*AO29</f>
        <v>0</v>
      </c>
      <c r="BI29" s="59">
        <f>G29*AP29</f>
        <v>0</v>
      </c>
      <c r="BJ29" s="59">
        <f>G29*H29</f>
        <v>0</v>
      </c>
      <c r="BK29" s="59"/>
      <c r="BL29" s="59">
        <v>62</v>
      </c>
      <c r="BW29" s="59">
        <v>12</v>
      </c>
      <c r="BX29" s="16" t="s">
        <v>147</v>
      </c>
    </row>
    <row r="30" spans="1:76" x14ac:dyDescent="0.25">
      <c r="A30" s="62"/>
      <c r="D30" s="63" t="s">
        <v>149</v>
      </c>
      <c r="E30" s="63"/>
      <c r="G30" s="64">
        <v>26.835000000000001</v>
      </c>
      <c r="M30" s="65"/>
    </row>
    <row r="31" spans="1:76" ht="15" customHeight="1" x14ac:dyDescent="0.25">
      <c r="A31" s="58" t="s">
        <v>150</v>
      </c>
      <c r="B31" s="18" t="s">
        <v>488</v>
      </c>
      <c r="C31" s="18" t="s">
        <v>151</v>
      </c>
      <c r="D31" s="8" t="s">
        <v>152</v>
      </c>
      <c r="E31" s="8"/>
      <c r="F31" s="18" t="s">
        <v>114</v>
      </c>
      <c r="G31" s="59">
        <f>'Stavební rozpočet'!G408</f>
        <v>26.84</v>
      </c>
      <c r="H31" s="59">
        <f>'Stavební rozpočet'!H408</f>
        <v>0</v>
      </c>
      <c r="I31" s="59">
        <f>ROUND(G31*H31,2)</f>
        <v>0</v>
      </c>
      <c r="J31" s="59">
        <f>'Stavební rozpočet'!J408</f>
        <v>4.3099999999999996E-3</v>
      </c>
      <c r="K31" s="59">
        <f>'Stavební rozpočet'!K408</f>
        <v>4.3099999999999996E-3</v>
      </c>
      <c r="L31" s="59">
        <f>G31*K31</f>
        <v>0.11568039999999999</v>
      </c>
      <c r="M31" s="60" t="s">
        <v>115</v>
      </c>
      <c r="Z31" s="59">
        <f>ROUND(IF(AQ31="5",BJ31,0),2)</f>
        <v>0</v>
      </c>
      <c r="AB31" s="59">
        <f>ROUND(IF(AQ31="1",BH31,0),2)</f>
        <v>0</v>
      </c>
      <c r="AC31" s="59">
        <f>ROUND(IF(AQ31="1",BI31,0),2)</f>
        <v>0</v>
      </c>
      <c r="AD31" s="59">
        <f>ROUND(IF(AQ31="7",BH31,0),2)</f>
        <v>0</v>
      </c>
      <c r="AE31" s="59">
        <f>ROUND(IF(AQ31="7",BI31,0),2)</f>
        <v>0</v>
      </c>
      <c r="AF31" s="59">
        <f>ROUND(IF(AQ31="2",BH31,0),2)</f>
        <v>0</v>
      </c>
      <c r="AG31" s="59">
        <f>ROUND(IF(AQ31="2",BI31,0),2)</f>
        <v>0</v>
      </c>
      <c r="AH31" s="59">
        <f>ROUND(IF(AQ31="0",BJ31,0),2)</f>
        <v>0</v>
      </c>
      <c r="AI31" s="46" t="s">
        <v>488</v>
      </c>
      <c r="AJ31" s="59">
        <f>IF(AN31=0,I31,0)</f>
        <v>0</v>
      </c>
      <c r="AK31" s="59">
        <f>IF(AN31=12,I31,0)</f>
        <v>0</v>
      </c>
      <c r="AL31" s="59">
        <f>IF(AN31=21,I31,0)</f>
        <v>0</v>
      </c>
      <c r="AN31" s="59">
        <v>12</v>
      </c>
      <c r="AO31" s="59">
        <f>H31*0.224526803</f>
        <v>0</v>
      </c>
      <c r="AP31" s="59">
        <f>H31*(1-0.224526803)</f>
        <v>0</v>
      </c>
      <c r="AQ31" s="61" t="s">
        <v>111</v>
      </c>
      <c r="AV31" s="59">
        <f>ROUND(AW31+AX31,2)</f>
        <v>0</v>
      </c>
      <c r="AW31" s="59">
        <f>ROUND(G31*AO31,2)</f>
        <v>0</v>
      </c>
      <c r="AX31" s="59">
        <f>ROUND(G31*AP31,2)</f>
        <v>0</v>
      </c>
      <c r="AY31" s="61" t="s">
        <v>148</v>
      </c>
      <c r="AZ31" s="61" t="s">
        <v>490</v>
      </c>
      <c r="BA31" s="46" t="s">
        <v>491</v>
      </c>
      <c r="BC31" s="59">
        <f>AW31+AX31</f>
        <v>0</v>
      </c>
      <c r="BD31" s="59">
        <f>H31/(100-BE31)*100</f>
        <v>0</v>
      </c>
      <c r="BE31" s="59">
        <v>0</v>
      </c>
      <c r="BF31" s="59">
        <f>L31</f>
        <v>0.11568039999999999</v>
      </c>
      <c r="BH31" s="59">
        <f>G31*AO31</f>
        <v>0</v>
      </c>
      <c r="BI31" s="59">
        <f>G31*AP31</f>
        <v>0</v>
      </c>
      <c r="BJ31" s="59">
        <f>G31*H31</f>
        <v>0</v>
      </c>
      <c r="BK31" s="59"/>
      <c r="BL31" s="59">
        <v>62</v>
      </c>
      <c r="BW31" s="59">
        <v>12</v>
      </c>
      <c r="BX31" s="16" t="s">
        <v>152</v>
      </c>
    </row>
    <row r="32" spans="1:76" ht="13.5" customHeight="1" x14ac:dyDescent="0.25">
      <c r="A32" s="62"/>
      <c r="D32" s="105" t="s">
        <v>153</v>
      </c>
      <c r="E32" s="105"/>
      <c r="F32" s="105"/>
      <c r="G32" s="105"/>
      <c r="H32" s="105"/>
      <c r="I32" s="105"/>
      <c r="J32" s="105"/>
      <c r="K32" s="105"/>
      <c r="L32" s="105"/>
      <c r="M32" s="105"/>
    </row>
    <row r="33" spans="1:76" x14ac:dyDescent="0.25">
      <c r="A33" s="62"/>
      <c r="D33" s="63" t="s">
        <v>120</v>
      </c>
      <c r="E33" s="63"/>
      <c r="G33" s="64">
        <v>26.84</v>
      </c>
      <c r="M33" s="65"/>
    </row>
    <row r="34" spans="1:76" ht="15" customHeight="1" x14ac:dyDescent="0.25">
      <c r="A34" s="58" t="s">
        <v>154</v>
      </c>
      <c r="B34" s="18" t="s">
        <v>488</v>
      </c>
      <c r="C34" s="18" t="s">
        <v>155</v>
      </c>
      <c r="D34" s="8" t="s">
        <v>156</v>
      </c>
      <c r="E34" s="8"/>
      <c r="F34" s="18" t="s">
        <v>114</v>
      </c>
      <c r="G34" s="59">
        <f>'Stavební rozpočet'!G410</f>
        <v>26.84</v>
      </c>
      <c r="H34" s="59">
        <f>'Stavební rozpočet'!H410</f>
        <v>0</v>
      </c>
      <c r="I34" s="59">
        <f>ROUND(G34*H34,2)</f>
        <v>0</v>
      </c>
      <c r="J34" s="59">
        <f>'Stavební rozpočet'!J410</f>
        <v>5.2999999999999998E-4</v>
      </c>
      <c r="K34" s="59">
        <f>'Stavební rozpočet'!K410</f>
        <v>5.2999999999999998E-4</v>
      </c>
      <c r="L34" s="59">
        <f>G34*K34</f>
        <v>1.4225199999999999E-2</v>
      </c>
      <c r="M34" s="60" t="s">
        <v>115</v>
      </c>
      <c r="Z34" s="59">
        <f>ROUND(IF(AQ34="5",BJ34,0),2)</f>
        <v>0</v>
      </c>
      <c r="AB34" s="59">
        <f>ROUND(IF(AQ34="1",BH34,0),2)</f>
        <v>0</v>
      </c>
      <c r="AC34" s="59">
        <f>ROUND(IF(AQ34="1",BI34,0),2)</f>
        <v>0</v>
      </c>
      <c r="AD34" s="59">
        <f>ROUND(IF(AQ34="7",BH34,0),2)</f>
        <v>0</v>
      </c>
      <c r="AE34" s="59">
        <f>ROUND(IF(AQ34="7",BI34,0),2)</f>
        <v>0</v>
      </c>
      <c r="AF34" s="59">
        <f>ROUND(IF(AQ34="2",BH34,0),2)</f>
        <v>0</v>
      </c>
      <c r="AG34" s="59">
        <f>ROUND(IF(AQ34="2",BI34,0),2)</f>
        <v>0</v>
      </c>
      <c r="AH34" s="59">
        <f>ROUND(IF(AQ34="0",BJ34,0),2)</f>
        <v>0</v>
      </c>
      <c r="AI34" s="46" t="s">
        <v>488</v>
      </c>
      <c r="AJ34" s="59">
        <f>IF(AN34=0,I34,0)</f>
        <v>0</v>
      </c>
      <c r="AK34" s="59">
        <f>IF(AN34=12,I34,0)</f>
        <v>0</v>
      </c>
      <c r="AL34" s="59">
        <f>IF(AN34=21,I34,0)</f>
        <v>0</v>
      </c>
      <c r="AN34" s="59">
        <v>12</v>
      </c>
      <c r="AO34" s="59">
        <f>H34*0.475328947</f>
        <v>0</v>
      </c>
      <c r="AP34" s="59">
        <f>H34*(1-0.475328947)</f>
        <v>0</v>
      </c>
      <c r="AQ34" s="61" t="s">
        <v>111</v>
      </c>
      <c r="AV34" s="59">
        <f>ROUND(AW34+AX34,2)</f>
        <v>0</v>
      </c>
      <c r="AW34" s="59">
        <f>ROUND(G34*AO34,2)</f>
        <v>0</v>
      </c>
      <c r="AX34" s="59">
        <f>ROUND(G34*AP34,2)</f>
        <v>0</v>
      </c>
      <c r="AY34" s="61" t="s">
        <v>148</v>
      </c>
      <c r="AZ34" s="61" t="s">
        <v>490</v>
      </c>
      <c r="BA34" s="46" t="s">
        <v>491</v>
      </c>
      <c r="BC34" s="59">
        <f>AW34+AX34</f>
        <v>0</v>
      </c>
      <c r="BD34" s="59">
        <f>H34/(100-BE34)*100</f>
        <v>0</v>
      </c>
      <c r="BE34" s="59">
        <v>0</v>
      </c>
      <c r="BF34" s="59">
        <f>L34</f>
        <v>1.4225199999999999E-2</v>
      </c>
      <c r="BH34" s="59">
        <f>G34*AO34</f>
        <v>0</v>
      </c>
      <c r="BI34" s="59">
        <f>G34*AP34</f>
        <v>0</v>
      </c>
      <c r="BJ34" s="59">
        <f>G34*H34</f>
        <v>0</v>
      </c>
      <c r="BK34" s="59"/>
      <c r="BL34" s="59">
        <v>62</v>
      </c>
      <c r="BW34" s="59">
        <v>12</v>
      </c>
      <c r="BX34" s="16" t="s">
        <v>156</v>
      </c>
    </row>
    <row r="35" spans="1:76" x14ac:dyDescent="0.25">
      <c r="A35" s="62"/>
      <c r="D35" s="63" t="s">
        <v>120</v>
      </c>
      <c r="E35" s="63"/>
      <c r="G35" s="64">
        <v>26.84</v>
      </c>
      <c r="M35" s="65"/>
    </row>
    <row r="36" spans="1:76" ht="15" customHeight="1" x14ac:dyDescent="0.25">
      <c r="A36" s="54"/>
      <c r="B36" s="55" t="s">
        <v>488</v>
      </c>
      <c r="C36" s="55" t="s">
        <v>356</v>
      </c>
      <c r="D36" s="104" t="s">
        <v>357</v>
      </c>
      <c r="E36" s="104"/>
      <c r="F36" s="56" t="s">
        <v>88</v>
      </c>
      <c r="G36" s="56" t="s">
        <v>88</v>
      </c>
      <c r="H36" s="56" t="s">
        <v>88</v>
      </c>
      <c r="I36" s="39">
        <f>SUM(I37:I43)</f>
        <v>0</v>
      </c>
      <c r="J36" s="46"/>
      <c r="K36" s="46"/>
      <c r="L36" s="39">
        <f>SUM(L37:L43)</f>
        <v>2.5745817999999998</v>
      </c>
      <c r="M36" s="57"/>
      <c r="AI36" s="46" t="s">
        <v>488</v>
      </c>
      <c r="AS36" s="39">
        <f>SUM(AJ37:AJ43)</f>
        <v>0</v>
      </c>
      <c r="AT36" s="39">
        <f>SUM(AK37:AK43)</f>
        <v>0</v>
      </c>
      <c r="AU36" s="39">
        <f>SUM(AL37:AL43)</f>
        <v>0</v>
      </c>
    </row>
    <row r="37" spans="1:76" ht="15" customHeight="1" x14ac:dyDescent="0.25">
      <c r="A37" s="58" t="s">
        <v>159</v>
      </c>
      <c r="B37" s="18" t="s">
        <v>488</v>
      </c>
      <c r="C37" s="18" t="s">
        <v>358</v>
      </c>
      <c r="D37" s="8" t="s">
        <v>359</v>
      </c>
      <c r="E37" s="8"/>
      <c r="F37" s="18" t="s">
        <v>360</v>
      </c>
      <c r="G37" s="59">
        <f>'Stavební rozpočet'!G413</f>
        <v>1.115</v>
      </c>
      <c r="H37" s="59">
        <f>'Stavební rozpočet'!H413</f>
        <v>0</v>
      </c>
      <c r="I37" s="59">
        <f>ROUND(G37*H37,2)</f>
        <v>0</v>
      </c>
      <c r="J37" s="59">
        <f>'Stavební rozpočet'!J413</f>
        <v>1.919</v>
      </c>
      <c r="K37" s="59">
        <f>'Stavební rozpočet'!K413</f>
        <v>1.919</v>
      </c>
      <c r="L37" s="59">
        <f>G37*K37</f>
        <v>2.1396850000000001</v>
      </c>
      <c r="M37" s="60" t="s">
        <v>115</v>
      </c>
      <c r="Z37" s="59">
        <f>ROUND(IF(AQ37="5",BJ37,0),2)</f>
        <v>0</v>
      </c>
      <c r="AB37" s="59">
        <f>ROUND(IF(AQ37="1",BH37,0),2)</f>
        <v>0</v>
      </c>
      <c r="AC37" s="59">
        <f>ROUND(IF(AQ37="1",BI37,0),2)</f>
        <v>0</v>
      </c>
      <c r="AD37" s="59">
        <f>ROUND(IF(AQ37="7",BH37,0),2)</f>
        <v>0</v>
      </c>
      <c r="AE37" s="59">
        <f>ROUND(IF(AQ37="7",BI37,0),2)</f>
        <v>0</v>
      </c>
      <c r="AF37" s="59">
        <f>ROUND(IF(AQ37="2",BH37,0),2)</f>
        <v>0</v>
      </c>
      <c r="AG37" s="59">
        <f>ROUND(IF(AQ37="2",BI37,0),2)</f>
        <v>0</v>
      </c>
      <c r="AH37" s="59">
        <f>ROUND(IF(AQ37="0",BJ37,0),2)</f>
        <v>0</v>
      </c>
      <c r="AI37" s="46" t="s">
        <v>488</v>
      </c>
      <c r="AJ37" s="59">
        <f>IF(AN37=0,I37,0)</f>
        <v>0</v>
      </c>
      <c r="AK37" s="59">
        <f>IF(AN37=12,I37,0)</f>
        <v>0</v>
      </c>
      <c r="AL37" s="59">
        <f>IF(AN37=21,I37,0)</f>
        <v>0</v>
      </c>
      <c r="AN37" s="59">
        <v>12</v>
      </c>
      <c r="AO37" s="59">
        <f>H37*0.822201844</f>
        <v>0</v>
      </c>
      <c r="AP37" s="59">
        <f>H37*(1-0.822201844)</f>
        <v>0</v>
      </c>
      <c r="AQ37" s="61" t="s">
        <v>111</v>
      </c>
      <c r="AV37" s="59">
        <f>ROUND(AW37+AX37,2)</f>
        <v>0</v>
      </c>
      <c r="AW37" s="59">
        <f>ROUND(G37*AO37,2)</f>
        <v>0</v>
      </c>
      <c r="AX37" s="59">
        <f>ROUND(G37*AP37,2)</f>
        <v>0</v>
      </c>
      <c r="AY37" s="61" t="s">
        <v>361</v>
      </c>
      <c r="AZ37" s="61" t="s">
        <v>490</v>
      </c>
      <c r="BA37" s="46" t="s">
        <v>491</v>
      </c>
      <c r="BC37" s="59">
        <f>AW37+AX37</f>
        <v>0</v>
      </c>
      <c r="BD37" s="59">
        <f>H37/(100-BE37)*100</f>
        <v>0</v>
      </c>
      <c r="BE37" s="59">
        <v>0</v>
      </c>
      <c r="BF37" s="59">
        <f>L37</f>
        <v>2.1396850000000001</v>
      </c>
      <c r="BH37" s="59">
        <f>G37*AO37</f>
        <v>0</v>
      </c>
      <c r="BI37" s="59">
        <f>G37*AP37</f>
        <v>0</v>
      </c>
      <c r="BJ37" s="59">
        <f>G37*H37</f>
        <v>0</v>
      </c>
      <c r="BK37" s="59"/>
      <c r="BL37" s="59">
        <v>63</v>
      </c>
      <c r="BW37" s="59">
        <v>12</v>
      </c>
      <c r="BX37" s="16" t="s">
        <v>359</v>
      </c>
    </row>
    <row r="38" spans="1:76" x14ac:dyDescent="0.25">
      <c r="A38" s="62"/>
      <c r="D38" s="63" t="s">
        <v>362</v>
      </c>
      <c r="E38" s="63"/>
      <c r="G38" s="64">
        <v>1.115</v>
      </c>
      <c r="M38" s="65"/>
    </row>
    <row r="39" spans="1:76" ht="15" customHeight="1" x14ac:dyDescent="0.25">
      <c r="A39" s="58" t="s">
        <v>167</v>
      </c>
      <c r="B39" s="18" t="s">
        <v>488</v>
      </c>
      <c r="C39" s="18" t="s">
        <v>363</v>
      </c>
      <c r="D39" s="8" t="s">
        <v>364</v>
      </c>
      <c r="E39" s="8"/>
      <c r="F39" s="18" t="s">
        <v>114</v>
      </c>
      <c r="G39" s="59">
        <f>'Stavební rozpočet'!G415</f>
        <v>22.3</v>
      </c>
      <c r="H39" s="59">
        <f>'Stavební rozpočet'!H415</f>
        <v>0</v>
      </c>
      <c r="I39" s="59">
        <f>ROUND(G39*H39,2)</f>
        <v>0</v>
      </c>
      <c r="J39" s="59">
        <f>'Stavební rozpočet'!J415</f>
        <v>1.5959999999999998E-2</v>
      </c>
      <c r="K39" s="59">
        <f>'Stavební rozpočet'!K415</f>
        <v>1.5959999999999998E-2</v>
      </c>
      <c r="L39" s="59">
        <f>G39*K39</f>
        <v>0.355908</v>
      </c>
      <c r="M39" s="60" t="s">
        <v>115</v>
      </c>
      <c r="Z39" s="59">
        <f>ROUND(IF(AQ39="5",BJ39,0),2)</f>
        <v>0</v>
      </c>
      <c r="AB39" s="59">
        <f>ROUND(IF(AQ39="1",BH39,0),2)</f>
        <v>0</v>
      </c>
      <c r="AC39" s="59">
        <f>ROUND(IF(AQ39="1",BI39,0),2)</f>
        <v>0</v>
      </c>
      <c r="AD39" s="59">
        <f>ROUND(IF(AQ39="7",BH39,0),2)</f>
        <v>0</v>
      </c>
      <c r="AE39" s="59">
        <f>ROUND(IF(AQ39="7",BI39,0),2)</f>
        <v>0</v>
      </c>
      <c r="AF39" s="59">
        <f>ROUND(IF(AQ39="2",BH39,0),2)</f>
        <v>0</v>
      </c>
      <c r="AG39" s="59">
        <f>ROUND(IF(AQ39="2",BI39,0),2)</f>
        <v>0</v>
      </c>
      <c r="AH39" s="59">
        <f>ROUND(IF(AQ39="0",BJ39,0),2)</f>
        <v>0</v>
      </c>
      <c r="AI39" s="46" t="s">
        <v>488</v>
      </c>
      <c r="AJ39" s="59">
        <f>IF(AN39=0,I39,0)</f>
        <v>0</v>
      </c>
      <c r="AK39" s="59">
        <f>IF(AN39=12,I39,0)</f>
        <v>0</v>
      </c>
      <c r="AL39" s="59">
        <f>IF(AN39=21,I39,0)</f>
        <v>0</v>
      </c>
      <c r="AN39" s="59">
        <v>12</v>
      </c>
      <c r="AO39" s="59">
        <f>H39*0.665801611</f>
        <v>0</v>
      </c>
      <c r="AP39" s="59">
        <f>H39*(1-0.665801611)</f>
        <v>0</v>
      </c>
      <c r="AQ39" s="61" t="s">
        <v>111</v>
      </c>
      <c r="AV39" s="59">
        <f>ROUND(AW39+AX39,2)</f>
        <v>0</v>
      </c>
      <c r="AW39" s="59">
        <f>ROUND(G39*AO39,2)</f>
        <v>0</v>
      </c>
      <c r="AX39" s="59">
        <f>ROUND(G39*AP39,2)</f>
        <v>0</v>
      </c>
      <c r="AY39" s="61" t="s">
        <v>361</v>
      </c>
      <c r="AZ39" s="61" t="s">
        <v>490</v>
      </c>
      <c r="BA39" s="46" t="s">
        <v>491</v>
      </c>
      <c r="BC39" s="59">
        <f>AW39+AX39</f>
        <v>0</v>
      </c>
      <c r="BD39" s="59">
        <f>H39/(100-BE39)*100</f>
        <v>0</v>
      </c>
      <c r="BE39" s="59">
        <v>0</v>
      </c>
      <c r="BF39" s="59">
        <f>L39</f>
        <v>0.355908</v>
      </c>
      <c r="BH39" s="59">
        <f>G39*AO39</f>
        <v>0</v>
      </c>
      <c r="BI39" s="59">
        <f>G39*AP39</f>
        <v>0</v>
      </c>
      <c r="BJ39" s="59">
        <f>G39*H39</f>
        <v>0</v>
      </c>
      <c r="BK39" s="59"/>
      <c r="BL39" s="59">
        <v>63</v>
      </c>
      <c r="BW39" s="59">
        <v>12</v>
      </c>
      <c r="BX39" s="16" t="s">
        <v>364</v>
      </c>
    </row>
    <row r="40" spans="1:76" x14ac:dyDescent="0.25">
      <c r="A40" s="62"/>
      <c r="D40" s="63" t="s">
        <v>365</v>
      </c>
      <c r="E40" s="63"/>
      <c r="G40" s="64">
        <v>22.3</v>
      </c>
      <c r="M40" s="65"/>
    </row>
    <row r="41" spans="1:76" ht="15" customHeight="1" x14ac:dyDescent="0.25">
      <c r="A41" s="58" t="s">
        <v>172</v>
      </c>
      <c r="B41" s="18" t="s">
        <v>488</v>
      </c>
      <c r="C41" s="18" t="s">
        <v>366</v>
      </c>
      <c r="D41" s="8" t="s">
        <v>367</v>
      </c>
      <c r="E41" s="8"/>
      <c r="F41" s="18" t="s">
        <v>114</v>
      </c>
      <c r="G41" s="59">
        <f>'Stavební rozpočet'!G417</f>
        <v>5.61</v>
      </c>
      <c r="H41" s="59">
        <f>'Stavební rozpočet'!H417</f>
        <v>0</v>
      </c>
      <c r="I41" s="59">
        <f>ROUND(G41*H41,2)</f>
        <v>0</v>
      </c>
      <c r="J41" s="59">
        <f>'Stavební rozpočet'!J417</f>
        <v>1.4080000000000001E-2</v>
      </c>
      <c r="K41" s="59">
        <f>'Stavební rozpočet'!K417</f>
        <v>1.4080000000000001E-2</v>
      </c>
      <c r="L41" s="59">
        <f>G41*K41</f>
        <v>7.8988800000000012E-2</v>
      </c>
      <c r="M41" s="60" t="s">
        <v>115</v>
      </c>
      <c r="Z41" s="59">
        <f>ROUND(IF(AQ41="5",BJ41,0),2)</f>
        <v>0</v>
      </c>
      <c r="AB41" s="59">
        <f>ROUND(IF(AQ41="1",BH41,0),2)</f>
        <v>0</v>
      </c>
      <c r="AC41" s="59">
        <f>ROUND(IF(AQ41="1",BI41,0),2)</f>
        <v>0</v>
      </c>
      <c r="AD41" s="59">
        <f>ROUND(IF(AQ41="7",BH41,0),2)</f>
        <v>0</v>
      </c>
      <c r="AE41" s="59">
        <f>ROUND(IF(AQ41="7",BI41,0),2)</f>
        <v>0</v>
      </c>
      <c r="AF41" s="59">
        <f>ROUND(IF(AQ41="2",BH41,0),2)</f>
        <v>0</v>
      </c>
      <c r="AG41" s="59">
        <f>ROUND(IF(AQ41="2",BI41,0),2)</f>
        <v>0</v>
      </c>
      <c r="AH41" s="59">
        <f>ROUND(IF(AQ41="0",BJ41,0),2)</f>
        <v>0</v>
      </c>
      <c r="AI41" s="46" t="s">
        <v>488</v>
      </c>
      <c r="AJ41" s="59">
        <f>IF(AN41=0,I41,0)</f>
        <v>0</v>
      </c>
      <c r="AK41" s="59">
        <f>IF(AN41=12,I41,0)</f>
        <v>0</v>
      </c>
      <c r="AL41" s="59">
        <f>IF(AN41=21,I41,0)</f>
        <v>0</v>
      </c>
      <c r="AN41" s="59">
        <v>12</v>
      </c>
      <c r="AO41" s="59">
        <f>H41*0.434931647</f>
        <v>0</v>
      </c>
      <c r="AP41" s="59">
        <f>H41*(1-0.434931647)</f>
        <v>0</v>
      </c>
      <c r="AQ41" s="61" t="s">
        <v>111</v>
      </c>
      <c r="AV41" s="59">
        <f>ROUND(AW41+AX41,2)</f>
        <v>0</v>
      </c>
      <c r="AW41" s="59">
        <f>ROUND(G41*AO41,2)</f>
        <v>0</v>
      </c>
      <c r="AX41" s="59">
        <f>ROUND(G41*AP41,2)</f>
        <v>0</v>
      </c>
      <c r="AY41" s="61" t="s">
        <v>361</v>
      </c>
      <c r="AZ41" s="61" t="s">
        <v>490</v>
      </c>
      <c r="BA41" s="46" t="s">
        <v>491</v>
      </c>
      <c r="BC41" s="59">
        <f>AW41+AX41</f>
        <v>0</v>
      </c>
      <c r="BD41" s="59">
        <f>H41/(100-BE41)*100</f>
        <v>0</v>
      </c>
      <c r="BE41" s="59">
        <v>0</v>
      </c>
      <c r="BF41" s="59">
        <f>L41</f>
        <v>7.8988800000000012E-2</v>
      </c>
      <c r="BH41" s="59">
        <f>G41*AO41</f>
        <v>0</v>
      </c>
      <c r="BI41" s="59">
        <f>G41*AP41</f>
        <v>0</v>
      </c>
      <c r="BJ41" s="59">
        <f>G41*H41</f>
        <v>0</v>
      </c>
      <c r="BK41" s="59"/>
      <c r="BL41" s="59">
        <v>63</v>
      </c>
      <c r="BW41" s="59">
        <v>12</v>
      </c>
      <c r="BX41" s="16" t="s">
        <v>367</v>
      </c>
    </row>
    <row r="42" spans="1:76" x14ac:dyDescent="0.25">
      <c r="A42" s="62"/>
      <c r="D42" s="63" t="s">
        <v>368</v>
      </c>
      <c r="E42" s="63"/>
      <c r="G42" s="64">
        <v>5.61</v>
      </c>
      <c r="M42" s="65"/>
    </row>
    <row r="43" spans="1:76" ht="15" customHeight="1" x14ac:dyDescent="0.25">
      <c r="A43" s="58" t="s">
        <v>176</v>
      </c>
      <c r="B43" s="18" t="s">
        <v>488</v>
      </c>
      <c r="C43" s="18" t="s">
        <v>369</v>
      </c>
      <c r="D43" s="8" t="s">
        <v>370</v>
      </c>
      <c r="E43" s="8"/>
      <c r="F43" s="18" t="s">
        <v>114</v>
      </c>
      <c r="G43" s="59">
        <f>'Stavební rozpočet'!G419</f>
        <v>5.61</v>
      </c>
      <c r="H43" s="59">
        <f>'Stavební rozpočet'!H419</f>
        <v>0</v>
      </c>
      <c r="I43" s="59">
        <f>ROUND(G43*H43,2)</f>
        <v>0</v>
      </c>
      <c r="J43" s="59">
        <f>'Stavební rozpočet'!J419</f>
        <v>0</v>
      </c>
      <c r="K43" s="59">
        <f>'Stavební rozpočet'!K419</f>
        <v>0</v>
      </c>
      <c r="L43" s="59">
        <f>G43*K43</f>
        <v>0</v>
      </c>
      <c r="M43" s="60" t="s">
        <v>115</v>
      </c>
      <c r="Z43" s="59">
        <f>ROUND(IF(AQ43="5",BJ43,0),2)</f>
        <v>0</v>
      </c>
      <c r="AB43" s="59">
        <f>ROUND(IF(AQ43="1",BH43,0),2)</f>
        <v>0</v>
      </c>
      <c r="AC43" s="59">
        <f>ROUND(IF(AQ43="1",BI43,0),2)</f>
        <v>0</v>
      </c>
      <c r="AD43" s="59">
        <f>ROUND(IF(AQ43="7",BH43,0),2)</f>
        <v>0</v>
      </c>
      <c r="AE43" s="59">
        <f>ROUND(IF(AQ43="7",BI43,0),2)</f>
        <v>0</v>
      </c>
      <c r="AF43" s="59">
        <f>ROUND(IF(AQ43="2",BH43,0),2)</f>
        <v>0</v>
      </c>
      <c r="AG43" s="59">
        <f>ROUND(IF(AQ43="2",BI43,0),2)</f>
        <v>0</v>
      </c>
      <c r="AH43" s="59">
        <f>ROUND(IF(AQ43="0",BJ43,0),2)</f>
        <v>0</v>
      </c>
      <c r="AI43" s="46" t="s">
        <v>488</v>
      </c>
      <c r="AJ43" s="59">
        <f>IF(AN43=0,I43,0)</f>
        <v>0</v>
      </c>
      <c r="AK43" s="59">
        <f>IF(AN43=12,I43,0)</f>
        <v>0</v>
      </c>
      <c r="AL43" s="59">
        <f>IF(AN43=21,I43,0)</f>
        <v>0</v>
      </c>
      <c r="AN43" s="59">
        <v>12</v>
      </c>
      <c r="AO43" s="59">
        <f>H43*0</f>
        <v>0</v>
      </c>
      <c r="AP43" s="59">
        <f>H43*(1-0)</f>
        <v>0</v>
      </c>
      <c r="AQ43" s="61" t="s">
        <v>111</v>
      </c>
      <c r="AV43" s="59">
        <f>ROUND(AW43+AX43,2)</f>
        <v>0</v>
      </c>
      <c r="AW43" s="59">
        <f>ROUND(G43*AO43,2)</f>
        <v>0</v>
      </c>
      <c r="AX43" s="59">
        <f>ROUND(G43*AP43,2)</f>
        <v>0</v>
      </c>
      <c r="AY43" s="61" t="s">
        <v>361</v>
      </c>
      <c r="AZ43" s="61" t="s">
        <v>490</v>
      </c>
      <c r="BA43" s="46" t="s">
        <v>491</v>
      </c>
      <c r="BC43" s="59">
        <f>AW43+AX43</f>
        <v>0</v>
      </c>
      <c r="BD43" s="59">
        <f>H43/(100-BE43)*100</f>
        <v>0</v>
      </c>
      <c r="BE43" s="59">
        <v>0</v>
      </c>
      <c r="BF43" s="59">
        <f>L43</f>
        <v>0</v>
      </c>
      <c r="BH43" s="59">
        <f>G43*AO43</f>
        <v>0</v>
      </c>
      <c r="BI43" s="59">
        <f>G43*AP43</f>
        <v>0</v>
      </c>
      <c r="BJ43" s="59">
        <f>G43*H43</f>
        <v>0</v>
      </c>
      <c r="BK43" s="59"/>
      <c r="BL43" s="59">
        <v>63</v>
      </c>
      <c r="BW43" s="59">
        <v>12</v>
      </c>
      <c r="BX43" s="16" t="s">
        <v>370</v>
      </c>
    </row>
    <row r="44" spans="1:76" x14ac:dyDescent="0.25">
      <c r="A44" s="62"/>
      <c r="D44" s="63" t="s">
        <v>371</v>
      </c>
      <c r="E44" s="63"/>
      <c r="G44" s="64">
        <v>5.61</v>
      </c>
      <c r="M44" s="65"/>
    </row>
    <row r="45" spans="1:76" ht="15" customHeight="1" x14ac:dyDescent="0.25">
      <c r="A45" s="54"/>
      <c r="B45" s="55" t="s">
        <v>488</v>
      </c>
      <c r="C45" s="55" t="s">
        <v>157</v>
      </c>
      <c r="D45" s="104" t="s">
        <v>158</v>
      </c>
      <c r="E45" s="104"/>
      <c r="F45" s="56" t="s">
        <v>88</v>
      </c>
      <c r="G45" s="56" t="s">
        <v>88</v>
      </c>
      <c r="H45" s="56" t="s">
        <v>88</v>
      </c>
      <c r="I45" s="39">
        <f>SUM(I46)</f>
        <v>0</v>
      </c>
      <c r="J45" s="46"/>
      <c r="K45" s="46"/>
      <c r="L45" s="39">
        <f>SUM(L46)</f>
        <v>0.15338399999999999</v>
      </c>
      <c r="M45" s="57"/>
      <c r="AI45" s="46" t="s">
        <v>488</v>
      </c>
      <c r="AS45" s="39">
        <f>SUM(AJ46)</f>
        <v>0</v>
      </c>
      <c r="AT45" s="39">
        <f>SUM(AK46)</f>
        <v>0</v>
      </c>
      <c r="AU45" s="39">
        <f>SUM(AL46)</f>
        <v>0</v>
      </c>
    </row>
    <row r="46" spans="1:76" ht="15" customHeight="1" x14ac:dyDescent="0.25">
      <c r="A46" s="58" t="s">
        <v>183</v>
      </c>
      <c r="B46" s="18" t="s">
        <v>488</v>
      </c>
      <c r="C46" s="18" t="s">
        <v>160</v>
      </c>
      <c r="D46" s="8" t="s">
        <v>161</v>
      </c>
      <c r="E46" s="8"/>
      <c r="F46" s="18" t="s">
        <v>140</v>
      </c>
      <c r="G46" s="59">
        <f>'Stavební rozpočet'!G422</f>
        <v>24.9</v>
      </c>
      <c r="H46" s="59">
        <f>'Stavební rozpočet'!H422</f>
        <v>0</v>
      </c>
      <c r="I46" s="59">
        <f>ROUND(G46*H46,2)</f>
        <v>0</v>
      </c>
      <c r="J46" s="59">
        <f>'Stavební rozpočet'!J422</f>
        <v>6.1599999999999997E-3</v>
      </c>
      <c r="K46" s="59">
        <f>'Stavební rozpočet'!K422</f>
        <v>6.1599999999999997E-3</v>
      </c>
      <c r="L46" s="59">
        <f>G46*K46</f>
        <v>0.15338399999999999</v>
      </c>
      <c r="M46" s="60" t="s">
        <v>115</v>
      </c>
      <c r="Z46" s="59">
        <f>ROUND(IF(AQ46="5",BJ46,0),2)</f>
        <v>0</v>
      </c>
      <c r="AB46" s="59">
        <f>ROUND(IF(AQ46="1",BH46,0),2)</f>
        <v>0</v>
      </c>
      <c r="AC46" s="59">
        <f>ROUND(IF(AQ46="1",BI46,0),2)</f>
        <v>0</v>
      </c>
      <c r="AD46" s="59">
        <f>ROUND(IF(AQ46="7",BH46,0),2)</f>
        <v>0</v>
      </c>
      <c r="AE46" s="59">
        <f>ROUND(IF(AQ46="7",BI46,0),2)</f>
        <v>0</v>
      </c>
      <c r="AF46" s="59">
        <f>ROUND(IF(AQ46="2",BH46,0),2)</f>
        <v>0</v>
      </c>
      <c r="AG46" s="59">
        <f>ROUND(IF(AQ46="2",BI46,0),2)</f>
        <v>0</v>
      </c>
      <c r="AH46" s="59">
        <f>ROUND(IF(AQ46="0",BJ46,0),2)</f>
        <v>0</v>
      </c>
      <c r="AI46" s="46" t="s">
        <v>488</v>
      </c>
      <c r="AJ46" s="59">
        <f>IF(AN46=0,I46,0)</f>
        <v>0</v>
      </c>
      <c r="AK46" s="59">
        <f>IF(AN46=12,I46,0)</f>
        <v>0</v>
      </c>
      <c r="AL46" s="59">
        <f>IF(AN46=21,I46,0)</f>
        <v>0</v>
      </c>
      <c r="AN46" s="59">
        <v>12</v>
      </c>
      <c r="AO46" s="59">
        <f>H46*0.526177858</f>
        <v>0</v>
      </c>
      <c r="AP46" s="59">
        <f>H46*(1-0.526177858)</f>
        <v>0</v>
      </c>
      <c r="AQ46" s="61" t="s">
        <v>111</v>
      </c>
      <c r="AV46" s="59">
        <f>ROUND(AW46+AX46,2)</f>
        <v>0</v>
      </c>
      <c r="AW46" s="59">
        <f>ROUND(G46*AO46,2)</f>
        <v>0</v>
      </c>
      <c r="AX46" s="59">
        <f>ROUND(G46*AP46,2)</f>
        <v>0</v>
      </c>
      <c r="AY46" s="61" t="s">
        <v>162</v>
      </c>
      <c r="AZ46" s="61" t="s">
        <v>490</v>
      </c>
      <c r="BA46" s="46" t="s">
        <v>491</v>
      </c>
      <c r="BC46" s="59">
        <f>AW46+AX46</f>
        <v>0</v>
      </c>
      <c r="BD46" s="59">
        <f>H46/(100-BE46)*100</f>
        <v>0</v>
      </c>
      <c r="BE46" s="59">
        <v>0</v>
      </c>
      <c r="BF46" s="59">
        <f>L46</f>
        <v>0.15338399999999999</v>
      </c>
      <c r="BH46" s="59">
        <f>G46*AO46</f>
        <v>0</v>
      </c>
      <c r="BI46" s="59">
        <f>G46*AP46</f>
        <v>0</v>
      </c>
      <c r="BJ46" s="59">
        <f>G46*H46</f>
        <v>0</v>
      </c>
      <c r="BK46" s="59"/>
      <c r="BL46" s="59">
        <v>64</v>
      </c>
      <c r="BW46" s="59">
        <v>12</v>
      </c>
      <c r="BX46" s="16" t="s">
        <v>161</v>
      </c>
    </row>
    <row r="47" spans="1:76" ht="13.5" customHeight="1" x14ac:dyDescent="0.25">
      <c r="A47" s="62"/>
      <c r="D47" s="105" t="s">
        <v>163</v>
      </c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76" x14ac:dyDescent="0.25">
      <c r="A48" s="62"/>
      <c r="D48" s="63" t="s">
        <v>372</v>
      </c>
      <c r="E48" s="63"/>
      <c r="G48" s="64">
        <v>24.9</v>
      </c>
      <c r="M48" s="65"/>
    </row>
    <row r="49" spans="1:76" ht="15" customHeight="1" x14ac:dyDescent="0.25">
      <c r="A49" s="54"/>
      <c r="B49" s="55" t="s">
        <v>488</v>
      </c>
      <c r="C49" s="55" t="s">
        <v>373</v>
      </c>
      <c r="D49" s="104" t="s">
        <v>374</v>
      </c>
      <c r="E49" s="104"/>
      <c r="F49" s="56" t="s">
        <v>88</v>
      </c>
      <c r="G49" s="56" t="s">
        <v>88</v>
      </c>
      <c r="H49" s="56" t="s">
        <v>88</v>
      </c>
      <c r="I49" s="39">
        <f>SUM(I50:I54)</f>
        <v>0</v>
      </c>
      <c r="J49" s="46"/>
      <c r="K49" s="46"/>
      <c r="L49" s="39">
        <f>SUM(L50:L54)</f>
        <v>0.31602040000000003</v>
      </c>
      <c r="M49" s="57"/>
      <c r="AI49" s="46" t="s">
        <v>488</v>
      </c>
      <c r="AS49" s="39">
        <f>SUM(AJ50:AJ54)</f>
        <v>0</v>
      </c>
      <c r="AT49" s="39">
        <f>SUM(AK50:AK54)</f>
        <v>0</v>
      </c>
      <c r="AU49" s="39">
        <f>SUM(AL50:AL54)</f>
        <v>0</v>
      </c>
    </row>
    <row r="50" spans="1:76" ht="15" customHeight="1" x14ac:dyDescent="0.25">
      <c r="A50" s="58" t="s">
        <v>190</v>
      </c>
      <c r="B50" s="18" t="s">
        <v>488</v>
      </c>
      <c r="C50" s="18" t="s">
        <v>375</v>
      </c>
      <c r="D50" s="8" t="s">
        <v>376</v>
      </c>
      <c r="E50" s="8"/>
      <c r="F50" s="18" t="s">
        <v>114</v>
      </c>
      <c r="G50" s="59">
        <f>'Stavební rozpočet'!G425</f>
        <v>22.3</v>
      </c>
      <c r="H50" s="59">
        <f>'Stavební rozpočet'!H425</f>
        <v>0</v>
      </c>
      <c r="I50" s="59">
        <f>ROUND(G50*H50,2)</f>
        <v>0</v>
      </c>
      <c r="J50" s="59">
        <f>'Stavební rozpočet'!J425</f>
        <v>0</v>
      </c>
      <c r="K50" s="59">
        <f>'Stavební rozpočet'!K425</f>
        <v>9.7400000000000004E-3</v>
      </c>
      <c r="L50" s="59">
        <f>G50*K50</f>
        <v>0.21720200000000001</v>
      </c>
      <c r="M50" s="60" t="s">
        <v>115</v>
      </c>
      <c r="Z50" s="59">
        <f>ROUND(IF(AQ50="5",BJ50,0),2)</f>
        <v>0</v>
      </c>
      <c r="AB50" s="59">
        <f>ROUND(IF(AQ50="1",BH50,0),2)</f>
        <v>0</v>
      </c>
      <c r="AC50" s="59">
        <f>ROUND(IF(AQ50="1",BI50,0),2)</f>
        <v>0</v>
      </c>
      <c r="AD50" s="59">
        <f>ROUND(IF(AQ50="7",BH50,0),2)</f>
        <v>0</v>
      </c>
      <c r="AE50" s="59">
        <f>ROUND(IF(AQ50="7",BI50,0),2)</f>
        <v>0</v>
      </c>
      <c r="AF50" s="59">
        <f>ROUND(IF(AQ50="2",BH50,0),2)</f>
        <v>0</v>
      </c>
      <c r="AG50" s="59">
        <f>ROUND(IF(AQ50="2",BI50,0),2)</f>
        <v>0</v>
      </c>
      <c r="AH50" s="59">
        <f>ROUND(IF(AQ50="0",BJ50,0),2)</f>
        <v>0</v>
      </c>
      <c r="AI50" s="46" t="s">
        <v>488</v>
      </c>
      <c r="AJ50" s="59">
        <f>IF(AN50=0,I50,0)</f>
        <v>0</v>
      </c>
      <c r="AK50" s="59">
        <f>IF(AN50=12,I50,0)</f>
        <v>0</v>
      </c>
      <c r="AL50" s="59">
        <f>IF(AN50=21,I50,0)</f>
        <v>0</v>
      </c>
      <c r="AN50" s="59">
        <v>12</v>
      </c>
      <c r="AO50" s="59">
        <f>H50*0</f>
        <v>0</v>
      </c>
      <c r="AP50" s="59">
        <f>H50*(1-0)</f>
        <v>0</v>
      </c>
      <c r="AQ50" s="61" t="s">
        <v>150</v>
      </c>
      <c r="AV50" s="59">
        <f>ROUND(AW50+AX50,2)</f>
        <v>0</v>
      </c>
      <c r="AW50" s="59">
        <f>ROUND(G50*AO50,2)</f>
        <v>0</v>
      </c>
      <c r="AX50" s="59">
        <f>ROUND(G50*AP50,2)</f>
        <v>0</v>
      </c>
      <c r="AY50" s="61" t="s">
        <v>377</v>
      </c>
      <c r="AZ50" s="61" t="s">
        <v>495</v>
      </c>
      <c r="BA50" s="46" t="s">
        <v>491</v>
      </c>
      <c r="BC50" s="59">
        <f>AW50+AX50</f>
        <v>0</v>
      </c>
      <c r="BD50" s="59">
        <f>H50/(100-BE50)*100</f>
        <v>0</v>
      </c>
      <c r="BE50" s="59">
        <v>0</v>
      </c>
      <c r="BF50" s="59">
        <f>L50</f>
        <v>0.21720200000000001</v>
      </c>
      <c r="BH50" s="59">
        <f>G50*AO50</f>
        <v>0</v>
      </c>
      <c r="BI50" s="59">
        <f>G50*AP50</f>
        <v>0</v>
      </c>
      <c r="BJ50" s="59">
        <f>G50*H50</f>
        <v>0</v>
      </c>
      <c r="BK50" s="59"/>
      <c r="BL50" s="59">
        <v>711</v>
      </c>
      <c r="BW50" s="59">
        <v>12</v>
      </c>
      <c r="BX50" s="16" t="s">
        <v>376</v>
      </c>
    </row>
    <row r="51" spans="1:76" x14ac:dyDescent="0.25">
      <c r="A51" s="62"/>
      <c r="D51" s="63" t="s">
        <v>379</v>
      </c>
      <c r="E51" s="63"/>
      <c r="G51" s="64">
        <v>22.3</v>
      </c>
      <c r="M51" s="65"/>
    </row>
    <row r="52" spans="1:76" ht="15" customHeight="1" x14ac:dyDescent="0.25">
      <c r="A52" s="58" t="s">
        <v>201</v>
      </c>
      <c r="B52" s="18" t="s">
        <v>488</v>
      </c>
      <c r="C52" s="18" t="s">
        <v>380</v>
      </c>
      <c r="D52" s="8" t="s">
        <v>381</v>
      </c>
      <c r="E52" s="8"/>
      <c r="F52" s="18" t="s">
        <v>114</v>
      </c>
      <c r="G52" s="59">
        <f>'Stavební rozpočet'!G427</f>
        <v>24.37</v>
      </c>
      <c r="H52" s="59">
        <f>'Stavební rozpočet'!H427</f>
        <v>0</v>
      </c>
      <c r="I52" s="59">
        <f>ROUND(G52*H52,2)</f>
        <v>0</v>
      </c>
      <c r="J52" s="59">
        <f>'Stavební rozpočet'!J427</f>
        <v>3.47E-3</v>
      </c>
      <c r="K52" s="59">
        <f>'Stavební rozpočet'!K427</f>
        <v>3.47E-3</v>
      </c>
      <c r="L52" s="59">
        <f>G52*K52</f>
        <v>8.4563899999999997E-2</v>
      </c>
      <c r="M52" s="60" t="s">
        <v>115</v>
      </c>
      <c r="Z52" s="59">
        <f>ROUND(IF(AQ52="5",BJ52,0),2)</f>
        <v>0</v>
      </c>
      <c r="AB52" s="59">
        <f>ROUND(IF(AQ52="1",BH52,0),2)</f>
        <v>0</v>
      </c>
      <c r="AC52" s="59">
        <f>ROUND(IF(AQ52="1",BI52,0),2)</f>
        <v>0</v>
      </c>
      <c r="AD52" s="59">
        <f>ROUND(IF(AQ52="7",BH52,0),2)</f>
        <v>0</v>
      </c>
      <c r="AE52" s="59">
        <f>ROUND(IF(AQ52="7",BI52,0),2)</f>
        <v>0</v>
      </c>
      <c r="AF52" s="59">
        <f>ROUND(IF(AQ52="2",BH52,0),2)</f>
        <v>0</v>
      </c>
      <c r="AG52" s="59">
        <f>ROUND(IF(AQ52="2",BI52,0),2)</f>
        <v>0</v>
      </c>
      <c r="AH52" s="59">
        <f>ROUND(IF(AQ52="0",BJ52,0),2)</f>
        <v>0</v>
      </c>
      <c r="AI52" s="46" t="s">
        <v>488</v>
      </c>
      <c r="AJ52" s="59">
        <f>IF(AN52=0,I52,0)</f>
        <v>0</v>
      </c>
      <c r="AK52" s="59">
        <f>IF(AN52=12,I52,0)</f>
        <v>0</v>
      </c>
      <c r="AL52" s="59">
        <f>IF(AN52=21,I52,0)</f>
        <v>0</v>
      </c>
      <c r="AN52" s="59">
        <v>12</v>
      </c>
      <c r="AO52" s="59">
        <f>H52*0.729088049</f>
        <v>0</v>
      </c>
      <c r="AP52" s="59">
        <f>H52*(1-0.729088049)</f>
        <v>0</v>
      </c>
      <c r="AQ52" s="61" t="s">
        <v>150</v>
      </c>
      <c r="AV52" s="59">
        <f>ROUND(AW52+AX52,2)</f>
        <v>0</v>
      </c>
      <c r="AW52" s="59">
        <f>ROUND(G52*AO52,2)</f>
        <v>0</v>
      </c>
      <c r="AX52" s="59">
        <f>ROUND(G52*AP52,2)</f>
        <v>0</v>
      </c>
      <c r="AY52" s="61" t="s">
        <v>377</v>
      </c>
      <c r="AZ52" s="61" t="s">
        <v>495</v>
      </c>
      <c r="BA52" s="46" t="s">
        <v>491</v>
      </c>
      <c r="BC52" s="59">
        <f>AW52+AX52</f>
        <v>0</v>
      </c>
      <c r="BD52" s="59">
        <f>H52/(100-BE52)*100</f>
        <v>0</v>
      </c>
      <c r="BE52" s="59">
        <v>0</v>
      </c>
      <c r="BF52" s="59">
        <f>L52</f>
        <v>8.4563899999999997E-2</v>
      </c>
      <c r="BH52" s="59">
        <f>G52*AO52</f>
        <v>0</v>
      </c>
      <c r="BI52" s="59">
        <f>G52*AP52</f>
        <v>0</v>
      </c>
      <c r="BJ52" s="59">
        <f>G52*H52</f>
        <v>0</v>
      </c>
      <c r="BK52" s="59"/>
      <c r="BL52" s="59">
        <v>711</v>
      </c>
      <c r="BW52" s="59">
        <v>12</v>
      </c>
      <c r="BX52" s="16" t="s">
        <v>381</v>
      </c>
    </row>
    <row r="53" spans="1:76" x14ac:dyDescent="0.25">
      <c r="A53" s="62"/>
      <c r="D53" s="63" t="s">
        <v>382</v>
      </c>
      <c r="E53" s="63"/>
      <c r="G53" s="64">
        <v>24.37</v>
      </c>
      <c r="M53" s="65"/>
    </row>
    <row r="54" spans="1:76" ht="15" customHeight="1" x14ac:dyDescent="0.25">
      <c r="A54" s="58" t="s">
        <v>205</v>
      </c>
      <c r="B54" s="18" t="s">
        <v>488</v>
      </c>
      <c r="C54" s="18" t="s">
        <v>383</v>
      </c>
      <c r="D54" s="8" t="s">
        <v>384</v>
      </c>
      <c r="E54" s="8"/>
      <c r="F54" s="18" t="s">
        <v>140</v>
      </c>
      <c r="G54" s="59">
        <f>'Stavební rozpočet'!G429</f>
        <v>33.15</v>
      </c>
      <c r="H54" s="59">
        <f>'Stavební rozpočet'!H429</f>
        <v>0</v>
      </c>
      <c r="I54" s="59">
        <f>ROUND(G54*H54,2)</f>
        <v>0</v>
      </c>
      <c r="J54" s="59">
        <f>'Stavební rozpočet'!J429</f>
        <v>4.2999999999999999E-4</v>
      </c>
      <c r="K54" s="59">
        <f>'Stavební rozpočet'!K429</f>
        <v>4.2999999999999999E-4</v>
      </c>
      <c r="L54" s="59">
        <f>G54*K54</f>
        <v>1.42545E-2</v>
      </c>
      <c r="M54" s="60" t="s">
        <v>115</v>
      </c>
      <c r="Z54" s="59">
        <f>ROUND(IF(AQ54="5",BJ54,0),2)</f>
        <v>0</v>
      </c>
      <c r="AB54" s="59">
        <f>ROUND(IF(AQ54="1",BH54,0),2)</f>
        <v>0</v>
      </c>
      <c r="AC54" s="59">
        <f>ROUND(IF(AQ54="1",BI54,0),2)</f>
        <v>0</v>
      </c>
      <c r="AD54" s="59">
        <f>ROUND(IF(AQ54="7",BH54,0),2)</f>
        <v>0</v>
      </c>
      <c r="AE54" s="59">
        <f>ROUND(IF(AQ54="7",BI54,0),2)</f>
        <v>0</v>
      </c>
      <c r="AF54" s="59">
        <f>ROUND(IF(AQ54="2",BH54,0),2)</f>
        <v>0</v>
      </c>
      <c r="AG54" s="59">
        <f>ROUND(IF(AQ54="2",BI54,0),2)</f>
        <v>0</v>
      </c>
      <c r="AH54" s="59">
        <f>ROUND(IF(AQ54="0",BJ54,0),2)</f>
        <v>0</v>
      </c>
      <c r="AI54" s="46" t="s">
        <v>488</v>
      </c>
      <c r="AJ54" s="59">
        <f>IF(AN54=0,I54,0)</f>
        <v>0</v>
      </c>
      <c r="AK54" s="59">
        <f>IF(AN54=12,I54,0)</f>
        <v>0</v>
      </c>
      <c r="AL54" s="59">
        <f>IF(AN54=21,I54,0)</f>
        <v>0</v>
      </c>
      <c r="AN54" s="59">
        <v>12</v>
      </c>
      <c r="AO54" s="59">
        <f>H54*0.767483743</f>
        <v>0</v>
      </c>
      <c r="AP54" s="59">
        <f>H54*(1-0.767483743)</f>
        <v>0</v>
      </c>
      <c r="AQ54" s="61" t="s">
        <v>150</v>
      </c>
      <c r="AV54" s="59">
        <f>ROUND(AW54+AX54,2)</f>
        <v>0</v>
      </c>
      <c r="AW54" s="59">
        <f>ROUND(G54*AO54,2)</f>
        <v>0</v>
      </c>
      <c r="AX54" s="59">
        <f>ROUND(G54*AP54,2)</f>
        <v>0</v>
      </c>
      <c r="AY54" s="61" t="s">
        <v>377</v>
      </c>
      <c r="AZ54" s="61" t="s">
        <v>495</v>
      </c>
      <c r="BA54" s="46" t="s">
        <v>491</v>
      </c>
      <c r="BC54" s="59">
        <f>AW54+AX54</f>
        <v>0</v>
      </c>
      <c r="BD54" s="59">
        <f>H54/(100-BE54)*100</f>
        <v>0</v>
      </c>
      <c r="BE54" s="59">
        <v>0</v>
      </c>
      <c r="BF54" s="59">
        <f>L54</f>
        <v>1.42545E-2</v>
      </c>
      <c r="BH54" s="59">
        <f>G54*AO54</f>
        <v>0</v>
      </c>
      <c r="BI54" s="59">
        <f>G54*AP54</f>
        <v>0</v>
      </c>
      <c r="BJ54" s="59">
        <f>G54*H54</f>
        <v>0</v>
      </c>
      <c r="BK54" s="59"/>
      <c r="BL54" s="59">
        <v>711</v>
      </c>
      <c r="BW54" s="59">
        <v>12</v>
      </c>
      <c r="BX54" s="16" t="s">
        <v>384</v>
      </c>
    </row>
    <row r="55" spans="1:76" x14ac:dyDescent="0.25">
      <c r="A55" s="62"/>
      <c r="D55" s="63" t="s">
        <v>385</v>
      </c>
      <c r="E55" s="63"/>
      <c r="G55" s="64">
        <v>33.15</v>
      </c>
      <c r="M55" s="65"/>
    </row>
    <row r="56" spans="1:76" ht="15" customHeight="1" x14ac:dyDescent="0.25">
      <c r="A56" s="54"/>
      <c r="B56" s="55" t="s">
        <v>488</v>
      </c>
      <c r="C56" s="55" t="s">
        <v>165</v>
      </c>
      <c r="D56" s="104" t="s">
        <v>166</v>
      </c>
      <c r="E56" s="104"/>
      <c r="F56" s="56" t="s">
        <v>88</v>
      </c>
      <c r="G56" s="56" t="s">
        <v>88</v>
      </c>
      <c r="H56" s="56" t="s">
        <v>88</v>
      </c>
      <c r="I56" s="39">
        <f>SUM(I57:I65)</f>
        <v>0</v>
      </c>
      <c r="J56" s="46"/>
      <c r="K56" s="46"/>
      <c r="L56" s="39">
        <f>SUM(L57:L65)</f>
        <v>9.1239999999999988E-2</v>
      </c>
      <c r="M56" s="57"/>
      <c r="AI56" s="46" t="s">
        <v>488</v>
      </c>
      <c r="AS56" s="39">
        <f>SUM(AJ57:AJ65)</f>
        <v>0</v>
      </c>
      <c r="AT56" s="39">
        <f>SUM(AK57:AK65)</f>
        <v>0</v>
      </c>
      <c r="AU56" s="39">
        <f>SUM(AL57:AL65)</f>
        <v>0</v>
      </c>
    </row>
    <row r="57" spans="1:76" ht="15" customHeight="1" x14ac:dyDescent="0.25">
      <c r="A57" s="58" t="s">
        <v>210</v>
      </c>
      <c r="B57" s="18" t="s">
        <v>488</v>
      </c>
      <c r="C57" s="18" t="s">
        <v>168</v>
      </c>
      <c r="D57" s="8" t="s">
        <v>169</v>
      </c>
      <c r="E57" s="8"/>
      <c r="F57" s="18" t="s">
        <v>140</v>
      </c>
      <c r="G57" s="59">
        <f>'Stavební rozpočet'!G432</f>
        <v>6</v>
      </c>
      <c r="H57" s="59">
        <f>'Stavební rozpočet'!H432</f>
        <v>0</v>
      </c>
      <c r="I57" s="59">
        <f>ROUND(G57*H57,2)</f>
        <v>0</v>
      </c>
      <c r="J57" s="59">
        <f>'Stavební rozpočet'!J432</f>
        <v>0</v>
      </c>
      <c r="K57" s="59">
        <f>'Stavební rozpočet'!K432</f>
        <v>1.3500000000000001E-3</v>
      </c>
      <c r="L57" s="59">
        <f>G57*K57</f>
        <v>8.0999999999999996E-3</v>
      </c>
      <c r="M57" s="60" t="s">
        <v>115</v>
      </c>
      <c r="Z57" s="59">
        <f>ROUND(IF(AQ57="5",BJ57,0),2)</f>
        <v>0</v>
      </c>
      <c r="AB57" s="59">
        <f>ROUND(IF(AQ57="1",BH57,0),2)</f>
        <v>0</v>
      </c>
      <c r="AC57" s="59">
        <f>ROUND(IF(AQ57="1",BI57,0),2)</f>
        <v>0</v>
      </c>
      <c r="AD57" s="59">
        <f>ROUND(IF(AQ57="7",BH57,0),2)</f>
        <v>0</v>
      </c>
      <c r="AE57" s="59">
        <f>ROUND(IF(AQ57="7",BI57,0),2)</f>
        <v>0</v>
      </c>
      <c r="AF57" s="59">
        <f>ROUND(IF(AQ57="2",BH57,0),2)</f>
        <v>0</v>
      </c>
      <c r="AG57" s="59">
        <f>ROUND(IF(AQ57="2",BI57,0),2)</f>
        <v>0</v>
      </c>
      <c r="AH57" s="59">
        <f>ROUND(IF(AQ57="0",BJ57,0),2)</f>
        <v>0</v>
      </c>
      <c r="AI57" s="46" t="s">
        <v>488</v>
      </c>
      <c r="AJ57" s="59">
        <f>IF(AN57=0,I57,0)</f>
        <v>0</v>
      </c>
      <c r="AK57" s="59">
        <f>IF(AN57=12,I57,0)</f>
        <v>0</v>
      </c>
      <c r="AL57" s="59">
        <f>IF(AN57=21,I57,0)</f>
        <v>0</v>
      </c>
      <c r="AN57" s="59">
        <v>12</v>
      </c>
      <c r="AO57" s="59">
        <f>H57*0</f>
        <v>0</v>
      </c>
      <c r="AP57" s="59">
        <f>H57*(1-0)</f>
        <v>0</v>
      </c>
      <c r="AQ57" s="61" t="s">
        <v>150</v>
      </c>
      <c r="AV57" s="59">
        <f>ROUND(AW57+AX57,2)</f>
        <v>0</v>
      </c>
      <c r="AW57" s="59">
        <f>ROUND(G57*AO57,2)</f>
        <v>0</v>
      </c>
      <c r="AX57" s="59">
        <f>ROUND(G57*AP57,2)</f>
        <v>0</v>
      </c>
      <c r="AY57" s="61" t="s">
        <v>170</v>
      </c>
      <c r="AZ57" s="61" t="s">
        <v>496</v>
      </c>
      <c r="BA57" s="46" t="s">
        <v>491</v>
      </c>
      <c r="BC57" s="59">
        <f>AW57+AX57</f>
        <v>0</v>
      </c>
      <c r="BD57" s="59">
        <f>H57/(100-BE57)*100</f>
        <v>0</v>
      </c>
      <c r="BE57" s="59">
        <v>0</v>
      </c>
      <c r="BF57" s="59">
        <f>L57</f>
        <v>8.0999999999999996E-3</v>
      </c>
      <c r="BH57" s="59">
        <f>G57*AO57</f>
        <v>0</v>
      </c>
      <c r="BI57" s="59">
        <f>G57*AP57</f>
        <v>0</v>
      </c>
      <c r="BJ57" s="59">
        <f>G57*H57</f>
        <v>0</v>
      </c>
      <c r="BK57" s="59"/>
      <c r="BL57" s="59">
        <v>764</v>
      </c>
      <c r="BW57" s="59">
        <v>12</v>
      </c>
      <c r="BX57" s="16" t="s">
        <v>169</v>
      </c>
    </row>
    <row r="58" spans="1:76" x14ac:dyDescent="0.25">
      <c r="A58" s="62"/>
      <c r="D58" s="63" t="s">
        <v>145</v>
      </c>
      <c r="E58" s="63"/>
      <c r="G58" s="64">
        <v>6</v>
      </c>
      <c r="M58" s="65"/>
    </row>
    <row r="59" spans="1:76" ht="15" customHeight="1" x14ac:dyDescent="0.25">
      <c r="A59" s="58" t="s">
        <v>215</v>
      </c>
      <c r="B59" s="18" t="s">
        <v>488</v>
      </c>
      <c r="C59" s="18" t="s">
        <v>173</v>
      </c>
      <c r="D59" s="8" t="s">
        <v>174</v>
      </c>
      <c r="E59" s="8"/>
      <c r="F59" s="18" t="s">
        <v>140</v>
      </c>
      <c r="G59" s="59">
        <f>'Stavební rozpočet'!G434</f>
        <v>6</v>
      </c>
      <c r="H59" s="59">
        <f>'Stavební rozpočet'!H434</f>
        <v>0</v>
      </c>
      <c r="I59" s="59">
        <f>ROUND(G59*H59,2)</f>
        <v>0</v>
      </c>
      <c r="J59" s="59">
        <f>'Stavební rozpočet'!J434</f>
        <v>3.9500000000000004E-3</v>
      </c>
      <c r="K59" s="59">
        <f>'Stavební rozpočet'!K434</f>
        <v>3.9500000000000004E-3</v>
      </c>
      <c r="L59" s="59">
        <f>G59*K59</f>
        <v>2.3700000000000002E-2</v>
      </c>
      <c r="M59" s="60" t="s">
        <v>115</v>
      </c>
      <c r="Z59" s="59">
        <f>ROUND(IF(AQ59="5",BJ59,0),2)</f>
        <v>0</v>
      </c>
      <c r="AB59" s="59">
        <f>ROUND(IF(AQ59="1",BH59,0),2)</f>
        <v>0</v>
      </c>
      <c r="AC59" s="59">
        <f>ROUND(IF(AQ59="1",BI59,0),2)</f>
        <v>0</v>
      </c>
      <c r="AD59" s="59">
        <f>ROUND(IF(AQ59="7",BH59,0),2)</f>
        <v>0</v>
      </c>
      <c r="AE59" s="59">
        <f>ROUND(IF(AQ59="7",BI59,0),2)</f>
        <v>0</v>
      </c>
      <c r="AF59" s="59">
        <f>ROUND(IF(AQ59="2",BH59,0),2)</f>
        <v>0</v>
      </c>
      <c r="AG59" s="59">
        <f>ROUND(IF(AQ59="2",BI59,0),2)</f>
        <v>0</v>
      </c>
      <c r="AH59" s="59">
        <f>ROUND(IF(AQ59="0",BJ59,0),2)</f>
        <v>0</v>
      </c>
      <c r="AI59" s="46" t="s">
        <v>488</v>
      </c>
      <c r="AJ59" s="59">
        <f>IF(AN59=0,I59,0)</f>
        <v>0</v>
      </c>
      <c r="AK59" s="59">
        <f>IF(AN59=12,I59,0)</f>
        <v>0</v>
      </c>
      <c r="AL59" s="59">
        <f>IF(AN59=21,I59,0)</f>
        <v>0</v>
      </c>
      <c r="AN59" s="59">
        <v>12</v>
      </c>
      <c r="AO59" s="59">
        <f>H59*0.565634409</f>
        <v>0</v>
      </c>
      <c r="AP59" s="59">
        <f>H59*(1-0.565634409)</f>
        <v>0</v>
      </c>
      <c r="AQ59" s="61" t="s">
        <v>150</v>
      </c>
      <c r="AV59" s="59">
        <f>ROUND(AW59+AX59,2)</f>
        <v>0</v>
      </c>
      <c r="AW59" s="59">
        <f>ROUND(G59*AO59,2)</f>
        <v>0</v>
      </c>
      <c r="AX59" s="59">
        <f>ROUND(G59*AP59,2)</f>
        <v>0</v>
      </c>
      <c r="AY59" s="61" t="s">
        <v>170</v>
      </c>
      <c r="AZ59" s="61" t="s">
        <v>496</v>
      </c>
      <c r="BA59" s="46" t="s">
        <v>491</v>
      </c>
      <c r="BC59" s="59">
        <f>AW59+AX59</f>
        <v>0</v>
      </c>
      <c r="BD59" s="59">
        <f>H59/(100-BE59)*100</f>
        <v>0</v>
      </c>
      <c r="BE59" s="59">
        <v>0</v>
      </c>
      <c r="BF59" s="59">
        <f>L59</f>
        <v>2.3700000000000002E-2</v>
      </c>
      <c r="BH59" s="59">
        <f>G59*AO59</f>
        <v>0</v>
      </c>
      <c r="BI59" s="59">
        <f>G59*AP59</f>
        <v>0</v>
      </c>
      <c r="BJ59" s="59">
        <f>G59*H59</f>
        <v>0</v>
      </c>
      <c r="BK59" s="59"/>
      <c r="BL59" s="59">
        <v>764</v>
      </c>
      <c r="BW59" s="59">
        <v>12</v>
      </c>
      <c r="BX59" s="16" t="s">
        <v>174</v>
      </c>
    </row>
    <row r="60" spans="1:76" ht="13.5" customHeight="1" x14ac:dyDescent="0.25">
      <c r="A60" s="62"/>
      <c r="D60" s="105" t="s">
        <v>175</v>
      </c>
      <c r="E60" s="105"/>
      <c r="F60" s="105"/>
      <c r="G60" s="105"/>
      <c r="H60" s="105"/>
      <c r="I60" s="105"/>
      <c r="J60" s="105"/>
      <c r="K60" s="105"/>
      <c r="L60" s="105"/>
      <c r="M60" s="105"/>
    </row>
    <row r="61" spans="1:76" x14ac:dyDescent="0.25">
      <c r="A61" s="62"/>
      <c r="D61" s="63" t="s">
        <v>145</v>
      </c>
      <c r="E61" s="63"/>
      <c r="G61" s="64">
        <v>6</v>
      </c>
      <c r="M61" s="65"/>
    </row>
    <row r="62" spans="1:76" ht="15" customHeight="1" x14ac:dyDescent="0.25">
      <c r="A62" s="58" t="s">
        <v>221</v>
      </c>
      <c r="B62" s="18" t="s">
        <v>488</v>
      </c>
      <c r="C62" s="18" t="s">
        <v>177</v>
      </c>
      <c r="D62" s="8" t="s">
        <v>178</v>
      </c>
      <c r="E62" s="8"/>
      <c r="F62" s="18" t="s">
        <v>140</v>
      </c>
      <c r="G62" s="59">
        <f>'Stavební rozpočet'!G436</f>
        <v>24.9</v>
      </c>
      <c r="H62" s="59">
        <f>'Stavební rozpočet'!H436</f>
        <v>0</v>
      </c>
      <c r="I62" s="59">
        <f>ROUND(G62*H62,2)</f>
        <v>0</v>
      </c>
      <c r="J62" s="59">
        <f>'Stavební rozpočet'!J436</f>
        <v>1.4599999999999999E-3</v>
      </c>
      <c r="K62" s="59">
        <f>'Stavební rozpočet'!K436</f>
        <v>1.4599999999999999E-3</v>
      </c>
      <c r="L62" s="59">
        <f>G62*K62</f>
        <v>3.6353999999999997E-2</v>
      </c>
      <c r="M62" s="60" t="s">
        <v>115</v>
      </c>
      <c r="Z62" s="59">
        <f>ROUND(IF(AQ62="5",BJ62,0),2)</f>
        <v>0</v>
      </c>
      <c r="AB62" s="59">
        <f>ROUND(IF(AQ62="1",BH62,0),2)</f>
        <v>0</v>
      </c>
      <c r="AC62" s="59">
        <f>ROUND(IF(AQ62="1",BI62,0),2)</f>
        <v>0</v>
      </c>
      <c r="AD62" s="59">
        <f>ROUND(IF(AQ62="7",BH62,0),2)</f>
        <v>0</v>
      </c>
      <c r="AE62" s="59">
        <f>ROUND(IF(AQ62="7",BI62,0),2)</f>
        <v>0</v>
      </c>
      <c r="AF62" s="59">
        <f>ROUND(IF(AQ62="2",BH62,0),2)</f>
        <v>0</v>
      </c>
      <c r="AG62" s="59">
        <f>ROUND(IF(AQ62="2",BI62,0),2)</f>
        <v>0</v>
      </c>
      <c r="AH62" s="59">
        <f>ROUND(IF(AQ62="0",BJ62,0),2)</f>
        <v>0</v>
      </c>
      <c r="AI62" s="46" t="s">
        <v>488</v>
      </c>
      <c r="AJ62" s="59">
        <f>IF(AN62=0,I62,0)</f>
        <v>0</v>
      </c>
      <c r="AK62" s="59">
        <f>IF(AN62=12,I62,0)</f>
        <v>0</v>
      </c>
      <c r="AL62" s="59">
        <f>IF(AN62=21,I62,0)</f>
        <v>0</v>
      </c>
      <c r="AN62" s="59">
        <v>12</v>
      </c>
      <c r="AO62" s="59">
        <f>H62*0.113898183</f>
        <v>0</v>
      </c>
      <c r="AP62" s="59">
        <f>H62*(1-0.113898183)</f>
        <v>0</v>
      </c>
      <c r="AQ62" s="61" t="s">
        <v>150</v>
      </c>
      <c r="AV62" s="59">
        <f>ROUND(AW62+AX62,2)</f>
        <v>0</v>
      </c>
      <c r="AW62" s="59">
        <f>ROUND(G62*AO62,2)</f>
        <v>0</v>
      </c>
      <c r="AX62" s="59">
        <f>ROUND(G62*AP62,2)</f>
        <v>0</v>
      </c>
      <c r="AY62" s="61" t="s">
        <v>170</v>
      </c>
      <c r="AZ62" s="61" t="s">
        <v>496</v>
      </c>
      <c r="BA62" s="46" t="s">
        <v>491</v>
      </c>
      <c r="BC62" s="59">
        <f>AW62+AX62</f>
        <v>0</v>
      </c>
      <c r="BD62" s="59">
        <f>H62/(100-BE62)*100</f>
        <v>0</v>
      </c>
      <c r="BE62" s="59">
        <v>0</v>
      </c>
      <c r="BF62" s="59">
        <f>L62</f>
        <v>3.6353999999999997E-2</v>
      </c>
      <c r="BH62" s="59">
        <f>G62*AO62</f>
        <v>0</v>
      </c>
      <c r="BI62" s="59">
        <f>G62*AP62</f>
        <v>0</v>
      </c>
      <c r="BJ62" s="59">
        <f>G62*H62</f>
        <v>0</v>
      </c>
      <c r="BK62" s="59"/>
      <c r="BL62" s="59">
        <v>764</v>
      </c>
      <c r="BW62" s="59">
        <v>12</v>
      </c>
      <c r="BX62" s="16" t="s">
        <v>178</v>
      </c>
    </row>
    <row r="63" spans="1:76" ht="13.5" customHeight="1" x14ac:dyDescent="0.25">
      <c r="A63" s="62"/>
      <c r="D63" s="105" t="s">
        <v>179</v>
      </c>
      <c r="E63" s="105"/>
      <c r="F63" s="105"/>
      <c r="G63" s="105"/>
      <c r="H63" s="105"/>
      <c r="I63" s="105"/>
      <c r="J63" s="105"/>
      <c r="K63" s="105"/>
      <c r="L63" s="105"/>
      <c r="M63" s="105"/>
    </row>
    <row r="64" spans="1:76" x14ac:dyDescent="0.25">
      <c r="A64" s="62"/>
      <c r="D64" s="63" t="s">
        <v>387</v>
      </c>
      <c r="E64" s="63"/>
      <c r="G64" s="64">
        <v>24.9</v>
      </c>
      <c r="M64" s="65"/>
    </row>
    <row r="65" spans="1:76" ht="15" customHeight="1" x14ac:dyDescent="0.25">
      <c r="A65" s="58" t="s">
        <v>227</v>
      </c>
      <c r="B65" s="18" t="s">
        <v>488</v>
      </c>
      <c r="C65" s="18" t="s">
        <v>388</v>
      </c>
      <c r="D65" s="8" t="s">
        <v>389</v>
      </c>
      <c r="E65" s="8"/>
      <c r="F65" s="18" t="s">
        <v>140</v>
      </c>
      <c r="G65" s="59">
        <f>'Stavební rozpočet'!G438</f>
        <v>19.399999999999999</v>
      </c>
      <c r="H65" s="59">
        <f>'Stavební rozpočet'!H438</f>
        <v>0</v>
      </c>
      <c r="I65" s="59">
        <f>ROUND(G65*H65,2)</f>
        <v>0</v>
      </c>
      <c r="J65" s="59">
        <f>'Stavební rozpočet'!J438</f>
        <v>1.1900000000000001E-3</v>
      </c>
      <c r="K65" s="59">
        <f>'Stavební rozpočet'!K438</f>
        <v>1.1900000000000001E-3</v>
      </c>
      <c r="L65" s="59">
        <f>G65*K65</f>
        <v>2.3085999999999999E-2</v>
      </c>
      <c r="M65" s="60" t="s">
        <v>115</v>
      </c>
      <c r="Z65" s="59">
        <f>ROUND(IF(AQ65="5",BJ65,0),2)</f>
        <v>0</v>
      </c>
      <c r="AB65" s="59">
        <f>ROUND(IF(AQ65="1",BH65,0),2)</f>
        <v>0</v>
      </c>
      <c r="AC65" s="59">
        <f>ROUND(IF(AQ65="1",BI65,0),2)</f>
        <v>0</v>
      </c>
      <c r="AD65" s="59">
        <f>ROUND(IF(AQ65="7",BH65,0),2)</f>
        <v>0</v>
      </c>
      <c r="AE65" s="59">
        <f>ROUND(IF(AQ65="7",BI65,0),2)</f>
        <v>0</v>
      </c>
      <c r="AF65" s="59">
        <f>ROUND(IF(AQ65="2",BH65,0),2)</f>
        <v>0</v>
      </c>
      <c r="AG65" s="59">
        <f>ROUND(IF(AQ65="2",BI65,0),2)</f>
        <v>0</v>
      </c>
      <c r="AH65" s="59">
        <f>ROUND(IF(AQ65="0",BJ65,0),2)</f>
        <v>0</v>
      </c>
      <c r="AI65" s="46" t="s">
        <v>488</v>
      </c>
      <c r="AJ65" s="59">
        <f>IF(AN65=0,I65,0)</f>
        <v>0</v>
      </c>
      <c r="AK65" s="59">
        <f>IF(AN65=12,I65,0)</f>
        <v>0</v>
      </c>
      <c r="AL65" s="59">
        <f>IF(AN65=21,I65,0)</f>
        <v>0</v>
      </c>
      <c r="AN65" s="59">
        <v>12</v>
      </c>
      <c r="AO65" s="59">
        <f>H65*0.381899982</f>
        <v>0</v>
      </c>
      <c r="AP65" s="59">
        <f>H65*(1-0.381899982)</f>
        <v>0</v>
      </c>
      <c r="AQ65" s="61" t="s">
        <v>150</v>
      </c>
      <c r="AV65" s="59">
        <f>ROUND(AW65+AX65,2)</f>
        <v>0</v>
      </c>
      <c r="AW65" s="59">
        <f>ROUND(G65*AO65,2)</f>
        <v>0</v>
      </c>
      <c r="AX65" s="59">
        <f>ROUND(G65*AP65,2)</f>
        <v>0</v>
      </c>
      <c r="AY65" s="61" t="s">
        <v>170</v>
      </c>
      <c r="AZ65" s="61" t="s">
        <v>496</v>
      </c>
      <c r="BA65" s="46" t="s">
        <v>491</v>
      </c>
      <c r="BC65" s="59">
        <f>AW65+AX65</f>
        <v>0</v>
      </c>
      <c r="BD65" s="59">
        <f>H65/(100-BE65)*100</f>
        <v>0</v>
      </c>
      <c r="BE65" s="59">
        <v>0</v>
      </c>
      <c r="BF65" s="59">
        <f>L65</f>
        <v>2.3085999999999999E-2</v>
      </c>
      <c r="BH65" s="59">
        <f>G65*AO65</f>
        <v>0</v>
      </c>
      <c r="BI65" s="59">
        <f>G65*AP65</f>
        <v>0</v>
      </c>
      <c r="BJ65" s="59">
        <f>G65*H65</f>
        <v>0</v>
      </c>
      <c r="BK65" s="59"/>
      <c r="BL65" s="59">
        <v>764</v>
      </c>
      <c r="BW65" s="59">
        <v>12</v>
      </c>
      <c r="BX65" s="16" t="s">
        <v>389</v>
      </c>
    </row>
    <row r="66" spans="1:76" x14ac:dyDescent="0.25">
      <c r="A66" s="62"/>
      <c r="D66" s="63" t="s">
        <v>390</v>
      </c>
      <c r="E66" s="63"/>
      <c r="G66" s="64">
        <v>19.399999999999999</v>
      </c>
      <c r="M66" s="65"/>
    </row>
    <row r="67" spans="1:76" ht="15" customHeight="1" x14ac:dyDescent="0.25">
      <c r="A67" s="54"/>
      <c r="B67" s="55" t="s">
        <v>488</v>
      </c>
      <c r="C67" s="55" t="s">
        <v>181</v>
      </c>
      <c r="D67" s="104" t="s">
        <v>182</v>
      </c>
      <c r="E67" s="104"/>
      <c r="F67" s="56" t="s">
        <v>88</v>
      </c>
      <c r="G67" s="56" t="s">
        <v>88</v>
      </c>
      <c r="H67" s="56" t="s">
        <v>88</v>
      </c>
      <c r="I67" s="39">
        <f>SUM(I68:I84)</f>
        <v>0</v>
      </c>
      <c r="J67" s="46"/>
      <c r="K67" s="46"/>
      <c r="L67" s="39">
        <f>SUM(L68:L84)</f>
        <v>2.4318280000000003</v>
      </c>
      <c r="M67" s="57"/>
      <c r="AI67" s="46" t="s">
        <v>488</v>
      </c>
      <c r="AS67" s="39">
        <f>SUM(AJ68:AJ84)</f>
        <v>0</v>
      </c>
      <c r="AT67" s="39">
        <f>SUM(AK68:AK84)</f>
        <v>0</v>
      </c>
      <c r="AU67" s="39">
        <f>SUM(AL68:AL84)</f>
        <v>0</v>
      </c>
    </row>
    <row r="68" spans="1:76" ht="15" customHeight="1" x14ac:dyDescent="0.25">
      <c r="A68" s="58" t="s">
        <v>234</v>
      </c>
      <c r="B68" s="18" t="s">
        <v>488</v>
      </c>
      <c r="C68" s="18" t="s">
        <v>191</v>
      </c>
      <c r="D68" s="8" t="s">
        <v>192</v>
      </c>
      <c r="E68" s="8"/>
      <c r="F68" s="18" t="s">
        <v>114</v>
      </c>
      <c r="G68" s="59">
        <f>'Stavební rozpočet'!G441</f>
        <v>60</v>
      </c>
      <c r="H68" s="59">
        <f>'Stavební rozpočet'!H441</f>
        <v>0</v>
      </c>
      <c r="I68" s="59">
        <f>ROUND(G68*H68,2)</f>
        <v>0</v>
      </c>
      <c r="J68" s="59">
        <f>'Stavební rozpočet'!J441</f>
        <v>4.0370000000000003E-2</v>
      </c>
      <c r="K68" s="59">
        <f>'Stavební rozpočet'!K441</f>
        <v>4.0370000000000003E-2</v>
      </c>
      <c r="L68" s="59">
        <f>G68*K68</f>
        <v>2.4222000000000001</v>
      </c>
      <c r="M68" s="60" t="s">
        <v>115</v>
      </c>
      <c r="Z68" s="59">
        <f>ROUND(IF(AQ68="5",BJ68,0),2)</f>
        <v>0</v>
      </c>
      <c r="AB68" s="59">
        <f>ROUND(IF(AQ68="1",BH68,0),2)</f>
        <v>0</v>
      </c>
      <c r="AC68" s="59">
        <f>ROUND(IF(AQ68="1",BI68,0),2)</f>
        <v>0</v>
      </c>
      <c r="AD68" s="59">
        <f>ROUND(IF(AQ68="7",BH68,0),2)</f>
        <v>0</v>
      </c>
      <c r="AE68" s="59">
        <f>ROUND(IF(AQ68="7",BI68,0),2)</f>
        <v>0</v>
      </c>
      <c r="AF68" s="59">
        <f>ROUND(IF(AQ68="2",BH68,0),2)</f>
        <v>0</v>
      </c>
      <c r="AG68" s="59">
        <f>ROUND(IF(AQ68="2",BI68,0),2)</f>
        <v>0</v>
      </c>
      <c r="AH68" s="59">
        <f>ROUND(IF(AQ68="0",BJ68,0),2)</f>
        <v>0</v>
      </c>
      <c r="AI68" s="46" t="s">
        <v>488</v>
      </c>
      <c r="AJ68" s="59">
        <f>IF(AN68=0,I68,0)</f>
        <v>0</v>
      </c>
      <c r="AK68" s="59">
        <f>IF(AN68=12,I68,0)</f>
        <v>0</v>
      </c>
      <c r="AL68" s="59">
        <f>IF(AN68=21,I68,0)</f>
        <v>0</v>
      </c>
      <c r="AN68" s="59">
        <v>12</v>
      </c>
      <c r="AO68" s="59">
        <f>H68*0.920036753</f>
        <v>0</v>
      </c>
      <c r="AP68" s="59">
        <f>H68*(1-0.920036753)</f>
        <v>0</v>
      </c>
      <c r="AQ68" s="61" t="s">
        <v>150</v>
      </c>
      <c r="AV68" s="59">
        <f>ROUND(AW68+AX68,2)</f>
        <v>0</v>
      </c>
      <c r="AW68" s="59">
        <f>ROUND(G68*AO68,2)</f>
        <v>0</v>
      </c>
      <c r="AX68" s="59">
        <f>ROUND(G68*AP68,2)</f>
        <v>0</v>
      </c>
      <c r="AY68" s="61" t="s">
        <v>187</v>
      </c>
      <c r="AZ68" s="61" t="s">
        <v>496</v>
      </c>
      <c r="BA68" s="46" t="s">
        <v>491</v>
      </c>
      <c r="BC68" s="59">
        <f>AW68+AX68</f>
        <v>0</v>
      </c>
      <c r="BD68" s="59">
        <f>H68/(100-BE68)*100</f>
        <v>0</v>
      </c>
      <c r="BE68" s="59">
        <v>0</v>
      </c>
      <c r="BF68" s="59">
        <f>L68</f>
        <v>2.4222000000000001</v>
      </c>
      <c r="BH68" s="59">
        <f>G68*AO68</f>
        <v>0</v>
      </c>
      <c r="BI68" s="59">
        <f>G68*AP68</f>
        <v>0</v>
      </c>
      <c r="BJ68" s="59">
        <f>G68*H68</f>
        <v>0</v>
      </c>
      <c r="BK68" s="59"/>
      <c r="BL68" s="59">
        <v>766</v>
      </c>
      <c r="BW68" s="59">
        <v>12</v>
      </c>
      <c r="BX68" s="16" t="s">
        <v>192</v>
      </c>
    </row>
    <row r="69" spans="1:76" ht="13.5" customHeight="1" x14ac:dyDescent="0.25">
      <c r="A69" s="62"/>
      <c r="D69" s="105" t="s">
        <v>193</v>
      </c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76" x14ac:dyDescent="0.25">
      <c r="A70" s="62"/>
      <c r="D70" s="63" t="s">
        <v>391</v>
      </c>
      <c r="E70" s="63"/>
      <c r="G70" s="64">
        <v>9</v>
      </c>
      <c r="M70" s="65"/>
    </row>
    <row r="71" spans="1:76" x14ac:dyDescent="0.25">
      <c r="A71" s="62"/>
      <c r="D71" s="63" t="s">
        <v>392</v>
      </c>
      <c r="E71" s="63"/>
      <c r="G71" s="64">
        <v>5.4</v>
      </c>
      <c r="M71" s="65"/>
    </row>
    <row r="72" spans="1:76" x14ac:dyDescent="0.25">
      <c r="A72" s="62"/>
      <c r="D72" s="63" t="s">
        <v>393</v>
      </c>
      <c r="E72" s="63"/>
      <c r="G72" s="64">
        <v>21.6</v>
      </c>
      <c r="M72" s="65"/>
    </row>
    <row r="73" spans="1:76" x14ac:dyDescent="0.25">
      <c r="A73" s="62"/>
      <c r="D73" s="63" t="s">
        <v>394</v>
      </c>
      <c r="E73" s="63"/>
      <c r="G73" s="64">
        <v>14.4</v>
      </c>
      <c r="M73" s="65"/>
    </row>
    <row r="74" spans="1:76" x14ac:dyDescent="0.25">
      <c r="A74" s="62"/>
      <c r="D74" s="63" t="s">
        <v>497</v>
      </c>
      <c r="E74" s="63"/>
      <c r="G74" s="64">
        <v>9.6</v>
      </c>
      <c r="M74" s="65"/>
    </row>
    <row r="75" spans="1:76" ht="15" customHeight="1" x14ac:dyDescent="0.25">
      <c r="A75" s="58" t="s">
        <v>241</v>
      </c>
      <c r="B75" s="18" t="s">
        <v>488</v>
      </c>
      <c r="C75" s="18" t="s">
        <v>206</v>
      </c>
      <c r="D75" s="8" t="s">
        <v>207</v>
      </c>
      <c r="E75" s="8"/>
      <c r="F75" s="18" t="s">
        <v>140</v>
      </c>
      <c r="G75" s="59">
        <f>'Stavební rozpočet'!G447</f>
        <v>136</v>
      </c>
      <c r="H75" s="59">
        <f>'Stavební rozpočet'!H447</f>
        <v>0</v>
      </c>
      <c r="I75" s="59">
        <f>ROUND(G75*H75,2)</f>
        <v>0</v>
      </c>
      <c r="J75" s="59">
        <f>'Stavební rozpočet'!J447</f>
        <v>4.0000000000000003E-5</v>
      </c>
      <c r="K75" s="59">
        <f>'Stavební rozpočet'!K447</f>
        <v>4.0000000000000003E-5</v>
      </c>
      <c r="L75" s="59">
        <f>G75*K75</f>
        <v>5.4400000000000004E-3</v>
      </c>
      <c r="M75" s="60" t="s">
        <v>115</v>
      </c>
      <c r="Z75" s="59">
        <f>ROUND(IF(AQ75="5",BJ75,0),2)</f>
        <v>0</v>
      </c>
      <c r="AB75" s="59">
        <f>ROUND(IF(AQ75="1",BH75,0),2)</f>
        <v>0</v>
      </c>
      <c r="AC75" s="59">
        <f>ROUND(IF(AQ75="1",BI75,0),2)</f>
        <v>0</v>
      </c>
      <c r="AD75" s="59">
        <f>ROUND(IF(AQ75="7",BH75,0),2)</f>
        <v>0</v>
      </c>
      <c r="AE75" s="59">
        <f>ROUND(IF(AQ75="7",BI75,0),2)</f>
        <v>0</v>
      </c>
      <c r="AF75" s="59">
        <f>ROUND(IF(AQ75="2",BH75,0),2)</f>
        <v>0</v>
      </c>
      <c r="AG75" s="59">
        <f>ROUND(IF(AQ75="2",BI75,0),2)</f>
        <v>0</v>
      </c>
      <c r="AH75" s="59">
        <f>ROUND(IF(AQ75="0",BJ75,0),2)</f>
        <v>0</v>
      </c>
      <c r="AI75" s="46" t="s">
        <v>488</v>
      </c>
      <c r="AJ75" s="59">
        <f>IF(AN75=0,I75,0)</f>
        <v>0</v>
      </c>
      <c r="AK75" s="59">
        <f>IF(AN75=12,I75,0)</f>
        <v>0</v>
      </c>
      <c r="AL75" s="59">
        <f>IF(AN75=21,I75,0)</f>
        <v>0</v>
      </c>
      <c r="AN75" s="59">
        <v>12</v>
      </c>
      <c r="AO75" s="59">
        <f>H75*0.412553191</f>
        <v>0</v>
      </c>
      <c r="AP75" s="59">
        <f>H75*(1-0.412553191)</f>
        <v>0</v>
      </c>
      <c r="AQ75" s="61" t="s">
        <v>150</v>
      </c>
      <c r="AV75" s="59">
        <f>ROUND(AW75+AX75,2)</f>
        <v>0</v>
      </c>
      <c r="AW75" s="59">
        <f>ROUND(G75*AO75,2)</f>
        <v>0</v>
      </c>
      <c r="AX75" s="59">
        <f>ROUND(G75*AP75,2)</f>
        <v>0</v>
      </c>
      <c r="AY75" s="61" t="s">
        <v>187</v>
      </c>
      <c r="AZ75" s="61" t="s">
        <v>496</v>
      </c>
      <c r="BA75" s="46" t="s">
        <v>491</v>
      </c>
      <c r="BC75" s="59">
        <f>AW75+AX75</f>
        <v>0</v>
      </c>
      <c r="BD75" s="59">
        <f>H75/(100-BE75)*100</f>
        <v>0</v>
      </c>
      <c r="BE75" s="59">
        <v>0</v>
      </c>
      <c r="BF75" s="59">
        <f>L75</f>
        <v>5.4400000000000004E-3</v>
      </c>
      <c r="BH75" s="59">
        <f>G75*AO75</f>
        <v>0</v>
      </c>
      <c r="BI75" s="59">
        <f>G75*AP75</f>
        <v>0</v>
      </c>
      <c r="BJ75" s="59">
        <f>G75*H75</f>
        <v>0</v>
      </c>
      <c r="BK75" s="59"/>
      <c r="BL75" s="59">
        <v>766</v>
      </c>
      <c r="BW75" s="59">
        <v>12</v>
      </c>
      <c r="BX75" s="16" t="s">
        <v>207</v>
      </c>
    </row>
    <row r="76" spans="1:76" ht="13.5" customHeight="1" x14ac:dyDescent="0.25">
      <c r="A76" s="62"/>
      <c r="D76" s="105" t="s">
        <v>208</v>
      </c>
      <c r="E76" s="105"/>
      <c r="F76" s="105"/>
      <c r="G76" s="105"/>
      <c r="H76" s="105"/>
      <c r="I76" s="105"/>
      <c r="J76" s="105"/>
      <c r="K76" s="105"/>
      <c r="L76" s="105"/>
      <c r="M76" s="105"/>
    </row>
    <row r="77" spans="1:76" x14ac:dyDescent="0.25">
      <c r="A77" s="62"/>
      <c r="D77" s="63" t="s">
        <v>498</v>
      </c>
      <c r="E77" s="63"/>
      <c r="G77" s="64">
        <v>136</v>
      </c>
      <c r="M77" s="65"/>
    </row>
    <row r="78" spans="1:76" ht="15" customHeight="1" x14ac:dyDescent="0.25">
      <c r="A78" s="58" t="s">
        <v>248</v>
      </c>
      <c r="B78" s="18" t="s">
        <v>488</v>
      </c>
      <c r="C78" s="18" t="s">
        <v>211</v>
      </c>
      <c r="D78" s="8" t="s">
        <v>212</v>
      </c>
      <c r="E78" s="8"/>
      <c r="F78" s="18" t="s">
        <v>140</v>
      </c>
      <c r="G78" s="59">
        <f>'Stavební rozpočet'!G449</f>
        <v>34.9</v>
      </c>
      <c r="H78" s="59">
        <f>'Stavební rozpočet'!H449</f>
        <v>0</v>
      </c>
      <c r="I78" s="59">
        <f>ROUND(G78*H78,2)</f>
        <v>0</v>
      </c>
      <c r="J78" s="59">
        <f>'Stavební rozpočet'!J449</f>
        <v>1.2E-4</v>
      </c>
      <c r="K78" s="59">
        <f>'Stavební rozpočet'!K449</f>
        <v>1.2E-4</v>
      </c>
      <c r="L78" s="59">
        <f>G78*K78</f>
        <v>4.1879999999999999E-3</v>
      </c>
      <c r="M78" s="60" t="s">
        <v>115</v>
      </c>
      <c r="Z78" s="59">
        <f>ROUND(IF(AQ78="5",BJ78,0),2)</f>
        <v>0</v>
      </c>
      <c r="AB78" s="59">
        <f>ROUND(IF(AQ78="1",BH78,0),2)</f>
        <v>0</v>
      </c>
      <c r="AC78" s="59">
        <f>ROUND(IF(AQ78="1",BI78,0),2)</f>
        <v>0</v>
      </c>
      <c r="AD78" s="59">
        <f>ROUND(IF(AQ78="7",BH78,0),2)</f>
        <v>0</v>
      </c>
      <c r="AE78" s="59">
        <f>ROUND(IF(AQ78="7",BI78,0),2)</f>
        <v>0</v>
      </c>
      <c r="AF78" s="59">
        <f>ROUND(IF(AQ78="2",BH78,0),2)</f>
        <v>0</v>
      </c>
      <c r="AG78" s="59">
        <f>ROUND(IF(AQ78="2",BI78,0),2)</f>
        <v>0</v>
      </c>
      <c r="AH78" s="59">
        <f>ROUND(IF(AQ78="0",BJ78,0),2)</f>
        <v>0</v>
      </c>
      <c r="AI78" s="46" t="s">
        <v>488</v>
      </c>
      <c r="AJ78" s="59">
        <f>IF(AN78=0,I78,0)</f>
        <v>0</v>
      </c>
      <c r="AK78" s="59">
        <f>IF(AN78=12,I78,0)</f>
        <v>0</v>
      </c>
      <c r="AL78" s="59">
        <f>IF(AN78=21,I78,0)</f>
        <v>0</v>
      </c>
      <c r="AN78" s="59">
        <v>12</v>
      </c>
      <c r="AO78" s="59">
        <f>H78*0.319457335</f>
        <v>0</v>
      </c>
      <c r="AP78" s="59">
        <f>H78*(1-0.319457335)</f>
        <v>0</v>
      </c>
      <c r="AQ78" s="61" t="s">
        <v>150</v>
      </c>
      <c r="AV78" s="59">
        <f>ROUND(AW78+AX78,2)</f>
        <v>0</v>
      </c>
      <c r="AW78" s="59">
        <f>ROUND(G78*AO78,2)</f>
        <v>0</v>
      </c>
      <c r="AX78" s="59">
        <f>ROUND(G78*AP78,2)</f>
        <v>0</v>
      </c>
      <c r="AY78" s="61" t="s">
        <v>187</v>
      </c>
      <c r="AZ78" s="61" t="s">
        <v>496</v>
      </c>
      <c r="BA78" s="46" t="s">
        <v>491</v>
      </c>
      <c r="BC78" s="59">
        <f>AW78+AX78</f>
        <v>0</v>
      </c>
      <c r="BD78" s="59">
        <f>H78/(100-BE78)*100</f>
        <v>0</v>
      </c>
      <c r="BE78" s="59">
        <v>0</v>
      </c>
      <c r="BF78" s="59">
        <f>L78</f>
        <v>4.1879999999999999E-3</v>
      </c>
      <c r="BH78" s="59">
        <f>G78*AO78</f>
        <v>0</v>
      </c>
      <c r="BI78" s="59">
        <f>G78*AP78</f>
        <v>0</v>
      </c>
      <c r="BJ78" s="59">
        <f>G78*H78</f>
        <v>0</v>
      </c>
      <c r="BK78" s="59"/>
      <c r="BL78" s="59">
        <v>766</v>
      </c>
      <c r="BW78" s="59">
        <v>12</v>
      </c>
      <c r="BX78" s="16" t="s">
        <v>212</v>
      </c>
    </row>
    <row r="79" spans="1:76" ht="13.5" customHeight="1" x14ac:dyDescent="0.25">
      <c r="A79" s="62"/>
      <c r="D79" s="105" t="s">
        <v>213</v>
      </c>
      <c r="E79" s="105"/>
      <c r="F79" s="105"/>
      <c r="G79" s="105"/>
      <c r="H79" s="105"/>
      <c r="I79" s="105"/>
      <c r="J79" s="105"/>
      <c r="K79" s="105"/>
      <c r="L79" s="105"/>
      <c r="M79" s="105"/>
    </row>
    <row r="80" spans="1:76" x14ac:dyDescent="0.25">
      <c r="A80" s="62"/>
      <c r="D80" s="63" t="s">
        <v>499</v>
      </c>
      <c r="E80" s="63"/>
      <c r="G80" s="64">
        <v>34.9</v>
      </c>
      <c r="M80" s="65"/>
    </row>
    <row r="81" spans="1:76" ht="15" customHeight="1" x14ac:dyDescent="0.25">
      <c r="A81" s="58" t="s">
        <v>253</v>
      </c>
      <c r="B81" s="18" t="s">
        <v>488</v>
      </c>
      <c r="C81" s="18" t="s">
        <v>216</v>
      </c>
      <c r="D81" s="8" t="s">
        <v>217</v>
      </c>
      <c r="E81" s="8"/>
      <c r="F81" s="18" t="s">
        <v>218</v>
      </c>
      <c r="G81" s="59">
        <f>'Stavební rozpočet'!G451</f>
        <v>12</v>
      </c>
      <c r="H81" s="59">
        <f>'Stavební rozpočet'!H451</f>
        <v>0</v>
      </c>
      <c r="I81" s="59">
        <f>ROUND(G81*H81,2)</f>
        <v>0</v>
      </c>
      <c r="J81" s="59">
        <f>'Stavební rozpočet'!J451</f>
        <v>0</v>
      </c>
      <c r="K81" s="59">
        <f>'Stavební rozpočet'!K451</f>
        <v>0</v>
      </c>
      <c r="L81" s="59">
        <f>G81*K81</f>
        <v>0</v>
      </c>
      <c r="M81" s="60"/>
      <c r="Z81" s="59">
        <f>ROUND(IF(AQ81="5",BJ81,0),2)</f>
        <v>0</v>
      </c>
      <c r="AB81" s="59">
        <f>ROUND(IF(AQ81="1",BH81,0),2)</f>
        <v>0</v>
      </c>
      <c r="AC81" s="59">
        <f>ROUND(IF(AQ81="1",BI81,0),2)</f>
        <v>0</v>
      </c>
      <c r="AD81" s="59">
        <f>ROUND(IF(AQ81="7",BH81,0),2)</f>
        <v>0</v>
      </c>
      <c r="AE81" s="59">
        <f>ROUND(IF(AQ81="7",BI81,0),2)</f>
        <v>0</v>
      </c>
      <c r="AF81" s="59">
        <f>ROUND(IF(AQ81="2",BH81,0),2)</f>
        <v>0</v>
      </c>
      <c r="AG81" s="59">
        <f>ROUND(IF(AQ81="2",BI81,0),2)</f>
        <v>0</v>
      </c>
      <c r="AH81" s="59">
        <f>ROUND(IF(AQ81="0",BJ81,0),2)</f>
        <v>0</v>
      </c>
      <c r="AI81" s="46" t="s">
        <v>488</v>
      </c>
      <c r="AJ81" s="59">
        <f>IF(AN81=0,I81,0)</f>
        <v>0</v>
      </c>
      <c r="AK81" s="59">
        <f>IF(AN81=12,I81,0)</f>
        <v>0</v>
      </c>
      <c r="AL81" s="59">
        <f>IF(AN81=21,I81,0)</f>
        <v>0</v>
      </c>
      <c r="AN81" s="59">
        <v>12</v>
      </c>
      <c r="AO81" s="59">
        <f>H81*0</f>
        <v>0</v>
      </c>
      <c r="AP81" s="59">
        <f>H81*(1-0)</f>
        <v>0</v>
      </c>
      <c r="AQ81" s="61" t="s">
        <v>150</v>
      </c>
      <c r="AV81" s="59">
        <f>ROUND(AW81+AX81,2)</f>
        <v>0</v>
      </c>
      <c r="AW81" s="59">
        <f>ROUND(G81*AO81,2)</f>
        <v>0</v>
      </c>
      <c r="AX81" s="59">
        <f>ROUND(G81*AP81,2)</f>
        <v>0</v>
      </c>
      <c r="AY81" s="61" t="s">
        <v>187</v>
      </c>
      <c r="AZ81" s="61" t="s">
        <v>496</v>
      </c>
      <c r="BA81" s="46" t="s">
        <v>491</v>
      </c>
      <c r="BC81" s="59">
        <f>AW81+AX81</f>
        <v>0</v>
      </c>
      <c r="BD81" s="59">
        <f>H81/(100-BE81)*100</f>
        <v>0</v>
      </c>
      <c r="BE81" s="59">
        <v>0</v>
      </c>
      <c r="BF81" s="59">
        <f>L81</f>
        <v>0</v>
      </c>
      <c r="BH81" s="59">
        <f>G81*AO81</f>
        <v>0</v>
      </c>
      <c r="BI81" s="59">
        <f>G81*AP81</f>
        <v>0</v>
      </c>
      <c r="BJ81" s="59">
        <f>G81*H81</f>
        <v>0</v>
      </c>
      <c r="BK81" s="59"/>
      <c r="BL81" s="59">
        <v>766</v>
      </c>
      <c r="BW81" s="59">
        <v>12</v>
      </c>
      <c r="BX81" s="16" t="s">
        <v>217</v>
      </c>
    </row>
    <row r="82" spans="1:76" ht="13.5" customHeight="1" x14ac:dyDescent="0.25">
      <c r="A82" s="62"/>
      <c r="D82" s="105" t="s">
        <v>219</v>
      </c>
      <c r="E82" s="105"/>
      <c r="F82" s="105"/>
      <c r="G82" s="105"/>
      <c r="H82" s="105"/>
      <c r="I82" s="105"/>
      <c r="J82" s="105"/>
      <c r="K82" s="105"/>
      <c r="L82" s="105"/>
      <c r="M82" s="105"/>
    </row>
    <row r="83" spans="1:76" x14ac:dyDescent="0.25">
      <c r="A83" s="62"/>
      <c r="D83" s="63" t="s">
        <v>176</v>
      </c>
      <c r="E83" s="63"/>
      <c r="G83" s="64">
        <v>12</v>
      </c>
      <c r="M83" s="65"/>
    </row>
    <row r="84" spans="1:76" ht="15" customHeight="1" x14ac:dyDescent="0.25">
      <c r="A84" s="58" t="s">
        <v>261</v>
      </c>
      <c r="B84" s="18" t="s">
        <v>488</v>
      </c>
      <c r="C84" s="18" t="s">
        <v>222</v>
      </c>
      <c r="D84" s="8" t="s">
        <v>223</v>
      </c>
      <c r="E84" s="8"/>
      <c r="F84" s="18" t="s">
        <v>224</v>
      </c>
      <c r="G84" s="59">
        <f>'Stavební rozpočet'!G453</f>
        <v>1.859</v>
      </c>
      <c r="H84" s="59">
        <f>'Stavební rozpočet'!H453</f>
        <v>0</v>
      </c>
      <c r="I84" s="59">
        <f>ROUND(G84*H84,2)</f>
        <v>0</v>
      </c>
      <c r="J84" s="59">
        <f>'Stavební rozpočet'!J453</f>
        <v>0</v>
      </c>
      <c r="K84" s="59">
        <f>'Stavební rozpočet'!K453</f>
        <v>0</v>
      </c>
      <c r="L84" s="59">
        <f>G84*K84</f>
        <v>0</v>
      </c>
      <c r="M84" s="60" t="s">
        <v>115</v>
      </c>
      <c r="Z84" s="59">
        <f>ROUND(IF(AQ84="5",BJ84,0),2)</f>
        <v>0</v>
      </c>
      <c r="AB84" s="59">
        <f>ROUND(IF(AQ84="1",BH84,0),2)</f>
        <v>0</v>
      </c>
      <c r="AC84" s="59">
        <f>ROUND(IF(AQ84="1",BI84,0),2)</f>
        <v>0</v>
      </c>
      <c r="AD84" s="59">
        <f>ROUND(IF(AQ84="7",BH84,0),2)</f>
        <v>0</v>
      </c>
      <c r="AE84" s="59">
        <f>ROUND(IF(AQ84="7",BI84,0),2)</f>
        <v>0</v>
      </c>
      <c r="AF84" s="59">
        <f>ROUND(IF(AQ84="2",BH84,0),2)</f>
        <v>0</v>
      </c>
      <c r="AG84" s="59">
        <f>ROUND(IF(AQ84="2",BI84,0),2)</f>
        <v>0</v>
      </c>
      <c r="AH84" s="59">
        <f>ROUND(IF(AQ84="0",BJ84,0),2)</f>
        <v>0</v>
      </c>
      <c r="AI84" s="46" t="s">
        <v>488</v>
      </c>
      <c r="AJ84" s="59">
        <f>IF(AN84=0,I84,0)</f>
        <v>0</v>
      </c>
      <c r="AK84" s="59">
        <f>IF(AN84=12,I84,0)</f>
        <v>0</v>
      </c>
      <c r="AL84" s="59">
        <f>IF(AN84=21,I84,0)</f>
        <v>0</v>
      </c>
      <c r="AN84" s="59">
        <v>12</v>
      </c>
      <c r="AO84" s="59">
        <f>H84*0</f>
        <v>0</v>
      </c>
      <c r="AP84" s="59">
        <f>H84*(1-0)</f>
        <v>0</v>
      </c>
      <c r="AQ84" s="61" t="s">
        <v>137</v>
      </c>
      <c r="AV84" s="59">
        <f>ROUND(AW84+AX84,2)</f>
        <v>0</v>
      </c>
      <c r="AW84" s="59">
        <f>ROUND(G84*AO84,2)</f>
        <v>0</v>
      </c>
      <c r="AX84" s="59">
        <f>ROUND(G84*AP84,2)</f>
        <v>0</v>
      </c>
      <c r="AY84" s="61" t="s">
        <v>187</v>
      </c>
      <c r="AZ84" s="61" t="s">
        <v>496</v>
      </c>
      <c r="BA84" s="46" t="s">
        <v>491</v>
      </c>
      <c r="BC84" s="59">
        <f>AW84+AX84</f>
        <v>0</v>
      </c>
      <c r="BD84" s="59">
        <f>H84/(100-BE84)*100</f>
        <v>0</v>
      </c>
      <c r="BE84" s="59">
        <v>0</v>
      </c>
      <c r="BF84" s="59">
        <f>L84</f>
        <v>0</v>
      </c>
      <c r="BH84" s="59">
        <f>G84*AO84</f>
        <v>0</v>
      </c>
      <c r="BI84" s="59">
        <f>G84*AP84</f>
        <v>0</v>
      </c>
      <c r="BJ84" s="59">
        <f>G84*H84</f>
        <v>0</v>
      </c>
      <c r="BK84" s="59"/>
      <c r="BL84" s="59">
        <v>766</v>
      </c>
      <c r="BW84" s="59">
        <v>12</v>
      </c>
      <c r="BX84" s="16" t="s">
        <v>223</v>
      </c>
    </row>
    <row r="85" spans="1:76" ht="15" customHeight="1" x14ac:dyDescent="0.25">
      <c r="A85" s="54"/>
      <c r="B85" s="55" t="s">
        <v>488</v>
      </c>
      <c r="C85" s="55" t="s">
        <v>397</v>
      </c>
      <c r="D85" s="104" t="s">
        <v>398</v>
      </c>
      <c r="E85" s="104"/>
      <c r="F85" s="56" t="s">
        <v>88</v>
      </c>
      <c r="G85" s="56" t="s">
        <v>88</v>
      </c>
      <c r="H85" s="56" t="s">
        <v>88</v>
      </c>
      <c r="I85" s="39">
        <f>SUM(I86)</f>
        <v>0</v>
      </c>
      <c r="J85" s="46"/>
      <c r="K85" s="46"/>
      <c r="L85" s="39">
        <f>SUM(L86)</f>
        <v>0.261324</v>
      </c>
      <c r="M85" s="57"/>
      <c r="AI85" s="46" t="s">
        <v>488</v>
      </c>
      <c r="AS85" s="39">
        <f>SUM(AJ86)</f>
        <v>0</v>
      </c>
      <c r="AT85" s="39">
        <f>SUM(AK86)</f>
        <v>0</v>
      </c>
      <c r="AU85" s="39">
        <f>SUM(AL86)</f>
        <v>0</v>
      </c>
    </row>
    <row r="86" spans="1:76" ht="15" customHeight="1" x14ac:dyDescent="0.25">
      <c r="A86" s="58" t="s">
        <v>269</v>
      </c>
      <c r="B86" s="18" t="s">
        <v>488</v>
      </c>
      <c r="C86" s="18" t="s">
        <v>399</v>
      </c>
      <c r="D86" s="8" t="s">
        <v>400</v>
      </c>
      <c r="E86" s="8"/>
      <c r="F86" s="18" t="s">
        <v>114</v>
      </c>
      <c r="G86" s="59">
        <f>'Stavební rozpočet'!G455</f>
        <v>24.4</v>
      </c>
      <c r="H86" s="59">
        <f>'Stavební rozpočet'!H455</f>
        <v>0</v>
      </c>
      <c r="I86" s="59">
        <f>ROUND(G86*H86,2)</f>
        <v>0</v>
      </c>
      <c r="J86" s="59">
        <f>'Stavební rozpočet'!J455</f>
        <v>1.0710000000000001E-2</v>
      </c>
      <c r="K86" s="59">
        <f>'Stavební rozpočet'!K455</f>
        <v>1.0710000000000001E-2</v>
      </c>
      <c r="L86" s="59">
        <f>G86*K86</f>
        <v>0.261324</v>
      </c>
      <c r="M86" s="60" t="s">
        <v>115</v>
      </c>
      <c r="Z86" s="59">
        <f>ROUND(IF(AQ86="5",BJ86,0),2)</f>
        <v>0</v>
      </c>
      <c r="AB86" s="59">
        <f>ROUND(IF(AQ86="1",BH86,0),2)</f>
        <v>0</v>
      </c>
      <c r="AC86" s="59">
        <f>ROUND(IF(AQ86="1",BI86,0),2)</f>
        <v>0</v>
      </c>
      <c r="AD86" s="59">
        <f>ROUND(IF(AQ86="7",BH86,0),2)</f>
        <v>0</v>
      </c>
      <c r="AE86" s="59">
        <f>ROUND(IF(AQ86="7",BI86,0),2)</f>
        <v>0</v>
      </c>
      <c r="AF86" s="59">
        <f>ROUND(IF(AQ86="2",BH86,0),2)</f>
        <v>0</v>
      </c>
      <c r="AG86" s="59">
        <f>ROUND(IF(AQ86="2",BI86,0),2)</f>
        <v>0</v>
      </c>
      <c r="AH86" s="59">
        <f>ROUND(IF(AQ86="0",BJ86,0),2)</f>
        <v>0</v>
      </c>
      <c r="AI86" s="46" t="s">
        <v>488</v>
      </c>
      <c r="AJ86" s="59">
        <f>IF(AN86=0,I86,0)</f>
        <v>0</v>
      </c>
      <c r="AK86" s="59">
        <f>IF(AN86=12,I86,0)</f>
        <v>0</v>
      </c>
      <c r="AL86" s="59">
        <f>IF(AN86=21,I86,0)</f>
        <v>0</v>
      </c>
      <c r="AN86" s="59">
        <v>12</v>
      </c>
      <c r="AO86" s="59">
        <f>H86*0.791824982</f>
        <v>0</v>
      </c>
      <c r="AP86" s="59">
        <f>H86*(1-0.791824982)</f>
        <v>0</v>
      </c>
      <c r="AQ86" s="61" t="s">
        <v>150</v>
      </c>
      <c r="AV86" s="59">
        <f>ROUND(AW86+AX86,2)</f>
        <v>0</v>
      </c>
      <c r="AW86" s="59">
        <f>ROUND(G86*AO86,2)</f>
        <v>0</v>
      </c>
      <c r="AX86" s="59">
        <f>ROUND(G86*AP86,2)</f>
        <v>0</v>
      </c>
      <c r="AY86" s="61" t="s">
        <v>401</v>
      </c>
      <c r="AZ86" s="61" t="s">
        <v>500</v>
      </c>
      <c r="BA86" s="46" t="s">
        <v>491</v>
      </c>
      <c r="BC86" s="59">
        <f>AW86+AX86</f>
        <v>0</v>
      </c>
      <c r="BD86" s="59">
        <f>H86/(100-BE86)*100</f>
        <v>0</v>
      </c>
      <c r="BE86" s="59">
        <v>0</v>
      </c>
      <c r="BF86" s="59">
        <f>L86</f>
        <v>0.261324</v>
      </c>
      <c r="BH86" s="59">
        <f>G86*AO86</f>
        <v>0</v>
      </c>
      <c r="BI86" s="59">
        <f>G86*AP86</f>
        <v>0</v>
      </c>
      <c r="BJ86" s="59">
        <f>G86*H86</f>
        <v>0</v>
      </c>
      <c r="BK86" s="59"/>
      <c r="BL86" s="59">
        <v>777</v>
      </c>
      <c r="BW86" s="59">
        <v>12</v>
      </c>
      <c r="BX86" s="16" t="s">
        <v>400</v>
      </c>
    </row>
    <row r="87" spans="1:76" x14ac:dyDescent="0.25">
      <c r="A87" s="62"/>
      <c r="D87" s="63" t="s">
        <v>403</v>
      </c>
      <c r="E87" s="63"/>
      <c r="G87" s="64">
        <v>24.4</v>
      </c>
      <c r="M87" s="65"/>
    </row>
    <row r="88" spans="1:76" ht="15" customHeight="1" x14ac:dyDescent="0.25">
      <c r="A88" s="54"/>
      <c r="B88" s="55" t="s">
        <v>488</v>
      </c>
      <c r="C88" s="55" t="s">
        <v>225</v>
      </c>
      <c r="D88" s="104" t="s">
        <v>226</v>
      </c>
      <c r="E88" s="104"/>
      <c r="F88" s="56" t="s">
        <v>88</v>
      </c>
      <c r="G88" s="56" t="s">
        <v>88</v>
      </c>
      <c r="H88" s="56" t="s">
        <v>88</v>
      </c>
      <c r="I88" s="39">
        <f>SUM(I89:I101)</f>
        <v>0</v>
      </c>
      <c r="J88" s="46"/>
      <c r="K88" s="46"/>
      <c r="L88" s="39">
        <f>SUM(L89:L101)</f>
        <v>1.7443960000000001E-2</v>
      </c>
      <c r="M88" s="57"/>
      <c r="AI88" s="46" t="s">
        <v>488</v>
      </c>
      <c r="AS88" s="39">
        <f>SUM(AJ89:AJ101)</f>
        <v>0</v>
      </c>
      <c r="AT88" s="39">
        <f>SUM(AK89:AK101)</f>
        <v>0</v>
      </c>
      <c r="AU88" s="39">
        <f>SUM(AL89:AL101)</f>
        <v>0</v>
      </c>
    </row>
    <row r="89" spans="1:76" ht="15" customHeight="1" x14ac:dyDescent="0.25">
      <c r="A89" s="58" t="s">
        <v>279</v>
      </c>
      <c r="B89" s="18" t="s">
        <v>488</v>
      </c>
      <c r="C89" s="18" t="s">
        <v>228</v>
      </c>
      <c r="D89" s="8" t="s">
        <v>229</v>
      </c>
      <c r="E89" s="8"/>
      <c r="F89" s="18" t="s">
        <v>114</v>
      </c>
      <c r="G89" s="59">
        <f>'Stavební rozpočet'!G458</f>
        <v>6.1539999999999999</v>
      </c>
      <c r="H89" s="59">
        <f>'Stavební rozpočet'!H458</f>
        <v>0</v>
      </c>
      <c r="I89" s="59">
        <f>ROUND(G89*H89,2)</f>
        <v>0</v>
      </c>
      <c r="J89" s="59">
        <f>'Stavební rozpočet'!J458</f>
        <v>2.9E-4</v>
      </c>
      <c r="K89" s="59">
        <f>'Stavební rozpočet'!K458</f>
        <v>2.9E-4</v>
      </c>
      <c r="L89" s="59">
        <f>G89*K89</f>
        <v>1.78466E-3</v>
      </c>
      <c r="M89" s="60" t="s">
        <v>115</v>
      </c>
      <c r="Z89" s="59">
        <f>ROUND(IF(AQ89="5",BJ89,0),2)</f>
        <v>0</v>
      </c>
      <c r="AB89" s="59">
        <f>ROUND(IF(AQ89="1",BH89,0),2)</f>
        <v>0</v>
      </c>
      <c r="AC89" s="59">
        <f>ROUND(IF(AQ89="1",BI89,0),2)</f>
        <v>0</v>
      </c>
      <c r="AD89" s="59">
        <f>ROUND(IF(AQ89="7",BH89,0),2)</f>
        <v>0</v>
      </c>
      <c r="AE89" s="59">
        <f>ROUND(IF(AQ89="7",BI89,0),2)</f>
        <v>0</v>
      </c>
      <c r="AF89" s="59">
        <f>ROUND(IF(AQ89="2",BH89,0),2)</f>
        <v>0</v>
      </c>
      <c r="AG89" s="59">
        <f>ROUND(IF(AQ89="2",BI89,0),2)</f>
        <v>0</v>
      </c>
      <c r="AH89" s="59">
        <f>ROUND(IF(AQ89="0",BJ89,0),2)</f>
        <v>0</v>
      </c>
      <c r="AI89" s="46" t="s">
        <v>488</v>
      </c>
      <c r="AJ89" s="59">
        <f>IF(AN89=0,I89,0)</f>
        <v>0</v>
      </c>
      <c r="AK89" s="59">
        <f>IF(AN89=12,I89,0)</f>
        <v>0</v>
      </c>
      <c r="AL89" s="59">
        <f>IF(AN89=21,I89,0)</f>
        <v>0</v>
      </c>
      <c r="AN89" s="59">
        <v>12</v>
      </c>
      <c r="AO89" s="59">
        <f>H89*0.178147182</f>
        <v>0</v>
      </c>
      <c r="AP89" s="59">
        <f>H89*(1-0.178147182)</f>
        <v>0</v>
      </c>
      <c r="AQ89" s="61" t="s">
        <v>150</v>
      </c>
      <c r="AV89" s="59">
        <f>ROUND(AW89+AX89,2)</f>
        <v>0</v>
      </c>
      <c r="AW89" s="59">
        <f>ROUND(G89*AO89,2)</f>
        <v>0</v>
      </c>
      <c r="AX89" s="59">
        <f>ROUND(G89*AP89,2)</f>
        <v>0</v>
      </c>
      <c r="AY89" s="61" t="s">
        <v>230</v>
      </c>
      <c r="AZ89" s="61" t="s">
        <v>501</v>
      </c>
      <c r="BA89" s="46" t="s">
        <v>491</v>
      </c>
      <c r="BC89" s="59">
        <f>AW89+AX89</f>
        <v>0</v>
      </c>
      <c r="BD89" s="59">
        <f>H89/(100-BE89)*100</f>
        <v>0</v>
      </c>
      <c r="BE89" s="59">
        <v>0</v>
      </c>
      <c r="BF89" s="59">
        <f>L89</f>
        <v>1.78466E-3</v>
      </c>
      <c r="BH89" s="59">
        <f>G89*AO89</f>
        <v>0</v>
      </c>
      <c r="BI89" s="59">
        <f>G89*AP89</f>
        <v>0</v>
      </c>
      <c r="BJ89" s="59">
        <f>G89*H89</f>
        <v>0</v>
      </c>
      <c r="BK89" s="59"/>
      <c r="BL89" s="59">
        <v>783</v>
      </c>
      <c r="BW89" s="59">
        <v>12</v>
      </c>
      <c r="BX89" s="16" t="s">
        <v>229</v>
      </c>
    </row>
    <row r="90" spans="1:76" ht="13.5" customHeight="1" x14ac:dyDescent="0.25">
      <c r="A90" s="62"/>
      <c r="D90" s="105" t="s">
        <v>232</v>
      </c>
      <c r="E90" s="105"/>
      <c r="F90" s="105"/>
      <c r="G90" s="105"/>
      <c r="H90" s="105"/>
      <c r="I90" s="105"/>
      <c r="J90" s="105"/>
      <c r="K90" s="105"/>
      <c r="L90" s="105"/>
      <c r="M90" s="105"/>
    </row>
    <row r="91" spans="1:76" x14ac:dyDescent="0.25">
      <c r="A91" s="62"/>
      <c r="D91" s="63" t="s">
        <v>405</v>
      </c>
      <c r="E91" s="63"/>
      <c r="G91" s="64">
        <v>6.1539999999999999</v>
      </c>
      <c r="M91" s="65"/>
    </row>
    <row r="92" spans="1:76" ht="15" customHeight="1" x14ac:dyDescent="0.25">
      <c r="A92" s="58" t="s">
        <v>286</v>
      </c>
      <c r="B92" s="18" t="s">
        <v>488</v>
      </c>
      <c r="C92" s="18" t="s">
        <v>235</v>
      </c>
      <c r="D92" s="8" t="s">
        <v>236</v>
      </c>
      <c r="E92" s="8"/>
      <c r="F92" s="18" t="s">
        <v>114</v>
      </c>
      <c r="G92" s="59">
        <f>'Stavební rozpočet'!G460</f>
        <v>8.75</v>
      </c>
      <c r="H92" s="59">
        <f>'Stavební rozpočet'!H460</f>
        <v>0</v>
      </c>
      <c r="I92" s="59">
        <f>ROUND(G92*H92,2)</f>
        <v>0</v>
      </c>
      <c r="J92" s="59">
        <f>'Stavební rozpočet'!J460</f>
        <v>2.7E-4</v>
      </c>
      <c r="K92" s="59">
        <f>'Stavební rozpočet'!K460</f>
        <v>2.7E-4</v>
      </c>
      <c r="L92" s="59">
        <f>G92*K92</f>
        <v>2.3625E-3</v>
      </c>
      <c r="M92" s="60" t="s">
        <v>115</v>
      </c>
      <c r="Z92" s="59">
        <f>ROUND(IF(AQ92="5",BJ92,0),2)</f>
        <v>0</v>
      </c>
      <c r="AB92" s="59">
        <f>ROUND(IF(AQ92="1",BH92,0),2)</f>
        <v>0</v>
      </c>
      <c r="AC92" s="59">
        <f>ROUND(IF(AQ92="1",BI92,0),2)</f>
        <v>0</v>
      </c>
      <c r="AD92" s="59">
        <f>ROUND(IF(AQ92="7",BH92,0),2)</f>
        <v>0</v>
      </c>
      <c r="AE92" s="59">
        <f>ROUND(IF(AQ92="7",BI92,0),2)</f>
        <v>0</v>
      </c>
      <c r="AF92" s="59">
        <f>ROUND(IF(AQ92="2",BH92,0),2)</f>
        <v>0</v>
      </c>
      <c r="AG92" s="59">
        <f>ROUND(IF(AQ92="2",BI92,0),2)</f>
        <v>0</v>
      </c>
      <c r="AH92" s="59">
        <f>ROUND(IF(AQ92="0",BJ92,0),2)</f>
        <v>0</v>
      </c>
      <c r="AI92" s="46" t="s">
        <v>488</v>
      </c>
      <c r="AJ92" s="59">
        <f>IF(AN92=0,I92,0)</f>
        <v>0</v>
      </c>
      <c r="AK92" s="59">
        <f>IF(AN92=12,I92,0)</f>
        <v>0</v>
      </c>
      <c r="AL92" s="59">
        <f>IF(AN92=21,I92,0)</f>
        <v>0</v>
      </c>
      <c r="AN92" s="59">
        <v>12</v>
      </c>
      <c r="AO92" s="59">
        <f>H92*0.140415743</f>
        <v>0</v>
      </c>
      <c r="AP92" s="59">
        <f>H92*(1-0.140415743)</f>
        <v>0</v>
      </c>
      <c r="AQ92" s="61" t="s">
        <v>150</v>
      </c>
      <c r="AV92" s="59">
        <f>ROUND(AW92+AX92,2)</f>
        <v>0</v>
      </c>
      <c r="AW92" s="59">
        <f>ROUND(G92*AO92,2)</f>
        <v>0</v>
      </c>
      <c r="AX92" s="59">
        <f>ROUND(G92*AP92,2)</f>
        <v>0</v>
      </c>
      <c r="AY92" s="61" t="s">
        <v>230</v>
      </c>
      <c r="AZ92" s="61" t="s">
        <v>501</v>
      </c>
      <c r="BA92" s="46" t="s">
        <v>491</v>
      </c>
      <c r="BC92" s="59">
        <f>AW92+AX92</f>
        <v>0</v>
      </c>
      <c r="BD92" s="59">
        <f>H92/(100-BE92)*100</f>
        <v>0</v>
      </c>
      <c r="BE92" s="59">
        <v>0</v>
      </c>
      <c r="BF92" s="59">
        <f>L92</f>
        <v>2.3625E-3</v>
      </c>
      <c r="BH92" s="59">
        <f>G92*AO92</f>
        <v>0</v>
      </c>
      <c r="BI92" s="59">
        <f>G92*AP92</f>
        <v>0</v>
      </c>
      <c r="BJ92" s="59">
        <f>G92*H92</f>
        <v>0</v>
      </c>
      <c r="BK92" s="59"/>
      <c r="BL92" s="59">
        <v>783</v>
      </c>
      <c r="BW92" s="59">
        <v>12</v>
      </c>
      <c r="BX92" s="16" t="s">
        <v>236</v>
      </c>
    </row>
    <row r="93" spans="1:76" ht="13.5" customHeight="1" x14ac:dyDescent="0.25">
      <c r="A93" s="62"/>
      <c r="D93" s="105" t="s">
        <v>237</v>
      </c>
      <c r="E93" s="105"/>
      <c r="F93" s="105"/>
      <c r="G93" s="105"/>
      <c r="H93" s="105"/>
      <c r="I93" s="105"/>
      <c r="J93" s="105"/>
      <c r="K93" s="105"/>
      <c r="L93" s="105"/>
      <c r="M93" s="105"/>
    </row>
    <row r="94" spans="1:76" x14ac:dyDescent="0.25">
      <c r="A94" s="62"/>
      <c r="D94" s="63" t="s">
        <v>406</v>
      </c>
      <c r="E94" s="63"/>
      <c r="G94" s="64">
        <v>8.75</v>
      </c>
      <c r="M94" s="65"/>
    </row>
    <row r="95" spans="1:76" ht="15" customHeight="1" x14ac:dyDescent="0.25">
      <c r="A95" s="58" t="s">
        <v>292</v>
      </c>
      <c r="B95" s="18" t="s">
        <v>488</v>
      </c>
      <c r="C95" s="18" t="s">
        <v>407</v>
      </c>
      <c r="D95" s="8" t="s">
        <v>408</v>
      </c>
      <c r="E95" s="8"/>
      <c r="F95" s="18" t="s">
        <v>114</v>
      </c>
      <c r="G95" s="59">
        <f>'Stavební rozpočet'!G462</f>
        <v>30.22</v>
      </c>
      <c r="H95" s="59">
        <f>'Stavební rozpočet'!H462</f>
        <v>0</v>
      </c>
      <c r="I95" s="59">
        <f>ROUND(G95*H95,2)</f>
        <v>0</v>
      </c>
      <c r="J95" s="59">
        <f>'Stavební rozpočet'!J462</f>
        <v>3.6000000000000002E-4</v>
      </c>
      <c r="K95" s="59">
        <f>'Stavební rozpočet'!K462</f>
        <v>3.6000000000000002E-4</v>
      </c>
      <c r="L95" s="59">
        <f>G95*K95</f>
        <v>1.08792E-2</v>
      </c>
      <c r="M95" s="60" t="s">
        <v>115</v>
      </c>
      <c r="Z95" s="59">
        <f>ROUND(IF(AQ95="5",BJ95,0),2)</f>
        <v>0</v>
      </c>
      <c r="AB95" s="59">
        <f>ROUND(IF(AQ95="1",BH95,0),2)</f>
        <v>0</v>
      </c>
      <c r="AC95" s="59">
        <f>ROUND(IF(AQ95="1",BI95,0),2)</f>
        <v>0</v>
      </c>
      <c r="AD95" s="59">
        <f>ROUND(IF(AQ95="7",BH95,0),2)</f>
        <v>0</v>
      </c>
      <c r="AE95" s="59">
        <f>ROUND(IF(AQ95="7",BI95,0),2)</f>
        <v>0</v>
      </c>
      <c r="AF95" s="59">
        <f>ROUND(IF(AQ95="2",BH95,0),2)</f>
        <v>0</v>
      </c>
      <c r="AG95" s="59">
        <f>ROUND(IF(AQ95="2",BI95,0),2)</f>
        <v>0</v>
      </c>
      <c r="AH95" s="59">
        <f>ROUND(IF(AQ95="0",BJ95,0),2)</f>
        <v>0</v>
      </c>
      <c r="AI95" s="46" t="s">
        <v>488</v>
      </c>
      <c r="AJ95" s="59">
        <f>IF(AN95=0,I95,0)</f>
        <v>0</v>
      </c>
      <c r="AK95" s="59">
        <f>IF(AN95=12,I95,0)</f>
        <v>0</v>
      </c>
      <c r="AL95" s="59">
        <f>IF(AN95=21,I95,0)</f>
        <v>0</v>
      </c>
      <c r="AN95" s="59">
        <v>12</v>
      </c>
      <c r="AO95" s="59">
        <f>H95*0.23711537</f>
        <v>0</v>
      </c>
      <c r="AP95" s="59">
        <f>H95*(1-0.23711537)</f>
        <v>0</v>
      </c>
      <c r="AQ95" s="61" t="s">
        <v>150</v>
      </c>
      <c r="AV95" s="59">
        <f>ROUND(AW95+AX95,2)</f>
        <v>0</v>
      </c>
      <c r="AW95" s="59">
        <f>ROUND(G95*AO95,2)</f>
        <v>0</v>
      </c>
      <c r="AX95" s="59">
        <f>ROUND(G95*AP95,2)</f>
        <v>0</v>
      </c>
      <c r="AY95" s="61" t="s">
        <v>230</v>
      </c>
      <c r="AZ95" s="61" t="s">
        <v>501</v>
      </c>
      <c r="BA95" s="46" t="s">
        <v>491</v>
      </c>
      <c r="BC95" s="59">
        <f>AW95+AX95</f>
        <v>0</v>
      </c>
      <c r="BD95" s="59">
        <f>H95/(100-BE95)*100</f>
        <v>0</v>
      </c>
      <c r="BE95" s="59">
        <v>0</v>
      </c>
      <c r="BF95" s="59">
        <f>L95</f>
        <v>1.08792E-2</v>
      </c>
      <c r="BH95" s="59">
        <f>G95*AO95</f>
        <v>0</v>
      </c>
      <c r="BI95" s="59">
        <f>G95*AP95</f>
        <v>0</v>
      </c>
      <c r="BJ95" s="59">
        <f>G95*H95</f>
        <v>0</v>
      </c>
      <c r="BK95" s="59"/>
      <c r="BL95" s="59">
        <v>783</v>
      </c>
      <c r="BW95" s="59">
        <v>12</v>
      </c>
      <c r="BX95" s="16" t="s">
        <v>408</v>
      </c>
    </row>
    <row r="96" spans="1:76" ht="13.5" customHeight="1" x14ac:dyDescent="0.25">
      <c r="A96" s="62"/>
      <c r="D96" s="105" t="s">
        <v>409</v>
      </c>
      <c r="E96" s="105"/>
      <c r="F96" s="105"/>
      <c r="G96" s="105"/>
      <c r="H96" s="105"/>
      <c r="I96" s="105"/>
      <c r="J96" s="105"/>
      <c r="K96" s="105"/>
      <c r="L96" s="105"/>
      <c r="M96" s="105"/>
    </row>
    <row r="97" spans="1:76" x14ac:dyDescent="0.25">
      <c r="A97" s="62"/>
      <c r="D97" s="63" t="s">
        <v>410</v>
      </c>
      <c r="E97" s="63"/>
      <c r="G97" s="64">
        <v>30.22</v>
      </c>
      <c r="M97" s="65"/>
    </row>
    <row r="98" spans="1:76" ht="15" customHeight="1" x14ac:dyDescent="0.25">
      <c r="A98" s="58" t="s">
        <v>296</v>
      </c>
      <c r="B98" s="18" t="s">
        <v>488</v>
      </c>
      <c r="C98" s="18" t="s">
        <v>411</v>
      </c>
      <c r="D98" s="8" t="s">
        <v>412</v>
      </c>
      <c r="E98" s="8"/>
      <c r="F98" s="18" t="s">
        <v>114</v>
      </c>
      <c r="G98" s="59">
        <f>'Stavební rozpočet'!G464</f>
        <v>30.22</v>
      </c>
      <c r="H98" s="59">
        <f>'Stavební rozpočet'!H464</f>
        <v>0</v>
      </c>
      <c r="I98" s="59">
        <f>ROUND(G98*H98,2)</f>
        <v>0</v>
      </c>
      <c r="J98" s="59">
        <f>'Stavební rozpočet'!J464</f>
        <v>1.0000000000000001E-5</v>
      </c>
      <c r="K98" s="59">
        <f>'Stavební rozpočet'!K464</f>
        <v>1.0000000000000001E-5</v>
      </c>
      <c r="L98" s="59">
        <f>G98*K98</f>
        <v>3.0220000000000003E-4</v>
      </c>
      <c r="M98" s="60" t="s">
        <v>115</v>
      </c>
      <c r="Z98" s="59">
        <f>ROUND(IF(AQ98="5",BJ98,0),2)</f>
        <v>0</v>
      </c>
      <c r="AB98" s="59">
        <f>ROUND(IF(AQ98="1",BH98,0),2)</f>
        <v>0</v>
      </c>
      <c r="AC98" s="59">
        <f>ROUND(IF(AQ98="1",BI98,0),2)</f>
        <v>0</v>
      </c>
      <c r="AD98" s="59">
        <f>ROUND(IF(AQ98="7",BH98,0),2)</f>
        <v>0</v>
      </c>
      <c r="AE98" s="59">
        <f>ROUND(IF(AQ98="7",BI98,0),2)</f>
        <v>0</v>
      </c>
      <c r="AF98" s="59">
        <f>ROUND(IF(AQ98="2",BH98,0),2)</f>
        <v>0</v>
      </c>
      <c r="AG98" s="59">
        <f>ROUND(IF(AQ98="2",BI98,0),2)</f>
        <v>0</v>
      </c>
      <c r="AH98" s="59">
        <f>ROUND(IF(AQ98="0",BJ98,0),2)</f>
        <v>0</v>
      </c>
      <c r="AI98" s="46" t="s">
        <v>488</v>
      </c>
      <c r="AJ98" s="59">
        <f>IF(AN98=0,I98,0)</f>
        <v>0</v>
      </c>
      <c r="AK98" s="59">
        <f>IF(AN98=12,I98,0)</f>
        <v>0</v>
      </c>
      <c r="AL98" s="59">
        <f>IF(AN98=21,I98,0)</f>
        <v>0</v>
      </c>
      <c r="AN98" s="59">
        <v>12</v>
      </c>
      <c r="AO98" s="59">
        <f>H98*0.06128009</f>
        <v>0</v>
      </c>
      <c r="AP98" s="59">
        <f>H98*(1-0.06128009)</f>
        <v>0</v>
      </c>
      <c r="AQ98" s="61" t="s">
        <v>150</v>
      </c>
      <c r="AV98" s="59">
        <f>ROUND(AW98+AX98,2)</f>
        <v>0</v>
      </c>
      <c r="AW98" s="59">
        <f>ROUND(G98*AO98,2)</f>
        <v>0</v>
      </c>
      <c r="AX98" s="59">
        <f>ROUND(G98*AP98,2)</f>
        <v>0</v>
      </c>
      <c r="AY98" s="61" t="s">
        <v>230</v>
      </c>
      <c r="AZ98" s="61" t="s">
        <v>501</v>
      </c>
      <c r="BA98" s="46" t="s">
        <v>491</v>
      </c>
      <c r="BC98" s="59">
        <f>AW98+AX98</f>
        <v>0</v>
      </c>
      <c r="BD98" s="59">
        <f>H98/(100-BE98)*100</f>
        <v>0</v>
      </c>
      <c r="BE98" s="59">
        <v>0</v>
      </c>
      <c r="BF98" s="59">
        <f>L98</f>
        <v>3.0220000000000003E-4</v>
      </c>
      <c r="BH98" s="59">
        <f>G98*AO98</f>
        <v>0</v>
      </c>
      <c r="BI98" s="59">
        <f>G98*AP98</f>
        <v>0</v>
      </c>
      <c r="BJ98" s="59">
        <f>G98*H98</f>
        <v>0</v>
      </c>
      <c r="BK98" s="59"/>
      <c r="BL98" s="59">
        <v>783</v>
      </c>
      <c r="BW98" s="59">
        <v>12</v>
      </c>
      <c r="BX98" s="16" t="s">
        <v>412</v>
      </c>
    </row>
    <row r="99" spans="1:76" ht="13.5" customHeight="1" x14ac:dyDescent="0.25">
      <c r="A99" s="62"/>
      <c r="D99" s="105" t="s">
        <v>413</v>
      </c>
      <c r="E99" s="105"/>
      <c r="F99" s="105"/>
      <c r="G99" s="105"/>
      <c r="H99" s="105"/>
      <c r="I99" s="105"/>
      <c r="J99" s="105"/>
      <c r="K99" s="105"/>
      <c r="L99" s="105"/>
      <c r="M99" s="105"/>
    </row>
    <row r="100" spans="1:76" x14ac:dyDescent="0.25">
      <c r="A100" s="62"/>
      <c r="D100" s="63" t="s">
        <v>410</v>
      </c>
      <c r="E100" s="63"/>
      <c r="G100" s="64">
        <v>30.22</v>
      </c>
      <c r="M100" s="65"/>
    </row>
    <row r="101" spans="1:76" ht="15" customHeight="1" x14ac:dyDescent="0.25">
      <c r="A101" s="58" t="s">
        <v>301</v>
      </c>
      <c r="B101" s="18" t="s">
        <v>488</v>
      </c>
      <c r="C101" s="18" t="s">
        <v>414</v>
      </c>
      <c r="D101" s="8" t="s">
        <v>412</v>
      </c>
      <c r="E101" s="8"/>
      <c r="F101" s="18" t="s">
        <v>114</v>
      </c>
      <c r="G101" s="59">
        <f>'Stavební rozpočet'!G466</f>
        <v>30.22</v>
      </c>
      <c r="H101" s="59">
        <f>'Stavební rozpočet'!H466</f>
        <v>0</v>
      </c>
      <c r="I101" s="59">
        <f>ROUND(G101*H101,2)</f>
        <v>0</v>
      </c>
      <c r="J101" s="59">
        <f>'Stavební rozpočet'!J466</f>
        <v>6.9999999999999994E-5</v>
      </c>
      <c r="K101" s="59">
        <f>'Stavební rozpočet'!K466</f>
        <v>6.9999999999999994E-5</v>
      </c>
      <c r="L101" s="59">
        <f>G101*K101</f>
        <v>2.1153999999999999E-3</v>
      </c>
      <c r="M101" s="60" t="s">
        <v>115</v>
      </c>
      <c r="Z101" s="59">
        <f>ROUND(IF(AQ101="5",BJ101,0),2)</f>
        <v>0</v>
      </c>
      <c r="AB101" s="59">
        <f>ROUND(IF(AQ101="1",BH101,0),2)</f>
        <v>0</v>
      </c>
      <c r="AC101" s="59">
        <f>ROUND(IF(AQ101="1",BI101,0),2)</f>
        <v>0</v>
      </c>
      <c r="AD101" s="59">
        <f>ROUND(IF(AQ101="7",BH101,0),2)</f>
        <v>0</v>
      </c>
      <c r="AE101" s="59">
        <f>ROUND(IF(AQ101="7",BI101,0),2)</f>
        <v>0</v>
      </c>
      <c r="AF101" s="59">
        <f>ROUND(IF(AQ101="2",BH101,0),2)</f>
        <v>0</v>
      </c>
      <c r="AG101" s="59">
        <f>ROUND(IF(AQ101="2",BI101,0),2)</f>
        <v>0</v>
      </c>
      <c r="AH101" s="59">
        <f>ROUND(IF(AQ101="0",BJ101,0),2)</f>
        <v>0</v>
      </c>
      <c r="AI101" s="46" t="s">
        <v>488</v>
      </c>
      <c r="AJ101" s="59">
        <f>IF(AN101=0,I101,0)</f>
        <v>0</v>
      </c>
      <c r="AK101" s="59">
        <f>IF(AN101=12,I101,0)</f>
        <v>0</v>
      </c>
      <c r="AL101" s="59">
        <f>IF(AN101=21,I101,0)</f>
        <v>0</v>
      </c>
      <c r="AN101" s="59">
        <v>12</v>
      </c>
      <c r="AO101" s="59">
        <f>H101*0.091915035</f>
        <v>0</v>
      </c>
      <c r="AP101" s="59">
        <f>H101*(1-0.091915035)</f>
        <v>0</v>
      </c>
      <c r="AQ101" s="61" t="s">
        <v>150</v>
      </c>
      <c r="AV101" s="59">
        <f>ROUND(AW101+AX101,2)</f>
        <v>0</v>
      </c>
      <c r="AW101" s="59">
        <f>ROUND(G101*AO101,2)</f>
        <v>0</v>
      </c>
      <c r="AX101" s="59">
        <f>ROUND(G101*AP101,2)</f>
        <v>0</v>
      </c>
      <c r="AY101" s="61" t="s">
        <v>230</v>
      </c>
      <c r="AZ101" s="61" t="s">
        <v>501</v>
      </c>
      <c r="BA101" s="46" t="s">
        <v>491</v>
      </c>
      <c r="BC101" s="59">
        <f>AW101+AX101</f>
        <v>0</v>
      </c>
      <c r="BD101" s="59">
        <f>H101/(100-BE101)*100</f>
        <v>0</v>
      </c>
      <c r="BE101" s="59">
        <v>0</v>
      </c>
      <c r="BF101" s="59">
        <f>L101</f>
        <v>2.1153999999999999E-3</v>
      </c>
      <c r="BH101" s="59">
        <f>G101*AO101</f>
        <v>0</v>
      </c>
      <c r="BI101" s="59">
        <f>G101*AP101</f>
        <v>0</v>
      </c>
      <c r="BJ101" s="59">
        <f>G101*H101</f>
        <v>0</v>
      </c>
      <c r="BK101" s="59"/>
      <c r="BL101" s="59">
        <v>783</v>
      </c>
      <c r="BW101" s="59">
        <v>12</v>
      </c>
      <c r="BX101" s="16" t="s">
        <v>412</v>
      </c>
    </row>
    <row r="102" spans="1:76" ht="13.5" customHeight="1" x14ac:dyDescent="0.25">
      <c r="A102" s="62"/>
      <c r="D102" s="105" t="s">
        <v>415</v>
      </c>
      <c r="E102" s="105"/>
      <c r="F102" s="105"/>
      <c r="G102" s="105"/>
      <c r="H102" s="105"/>
      <c r="I102" s="105"/>
      <c r="J102" s="105"/>
      <c r="K102" s="105"/>
      <c r="L102" s="105"/>
      <c r="M102" s="105"/>
    </row>
    <row r="103" spans="1:76" x14ac:dyDescent="0.25">
      <c r="A103" s="62"/>
      <c r="D103" s="63" t="s">
        <v>410</v>
      </c>
      <c r="E103" s="63"/>
      <c r="G103" s="64">
        <v>30.22</v>
      </c>
      <c r="M103" s="65"/>
    </row>
    <row r="104" spans="1:76" ht="15" customHeight="1" x14ac:dyDescent="0.25">
      <c r="A104" s="54"/>
      <c r="B104" s="55" t="s">
        <v>488</v>
      </c>
      <c r="C104" s="55" t="s">
        <v>239</v>
      </c>
      <c r="D104" s="104" t="s">
        <v>240</v>
      </c>
      <c r="E104" s="104"/>
      <c r="F104" s="56" t="s">
        <v>88</v>
      </c>
      <c r="G104" s="56" t="s">
        <v>88</v>
      </c>
      <c r="H104" s="56" t="s">
        <v>88</v>
      </c>
      <c r="I104" s="39">
        <f>SUM(I105:I111)</f>
        <v>0</v>
      </c>
      <c r="J104" s="46"/>
      <c r="K104" s="46"/>
      <c r="L104" s="39">
        <f>SUM(L105:L111)</f>
        <v>0.11591559999999999</v>
      </c>
      <c r="M104" s="57"/>
      <c r="AI104" s="46" t="s">
        <v>488</v>
      </c>
      <c r="AS104" s="39">
        <f>SUM(AJ105:AJ111)</f>
        <v>0</v>
      </c>
      <c r="AT104" s="39">
        <f>SUM(AK105:AK111)</f>
        <v>0</v>
      </c>
      <c r="AU104" s="39">
        <f>SUM(AL105:AL111)</f>
        <v>0</v>
      </c>
    </row>
    <row r="105" spans="1:76" ht="15" customHeight="1" x14ac:dyDescent="0.25">
      <c r="A105" s="58" t="s">
        <v>305</v>
      </c>
      <c r="B105" s="18" t="s">
        <v>488</v>
      </c>
      <c r="C105" s="18" t="s">
        <v>242</v>
      </c>
      <c r="D105" s="8" t="s">
        <v>243</v>
      </c>
      <c r="E105" s="8"/>
      <c r="F105" s="18" t="s">
        <v>114</v>
      </c>
      <c r="G105" s="59">
        <f>'Stavební rozpočet'!G469</f>
        <v>256.68</v>
      </c>
      <c r="H105" s="59">
        <f>'Stavební rozpočet'!H469</f>
        <v>0</v>
      </c>
      <c r="I105" s="59">
        <f>ROUND(G105*H105,2)</f>
        <v>0</v>
      </c>
      <c r="J105" s="59">
        <f>'Stavební rozpočet'!J469</f>
        <v>3.5E-4</v>
      </c>
      <c r="K105" s="59">
        <f>'Stavební rozpočet'!K469</f>
        <v>3.5E-4</v>
      </c>
      <c r="L105" s="59">
        <f>G105*K105</f>
        <v>8.9838000000000001E-2</v>
      </c>
      <c r="M105" s="60" t="s">
        <v>115</v>
      </c>
      <c r="Z105" s="59">
        <f>ROUND(IF(AQ105="5",BJ105,0),2)</f>
        <v>0</v>
      </c>
      <c r="AB105" s="59">
        <f>ROUND(IF(AQ105="1",BH105,0),2)</f>
        <v>0</v>
      </c>
      <c r="AC105" s="59">
        <f>ROUND(IF(AQ105="1",BI105,0),2)</f>
        <v>0</v>
      </c>
      <c r="AD105" s="59">
        <f>ROUND(IF(AQ105="7",BH105,0),2)</f>
        <v>0</v>
      </c>
      <c r="AE105" s="59">
        <f>ROUND(IF(AQ105="7",BI105,0),2)</f>
        <v>0</v>
      </c>
      <c r="AF105" s="59">
        <f>ROUND(IF(AQ105="2",BH105,0),2)</f>
        <v>0</v>
      </c>
      <c r="AG105" s="59">
        <f>ROUND(IF(AQ105="2",BI105,0),2)</f>
        <v>0</v>
      </c>
      <c r="AH105" s="59">
        <f>ROUND(IF(AQ105="0",BJ105,0),2)</f>
        <v>0</v>
      </c>
      <c r="AI105" s="46" t="s">
        <v>488</v>
      </c>
      <c r="AJ105" s="59">
        <f>IF(AN105=0,I105,0)</f>
        <v>0</v>
      </c>
      <c r="AK105" s="59">
        <f>IF(AN105=12,I105,0)</f>
        <v>0</v>
      </c>
      <c r="AL105" s="59">
        <f>IF(AN105=21,I105,0)</f>
        <v>0</v>
      </c>
      <c r="AN105" s="59">
        <v>12</v>
      </c>
      <c r="AO105" s="59">
        <f>H105*0.577223798</f>
        <v>0</v>
      </c>
      <c r="AP105" s="59">
        <f>H105*(1-0.577223798)</f>
        <v>0</v>
      </c>
      <c r="AQ105" s="61" t="s">
        <v>150</v>
      </c>
      <c r="AV105" s="59">
        <f>ROUND(AW105+AX105,2)</f>
        <v>0</v>
      </c>
      <c r="AW105" s="59">
        <f>ROUND(G105*AO105,2)</f>
        <v>0</v>
      </c>
      <c r="AX105" s="59">
        <f>ROUND(G105*AP105,2)</f>
        <v>0</v>
      </c>
      <c r="AY105" s="61" t="s">
        <v>244</v>
      </c>
      <c r="AZ105" s="61" t="s">
        <v>501</v>
      </c>
      <c r="BA105" s="46" t="s">
        <v>491</v>
      </c>
      <c r="BC105" s="59">
        <f>AW105+AX105</f>
        <v>0</v>
      </c>
      <c r="BD105" s="59">
        <f>H105/(100-BE105)*100</f>
        <v>0</v>
      </c>
      <c r="BE105" s="59">
        <v>0</v>
      </c>
      <c r="BF105" s="59">
        <f>L105</f>
        <v>8.9838000000000001E-2</v>
      </c>
      <c r="BH105" s="59">
        <f>G105*AO105</f>
        <v>0</v>
      </c>
      <c r="BI105" s="59">
        <f>G105*AP105</f>
        <v>0</v>
      </c>
      <c r="BJ105" s="59">
        <f>G105*H105</f>
        <v>0</v>
      </c>
      <c r="BK105" s="59"/>
      <c r="BL105" s="59">
        <v>784</v>
      </c>
      <c r="BW105" s="59">
        <v>12</v>
      </c>
      <c r="BX105" s="16" t="s">
        <v>243</v>
      </c>
    </row>
    <row r="106" spans="1:76" ht="13.5" customHeight="1" x14ac:dyDescent="0.25">
      <c r="A106" s="62"/>
      <c r="D106" s="105" t="s">
        <v>245</v>
      </c>
      <c r="E106" s="105"/>
      <c r="F106" s="105"/>
      <c r="G106" s="105"/>
      <c r="H106" s="105"/>
      <c r="I106" s="105"/>
      <c r="J106" s="105"/>
      <c r="K106" s="105"/>
      <c r="L106" s="105"/>
      <c r="M106" s="105"/>
    </row>
    <row r="107" spans="1:76" x14ac:dyDescent="0.25">
      <c r="A107" s="62"/>
      <c r="D107" s="63" t="s">
        <v>416</v>
      </c>
      <c r="E107" s="63"/>
      <c r="G107" s="64">
        <v>256.68</v>
      </c>
      <c r="M107" s="65"/>
    </row>
    <row r="108" spans="1:76" ht="15" customHeight="1" x14ac:dyDescent="0.25">
      <c r="A108" s="58" t="s">
        <v>308</v>
      </c>
      <c r="B108" s="18" t="s">
        <v>488</v>
      </c>
      <c r="C108" s="18" t="s">
        <v>249</v>
      </c>
      <c r="D108" s="8" t="s">
        <v>250</v>
      </c>
      <c r="E108" s="8"/>
      <c r="F108" s="18" t="s">
        <v>114</v>
      </c>
      <c r="G108" s="59">
        <f>'Stavební rozpočet'!G471</f>
        <v>27.2</v>
      </c>
      <c r="H108" s="59">
        <f>'Stavební rozpočet'!H471</f>
        <v>0</v>
      </c>
      <c r="I108" s="59">
        <f>ROUND(G108*H108,2)</f>
        <v>0</v>
      </c>
      <c r="J108" s="59">
        <f>'Stavební rozpočet'!J471</f>
        <v>7.6999999999999996E-4</v>
      </c>
      <c r="K108" s="59">
        <f>'Stavební rozpočet'!K471</f>
        <v>7.6999999999999996E-4</v>
      </c>
      <c r="L108" s="59">
        <f>G108*K108</f>
        <v>2.0943999999999997E-2</v>
      </c>
      <c r="M108" s="60" t="s">
        <v>115</v>
      </c>
      <c r="Z108" s="59">
        <f>ROUND(IF(AQ108="5",BJ108,0),2)</f>
        <v>0</v>
      </c>
      <c r="AB108" s="59">
        <f>ROUND(IF(AQ108="1",BH108,0),2)</f>
        <v>0</v>
      </c>
      <c r="AC108" s="59">
        <f>ROUND(IF(AQ108="1",BI108,0),2)</f>
        <v>0</v>
      </c>
      <c r="AD108" s="59">
        <f>ROUND(IF(AQ108="7",BH108,0),2)</f>
        <v>0</v>
      </c>
      <c r="AE108" s="59">
        <f>ROUND(IF(AQ108="7",BI108,0),2)</f>
        <v>0</v>
      </c>
      <c r="AF108" s="59">
        <f>ROUND(IF(AQ108="2",BH108,0),2)</f>
        <v>0</v>
      </c>
      <c r="AG108" s="59">
        <f>ROUND(IF(AQ108="2",BI108,0),2)</f>
        <v>0</v>
      </c>
      <c r="AH108" s="59">
        <f>ROUND(IF(AQ108="0",BJ108,0),2)</f>
        <v>0</v>
      </c>
      <c r="AI108" s="46" t="s">
        <v>488</v>
      </c>
      <c r="AJ108" s="59">
        <f>IF(AN108=0,I108,0)</f>
        <v>0</v>
      </c>
      <c r="AK108" s="59">
        <f>IF(AN108=12,I108,0)</f>
        <v>0</v>
      </c>
      <c r="AL108" s="59">
        <f>IF(AN108=21,I108,0)</f>
        <v>0</v>
      </c>
      <c r="AN108" s="59">
        <v>12</v>
      </c>
      <c r="AO108" s="59">
        <f>H108*0.248888305</f>
        <v>0</v>
      </c>
      <c r="AP108" s="59">
        <f>H108*(1-0.248888305)</f>
        <v>0</v>
      </c>
      <c r="AQ108" s="61" t="s">
        <v>150</v>
      </c>
      <c r="AV108" s="59">
        <f>ROUND(AW108+AX108,2)</f>
        <v>0</v>
      </c>
      <c r="AW108" s="59">
        <f>ROUND(G108*AO108,2)</f>
        <v>0</v>
      </c>
      <c r="AX108" s="59">
        <f>ROUND(G108*AP108,2)</f>
        <v>0</v>
      </c>
      <c r="AY108" s="61" t="s">
        <v>244</v>
      </c>
      <c r="AZ108" s="61" t="s">
        <v>501</v>
      </c>
      <c r="BA108" s="46" t="s">
        <v>491</v>
      </c>
      <c r="BC108" s="59">
        <f>AW108+AX108</f>
        <v>0</v>
      </c>
      <c r="BD108" s="59">
        <f>H108/(100-BE108)*100</f>
        <v>0</v>
      </c>
      <c r="BE108" s="59">
        <v>0</v>
      </c>
      <c r="BF108" s="59">
        <f>L108</f>
        <v>2.0943999999999997E-2</v>
      </c>
      <c r="BH108" s="59">
        <f>G108*AO108</f>
        <v>0</v>
      </c>
      <c r="BI108" s="59">
        <f>G108*AP108</f>
        <v>0</v>
      </c>
      <c r="BJ108" s="59">
        <f>G108*H108</f>
        <v>0</v>
      </c>
      <c r="BK108" s="59"/>
      <c r="BL108" s="59">
        <v>784</v>
      </c>
      <c r="BW108" s="59">
        <v>12</v>
      </c>
      <c r="BX108" s="16" t="s">
        <v>250</v>
      </c>
    </row>
    <row r="109" spans="1:76" ht="13.5" customHeight="1" x14ac:dyDescent="0.25">
      <c r="A109" s="62"/>
      <c r="D109" s="105" t="s">
        <v>251</v>
      </c>
      <c r="E109" s="105"/>
      <c r="F109" s="105"/>
      <c r="G109" s="105"/>
      <c r="H109" s="105"/>
      <c r="I109" s="105"/>
      <c r="J109" s="105"/>
      <c r="K109" s="105"/>
      <c r="L109" s="105"/>
      <c r="M109" s="105"/>
    </row>
    <row r="110" spans="1:76" x14ac:dyDescent="0.25">
      <c r="A110" s="62"/>
      <c r="D110" s="63" t="s">
        <v>502</v>
      </c>
      <c r="E110" s="63"/>
      <c r="G110" s="64">
        <v>27.2</v>
      </c>
      <c r="M110" s="65"/>
    </row>
    <row r="111" spans="1:76" ht="15" customHeight="1" x14ac:dyDescent="0.25">
      <c r="A111" s="58" t="s">
        <v>314</v>
      </c>
      <c r="B111" s="18" t="s">
        <v>488</v>
      </c>
      <c r="C111" s="18" t="s">
        <v>254</v>
      </c>
      <c r="D111" s="8" t="s">
        <v>255</v>
      </c>
      <c r="E111" s="8"/>
      <c r="F111" s="18" t="s">
        <v>114</v>
      </c>
      <c r="G111" s="59">
        <f>'Stavební rozpočet'!G473</f>
        <v>513.36</v>
      </c>
      <c r="H111" s="59">
        <f>'Stavební rozpočet'!H473</f>
        <v>0</v>
      </c>
      <c r="I111" s="59">
        <f>ROUND(G111*H111,2)</f>
        <v>0</v>
      </c>
      <c r="J111" s="59">
        <f>'Stavební rozpočet'!J473</f>
        <v>1.0000000000000001E-5</v>
      </c>
      <c r="K111" s="59">
        <f>'Stavební rozpočet'!K473</f>
        <v>1.0000000000000001E-5</v>
      </c>
      <c r="L111" s="59">
        <f>G111*K111</f>
        <v>5.1336000000000003E-3</v>
      </c>
      <c r="M111" s="60" t="s">
        <v>115</v>
      </c>
      <c r="Z111" s="59">
        <f>ROUND(IF(AQ111="5",BJ111,0),2)</f>
        <v>0</v>
      </c>
      <c r="AB111" s="59">
        <f>ROUND(IF(AQ111="1",BH111,0),2)</f>
        <v>0</v>
      </c>
      <c r="AC111" s="59">
        <f>ROUND(IF(AQ111="1",BI111,0),2)</f>
        <v>0</v>
      </c>
      <c r="AD111" s="59">
        <f>ROUND(IF(AQ111="7",BH111,0),2)</f>
        <v>0</v>
      </c>
      <c r="AE111" s="59">
        <f>ROUND(IF(AQ111="7",BI111,0),2)</f>
        <v>0</v>
      </c>
      <c r="AF111" s="59">
        <f>ROUND(IF(AQ111="2",BH111,0),2)</f>
        <v>0</v>
      </c>
      <c r="AG111" s="59">
        <f>ROUND(IF(AQ111="2",BI111,0),2)</f>
        <v>0</v>
      </c>
      <c r="AH111" s="59">
        <f>ROUND(IF(AQ111="0",BJ111,0),2)</f>
        <v>0</v>
      </c>
      <c r="AI111" s="46" t="s">
        <v>488</v>
      </c>
      <c r="AJ111" s="59">
        <f>IF(AN111=0,I111,0)</f>
        <v>0</v>
      </c>
      <c r="AK111" s="59">
        <f>IF(AN111=12,I111,0)</f>
        <v>0</v>
      </c>
      <c r="AL111" s="59">
        <f>IF(AN111=21,I111,0)</f>
        <v>0</v>
      </c>
      <c r="AN111" s="59">
        <v>12</v>
      </c>
      <c r="AO111" s="59">
        <f>H111*0.236832231</f>
        <v>0</v>
      </c>
      <c r="AP111" s="59">
        <f>H111*(1-0.236832231)</f>
        <v>0</v>
      </c>
      <c r="AQ111" s="61" t="s">
        <v>150</v>
      </c>
      <c r="AV111" s="59">
        <f>ROUND(AW111+AX111,2)</f>
        <v>0</v>
      </c>
      <c r="AW111" s="59">
        <f>ROUND(G111*AO111,2)</f>
        <v>0</v>
      </c>
      <c r="AX111" s="59">
        <f>ROUND(G111*AP111,2)</f>
        <v>0</v>
      </c>
      <c r="AY111" s="61" t="s">
        <v>244</v>
      </c>
      <c r="AZ111" s="61" t="s">
        <v>501</v>
      </c>
      <c r="BA111" s="46" t="s">
        <v>491</v>
      </c>
      <c r="BC111" s="59">
        <f>AW111+AX111</f>
        <v>0</v>
      </c>
      <c r="BD111" s="59">
        <f>H111/(100-BE111)*100</f>
        <v>0</v>
      </c>
      <c r="BE111" s="59">
        <v>0</v>
      </c>
      <c r="BF111" s="59">
        <f>L111</f>
        <v>5.1336000000000003E-3</v>
      </c>
      <c r="BH111" s="59">
        <f>G111*AO111</f>
        <v>0</v>
      </c>
      <c r="BI111" s="59">
        <f>G111*AP111</f>
        <v>0</v>
      </c>
      <c r="BJ111" s="59">
        <f>G111*H111</f>
        <v>0</v>
      </c>
      <c r="BK111" s="59"/>
      <c r="BL111" s="59">
        <v>784</v>
      </c>
      <c r="BW111" s="59">
        <v>12</v>
      </c>
      <c r="BX111" s="16" t="s">
        <v>255</v>
      </c>
    </row>
    <row r="112" spans="1:76" ht="13.5" customHeight="1" x14ac:dyDescent="0.25">
      <c r="A112" s="62"/>
      <c r="D112" s="105" t="s">
        <v>256</v>
      </c>
      <c r="E112" s="105"/>
      <c r="F112" s="105"/>
      <c r="G112" s="105"/>
      <c r="H112" s="105"/>
      <c r="I112" s="105"/>
      <c r="J112" s="105"/>
      <c r="K112" s="105"/>
      <c r="L112" s="105"/>
      <c r="M112" s="105"/>
    </row>
    <row r="113" spans="1:76" x14ac:dyDescent="0.25">
      <c r="A113" s="62"/>
      <c r="D113" s="63" t="s">
        <v>418</v>
      </c>
      <c r="E113" s="63"/>
      <c r="G113" s="64">
        <v>513.36</v>
      </c>
      <c r="M113" s="65"/>
    </row>
    <row r="114" spans="1:76" ht="15" customHeight="1" x14ac:dyDescent="0.25">
      <c r="A114" s="54"/>
      <c r="B114" s="55" t="s">
        <v>488</v>
      </c>
      <c r="C114" s="55" t="s">
        <v>259</v>
      </c>
      <c r="D114" s="104" t="s">
        <v>260</v>
      </c>
      <c r="E114" s="104"/>
      <c r="F114" s="56" t="s">
        <v>88</v>
      </c>
      <c r="G114" s="56" t="s">
        <v>88</v>
      </c>
      <c r="H114" s="56" t="s">
        <v>88</v>
      </c>
      <c r="I114" s="39">
        <f>SUM(I115)</f>
        <v>0</v>
      </c>
      <c r="J114" s="46"/>
      <c r="K114" s="46"/>
      <c r="L114" s="39">
        <f>SUM(L115)</f>
        <v>8.2512000000000002E-2</v>
      </c>
      <c r="M114" s="57"/>
      <c r="AI114" s="46" t="s">
        <v>488</v>
      </c>
      <c r="AS114" s="39">
        <f>SUM(AJ115)</f>
        <v>0</v>
      </c>
      <c r="AT114" s="39">
        <f>SUM(AK115)</f>
        <v>0</v>
      </c>
      <c r="AU114" s="39">
        <f>SUM(AL115)</f>
        <v>0</v>
      </c>
    </row>
    <row r="115" spans="1:76" ht="15" customHeight="1" x14ac:dyDescent="0.25">
      <c r="A115" s="58" t="s">
        <v>320</v>
      </c>
      <c r="B115" s="18" t="s">
        <v>488</v>
      </c>
      <c r="C115" s="18" t="s">
        <v>262</v>
      </c>
      <c r="D115" s="8" t="s">
        <v>419</v>
      </c>
      <c r="E115" s="8"/>
      <c r="F115" s="18" t="s">
        <v>114</v>
      </c>
      <c r="G115" s="59">
        <f>'Stavební rozpočet'!G476</f>
        <v>21.6</v>
      </c>
      <c r="H115" s="59">
        <f>'Stavební rozpočet'!H476</f>
        <v>0</v>
      </c>
      <c r="I115" s="59">
        <f>ROUND(G115*H115,2)</f>
        <v>0</v>
      </c>
      <c r="J115" s="59">
        <f>'Stavební rozpočet'!J476</f>
        <v>3.82E-3</v>
      </c>
      <c r="K115" s="59">
        <f>'Stavební rozpočet'!K476</f>
        <v>3.82E-3</v>
      </c>
      <c r="L115" s="59">
        <f>G115*K115</f>
        <v>8.2512000000000002E-2</v>
      </c>
      <c r="M115" s="60" t="s">
        <v>115</v>
      </c>
      <c r="Z115" s="59">
        <f>ROUND(IF(AQ115="5",BJ115,0),2)</f>
        <v>0</v>
      </c>
      <c r="AB115" s="59">
        <f>ROUND(IF(AQ115="1",BH115,0),2)</f>
        <v>0</v>
      </c>
      <c r="AC115" s="59">
        <f>ROUND(IF(AQ115="1",BI115,0),2)</f>
        <v>0</v>
      </c>
      <c r="AD115" s="59">
        <f>ROUND(IF(AQ115="7",BH115,0),2)</f>
        <v>0</v>
      </c>
      <c r="AE115" s="59">
        <f>ROUND(IF(AQ115="7",BI115,0),2)</f>
        <v>0</v>
      </c>
      <c r="AF115" s="59">
        <f>ROUND(IF(AQ115="2",BH115,0),2)</f>
        <v>0</v>
      </c>
      <c r="AG115" s="59">
        <f>ROUND(IF(AQ115="2",BI115,0),2)</f>
        <v>0</v>
      </c>
      <c r="AH115" s="59">
        <f>ROUND(IF(AQ115="0",BJ115,0),2)</f>
        <v>0</v>
      </c>
      <c r="AI115" s="46" t="s">
        <v>488</v>
      </c>
      <c r="AJ115" s="59">
        <f>IF(AN115=0,I115,0)</f>
        <v>0</v>
      </c>
      <c r="AK115" s="59">
        <f>IF(AN115=12,I115,0)</f>
        <v>0</v>
      </c>
      <c r="AL115" s="59">
        <f>IF(AN115=21,I115,0)</f>
        <v>0</v>
      </c>
      <c r="AN115" s="59">
        <v>12</v>
      </c>
      <c r="AO115" s="59">
        <f>H115*0.657241014</f>
        <v>0</v>
      </c>
      <c r="AP115" s="59">
        <f>H115*(1-0.657241014)</f>
        <v>0</v>
      </c>
      <c r="AQ115" s="61" t="s">
        <v>150</v>
      </c>
      <c r="AV115" s="59">
        <f>ROUND(AW115+AX115,2)</f>
        <v>0</v>
      </c>
      <c r="AW115" s="59">
        <f>ROUND(G115*AO115,2)</f>
        <v>0</v>
      </c>
      <c r="AX115" s="59">
        <f>ROUND(G115*AP115,2)</f>
        <v>0</v>
      </c>
      <c r="AY115" s="61" t="s">
        <v>264</v>
      </c>
      <c r="AZ115" s="61" t="s">
        <v>501</v>
      </c>
      <c r="BA115" s="46" t="s">
        <v>491</v>
      </c>
      <c r="BC115" s="59">
        <f>AW115+AX115</f>
        <v>0</v>
      </c>
      <c r="BD115" s="59">
        <f>H115/(100-BE115)*100</f>
        <v>0</v>
      </c>
      <c r="BE115" s="59">
        <v>0</v>
      </c>
      <c r="BF115" s="59">
        <f>L115</f>
        <v>8.2512000000000002E-2</v>
      </c>
      <c r="BH115" s="59">
        <f>G115*AO115</f>
        <v>0</v>
      </c>
      <c r="BI115" s="59">
        <f>G115*AP115</f>
        <v>0</v>
      </c>
      <c r="BJ115" s="59">
        <f>G115*H115</f>
        <v>0</v>
      </c>
      <c r="BK115" s="59"/>
      <c r="BL115" s="59">
        <v>786</v>
      </c>
      <c r="BW115" s="59">
        <v>12</v>
      </c>
      <c r="BX115" s="16" t="s">
        <v>419</v>
      </c>
    </row>
    <row r="116" spans="1:76" ht="13.5" customHeight="1" x14ac:dyDescent="0.25">
      <c r="A116" s="62"/>
      <c r="D116" s="105" t="s">
        <v>265</v>
      </c>
      <c r="E116" s="105"/>
      <c r="F116" s="105"/>
      <c r="G116" s="105"/>
      <c r="H116" s="105"/>
      <c r="I116" s="105"/>
      <c r="J116" s="105"/>
      <c r="K116" s="105"/>
      <c r="L116" s="105"/>
      <c r="M116" s="105"/>
    </row>
    <row r="117" spans="1:76" x14ac:dyDescent="0.25">
      <c r="A117" s="62"/>
      <c r="D117" s="63" t="s">
        <v>420</v>
      </c>
      <c r="E117" s="63"/>
      <c r="G117" s="64">
        <v>21.6</v>
      </c>
      <c r="M117" s="65"/>
    </row>
    <row r="118" spans="1:76" ht="15" customHeight="1" x14ac:dyDescent="0.25">
      <c r="A118" s="54"/>
      <c r="B118" s="55" t="s">
        <v>488</v>
      </c>
      <c r="C118" s="55" t="s">
        <v>267</v>
      </c>
      <c r="D118" s="104" t="s">
        <v>268</v>
      </c>
      <c r="E118" s="104"/>
      <c r="F118" s="56" t="s">
        <v>88</v>
      </c>
      <c r="G118" s="56" t="s">
        <v>88</v>
      </c>
      <c r="H118" s="56" t="s">
        <v>88</v>
      </c>
      <c r="I118" s="39">
        <f>SUM(I119:I125)</f>
        <v>0</v>
      </c>
      <c r="J118" s="46"/>
      <c r="K118" s="46"/>
      <c r="L118" s="39">
        <f>SUM(L119:L125)</f>
        <v>0</v>
      </c>
      <c r="M118" s="57"/>
      <c r="AI118" s="46" t="s">
        <v>488</v>
      </c>
      <c r="AS118" s="39">
        <f>SUM(AJ119:AJ125)</f>
        <v>0</v>
      </c>
      <c r="AT118" s="39">
        <f>SUM(AK119:AK125)</f>
        <v>0</v>
      </c>
      <c r="AU118" s="39">
        <f>SUM(AL119:AL125)</f>
        <v>0</v>
      </c>
    </row>
    <row r="119" spans="1:76" ht="15" customHeight="1" x14ac:dyDescent="0.25">
      <c r="A119" s="58" t="s">
        <v>326</v>
      </c>
      <c r="B119" s="18" t="s">
        <v>488</v>
      </c>
      <c r="C119" s="18" t="s">
        <v>270</v>
      </c>
      <c r="D119" s="8" t="s">
        <v>271</v>
      </c>
      <c r="E119" s="8"/>
      <c r="F119" s="18" t="s">
        <v>272</v>
      </c>
      <c r="G119" s="59">
        <f>'Stavební rozpočet'!G479</f>
        <v>12</v>
      </c>
      <c r="H119" s="59">
        <f>'Stavební rozpočet'!H479</f>
        <v>0</v>
      </c>
      <c r="I119" s="59">
        <f>ROUND(G119*H119,2)</f>
        <v>0</v>
      </c>
      <c r="J119" s="59">
        <f>'Stavební rozpočet'!J479</f>
        <v>0</v>
      </c>
      <c r="K119" s="59">
        <f>'Stavební rozpočet'!K479</f>
        <v>0</v>
      </c>
      <c r="L119" s="59">
        <f>G119*K119</f>
        <v>0</v>
      </c>
      <c r="M119" s="60" t="s">
        <v>115</v>
      </c>
      <c r="Z119" s="59">
        <f>ROUND(IF(AQ119="5",BJ119,0),2)</f>
        <v>0</v>
      </c>
      <c r="AB119" s="59">
        <f>ROUND(IF(AQ119="1",BH119,0),2)</f>
        <v>0</v>
      </c>
      <c r="AC119" s="59">
        <f>ROUND(IF(AQ119="1",BI119,0),2)</f>
        <v>0</v>
      </c>
      <c r="AD119" s="59">
        <f>ROUND(IF(AQ119="7",BH119,0),2)</f>
        <v>0</v>
      </c>
      <c r="AE119" s="59">
        <f>ROUND(IF(AQ119="7",BI119,0),2)</f>
        <v>0</v>
      </c>
      <c r="AF119" s="59">
        <f>ROUND(IF(AQ119="2",BH119,0),2)</f>
        <v>0</v>
      </c>
      <c r="AG119" s="59">
        <f>ROUND(IF(AQ119="2",BI119,0),2)</f>
        <v>0</v>
      </c>
      <c r="AH119" s="59">
        <f>ROUND(IF(AQ119="0",BJ119,0),2)</f>
        <v>0</v>
      </c>
      <c r="AI119" s="46" t="s">
        <v>488</v>
      </c>
      <c r="AJ119" s="59">
        <f>IF(AN119=0,I119,0)</f>
        <v>0</v>
      </c>
      <c r="AK119" s="59">
        <f>IF(AN119=12,I119,0)</f>
        <v>0</v>
      </c>
      <c r="AL119" s="59">
        <f>IF(AN119=21,I119,0)</f>
        <v>0</v>
      </c>
      <c r="AN119" s="59">
        <v>12</v>
      </c>
      <c r="AO119" s="59">
        <f>H119*0</f>
        <v>0</v>
      </c>
      <c r="AP119" s="59">
        <f>H119*(1-0)</f>
        <v>0</v>
      </c>
      <c r="AQ119" s="61" t="s">
        <v>111</v>
      </c>
      <c r="AV119" s="59">
        <f>ROUND(AW119+AX119,2)</f>
        <v>0</v>
      </c>
      <c r="AW119" s="59">
        <f>ROUND(G119*AO119,2)</f>
        <v>0</v>
      </c>
      <c r="AX119" s="59">
        <f>ROUND(G119*AP119,2)</f>
        <v>0</v>
      </c>
      <c r="AY119" s="61" t="s">
        <v>273</v>
      </c>
      <c r="AZ119" s="61" t="s">
        <v>503</v>
      </c>
      <c r="BA119" s="46" t="s">
        <v>491</v>
      </c>
      <c r="BC119" s="59">
        <f>AW119+AX119</f>
        <v>0</v>
      </c>
      <c r="BD119" s="59">
        <f>H119/(100-BE119)*100</f>
        <v>0</v>
      </c>
      <c r="BE119" s="59">
        <v>0</v>
      </c>
      <c r="BF119" s="59">
        <f>L119</f>
        <v>0</v>
      </c>
      <c r="BH119" s="59">
        <f>G119*AO119</f>
        <v>0</v>
      </c>
      <c r="BI119" s="59">
        <f>G119*AP119</f>
        <v>0</v>
      </c>
      <c r="BJ119" s="59">
        <f>G119*H119</f>
        <v>0</v>
      </c>
      <c r="BK119" s="59"/>
      <c r="BL119" s="59">
        <v>90</v>
      </c>
      <c r="BW119" s="59">
        <v>12</v>
      </c>
      <c r="BX119" s="16" t="s">
        <v>271</v>
      </c>
    </row>
    <row r="120" spans="1:76" ht="40.5" customHeight="1" x14ac:dyDescent="0.25">
      <c r="A120" s="62"/>
      <c r="D120" s="105" t="s">
        <v>481</v>
      </c>
      <c r="E120" s="105"/>
      <c r="F120" s="105"/>
      <c r="G120" s="105"/>
      <c r="H120" s="105"/>
      <c r="I120" s="105"/>
      <c r="J120" s="105"/>
      <c r="K120" s="105"/>
      <c r="L120" s="105"/>
      <c r="M120" s="105"/>
    </row>
    <row r="121" spans="1:76" x14ac:dyDescent="0.25">
      <c r="A121" s="62"/>
      <c r="D121" s="63" t="s">
        <v>176</v>
      </c>
      <c r="E121" s="63"/>
      <c r="G121" s="64">
        <v>12</v>
      </c>
      <c r="M121" s="65"/>
    </row>
    <row r="122" spans="1:76" ht="15" customHeight="1" x14ac:dyDescent="0.25">
      <c r="A122" s="58" t="s">
        <v>331</v>
      </c>
      <c r="B122" s="18" t="s">
        <v>488</v>
      </c>
      <c r="C122" s="18" t="s">
        <v>423</v>
      </c>
      <c r="D122" s="8" t="s">
        <v>271</v>
      </c>
      <c r="E122" s="8"/>
      <c r="F122" s="18" t="s">
        <v>272</v>
      </c>
      <c r="G122" s="59">
        <f>'Stavební rozpočet'!G481</f>
        <v>18</v>
      </c>
      <c r="H122" s="59">
        <f>'Stavební rozpočet'!H481</f>
        <v>0</v>
      </c>
      <c r="I122" s="59">
        <f>ROUND(G122*H122,2)</f>
        <v>0</v>
      </c>
      <c r="J122" s="59">
        <f>'Stavební rozpočet'!J481</f>
        <v>0</v>
      </c>
      <c r="K122" s="59">
        <f>'Stavební rozpočet'!K481</f>
        <v>0</v>
      </c>
      <c r="L122" s="59">
        <f>G122*K122</f>
        <v>0</v>
      </c>
      <c r="M122" s="60" t="s">
        <v>115</v>
      </c>
      <c r="Z122" s="59">
        <f>ROUND(IF(AQ122="5",BJ122,0),2)</f>
        <v>0</v>
      </c>
      <c r="AB122" s="59">
        <f>ROUND(IF(AQ122="1",BH122,0),2)</f>
        <v>0</v>
      </c>
      <c r="AC122" s="59">
        <f>ROUND(IF(AQ122="1",BI122,0),2)</f>
        <v>0</v>
      </c>
      <c r="AD122" s="59">
        <f>ROUND(IF(AQ122="7",BH122,0),2)</f>
        <v>0</v>
      </c>
      <c r="AE122" s="59">
        <f>ROUND(IF(AQ122="7",BI122,0),2)</f>
        <v>0</v>
      </c>
      <c r="AF122" s="59">
        <f>ROUND(IF(AQ122="2",BH122,0),2)</f>
        <v>0</v>
      </c>
      <c r="AG122" s="59">
        <f>ROUND(IF(AQ122="2",BI122,0),2)</f>
        <v>0</v>
      </c>
      <c r="AH122" s="59">
        <f>ROUND(IF(AQ122="0",BJ122,0),2)</f>
        <v>0</v>
      </c>
      <c r="AI122" s="46" t="s">
        <v>488</v>
      </c>
      <c r="AJ122" s="59">
        <f>IF(AN122=0,I122,0)</f>
        <v>0</v>
      </c>
      <c r="AK122" s="59">
        <f>IF(AN122=12,I122,0)</f>
        <v>0</v>
      </c>
      <c r="AL122" s="59">
        <f>IF(AN122=21,I122,0)</f>
        <v>0</v>
      </c>
      <c r="AN122" s="59">
        <v>12</v>
      </c>
      <c r="AO122" s="59">
        <f>H122*0</f>
        <v>0</v>
      </c>
      <c r="AP122" s="59">
        <f>H122*(1-0)</f>
        <v>0</v>
      </c>
      <c r="AQ122" s="61" t="s">
        <v>111</v>
      </c>
      <c r="AV122" s="59">
        <f>ROUND(AW122+AX122,2)</f>
        <v>0</v>
      </c>
      <c r="AW122" s="59">
        <f>ROUND(G122*AO122,2)</f>
        <v>0</v>
      </c>
      <c r="AX122" s="59">
        <f>ROUND(G122*AP122,2)</f>
        <v>0</v>
      </c>
      <c r="AY122" s="61" t="s">
        <v>273</v>
      </c>
      <c r="AZ122" s="61" t="s">
        <v>503</v>
      </c>
      <c r="BA122" s="46" t="s">
        <v>491</v>
      </c>
      <c r="BC122" s="59">
        <f>AW122+AX122</f>
        <v>0</v>
      </c>
      <c r="BD122" s="59">
        <f>H122/(100-BE122)*100</f>
        <v>0</v>
      </c>
      <c r="BE122" s="59">
        <v>0</v>
      </c>
      <c r="BF122" s="59">
        <f>L122</f>
        <v>0</v>
      </c>
      <c r="BH122" s="59">
        <f>G122*AO122</f>
        <v>0</v>
      </c>
      <c r="BI122" s="59">
        <f>G122*AP122</f>
        <v>0</v>
      </c>
      <c r="BJ122" s="59">
        <f>G122*H122</f>
        <v>0</v>
      </c>
      <c r="BK122" s="59"/>
      <c r="BL122" s="59">
        <v>90</v>
      </c>
      <c r="BW122" s="59">
        <v>12</v>
      </c>
      <c r="BX122" s="16" t="s">
        <v>271</v>
      </c>
    </row>
    <row r="123" spans="1:76" ht="40.5" customHeight="1" x14ac:dyDescent="0.25">
      <c r="A123" s="62"/>
      <c r="D123" s="105" t="s">
        <v>424</v>
      </c>
      <c r="E123" s="105"/>
      <c r="F123" s="105"/>
      <c r="G123" s="105"/>
      <c r="H123" s="105"/>
      <c r="I123" s="105"/>
      <c r="J123" s="105"/>
      <c r="K123" s="105"/>
      <c r="L123" s="105"/>
      <c r="M123" s="105"/>
    </row>
    <row r="124" spans="1:76" x14ac:dyDescent="0.25">
      <c r="A124" s="62"/>
      <c r="D124" s="63" t="s">
        <v>215</v>
      </c>
      <c r="E124" s="63"/>
      <c r="G124" s="64">
        <v>18</v>
      </c>
      <c r="M124" s="65"/>
    </row>
    <row r="125" spans="1:76" ht="15" customHeight="1" x14ac:dyDescent="0.25">
      <c r="A125" s="58" t="s">
        <v>335</v>
      </c>
      <c r="B125" s="18" t="s">
        <v>488</v>
      </c>
      <c r="C125" s="18" t="s">
        <v>270</v>
      </c>
      <c r="D125" s="8" t="s">
        <v>271</v>
      </c>
      <c r="E125" s="8"/>
      <c r="F125" s="18" t="s">
        <v>272</v>
      </c>
      <c r="G125" s="59">
        <f>'Stavební rozpočet'!G483</f>
        <v>30</v>
      </c>
      <c r="H125" s="59">
        <f>'Stavební rozpočet'!H483</f>
        <v>0</v>
      </c>
      <c r="I125" s="59">
        <f>ROUND(G125*H125,2)</f>
        <v>0</v>
      </c>
      <c r="J125" s="59">
        <f>'Stavební rozpočet'!J483</f>
        <v>0</v>
      </c>
      <c r="K125" s="59">
        <f>'Stavební rozpočet'!K483</f>
        <v>0</v>
      </c>
      <c r="L125" s="59">
        <f>G125*K125</f>
        <v>0</v>
      </c>
      <c r="M125" s="60" t="s">
        <v>115</v>
      </c>
      <c r="Z125" s="59">
        <f>ROUND(IF(AQ125="5",BJ125,0),2)</f>
        <v>0</v>
      </c>
      <c r="AB125" s="59">
        <f>ROUND(IF(AQ125="1",BH125,0),2)</f>
        <v>0</v>
      </c>
      <c r="AC125" s="59">
        <f>ROUND(IF(AQ125="1",BI125,0),2)</f>
        <v>0</v>
      </c>
      <c r="AD125" s="59">
        <f>ROUND(IF(AQ125="7",BH125,0),2)</f>
        <v>0</v>
      </c>
      <c r="AE125" s="59">
        <f>ROUND(IF(AQ125="7",BI125,0),2)</f>
        <v>0</v>
      </c>
      <c r="AF125" s="59">
        <f>ROUND(IF(AQ125="2",BH125,0),2)</f>
        <v>0</v>
      </c>
      <c r="AG125" s="59">
        <f>ROUND(IF(AQ125="2",BI125,0),2)</f>
        <v>0</v>
      </c>
      <c r="AH125" s="59">
        <f>ROUND(IF(AQ125="0",BJ125,0),2)</f>
        <v>0</v>
      </c>
      <c r="AI125" s="46" t="s">
        <v>488</v>
      </c>
      <c r="AJ125" s="59">
        <f>IF(AN125=0,I125,0)</f>
        <v>0</v>
      </c>
      <c r="AK125" s="59">
        <f>IF(AN125=12,I125,0)</f>
        <v>0</v>
      </c>
      <c r="AL125" s="59">
        <f>IF(AN125=21,I125,0)</f>
        <v>0</v>
      </c>
      <c r="AN125" s="59">
        <v>12</v>
      </c>
      <c r="AO125" s="59">
        <f>H125*0</f>
        <v>0</v>
      </c>
      <c r="AP125" s="59">
        <f>H125*(1-0)</f>
        <v>0</v>
      </c>
      <c r="AQ125" s="61" t="s">
        <v>111</v>
      </c>
      <c r="AV125" s="59">
        <f>ROUND(AW125+AX125,2)</f>
        <v>0</v>
      </c>
      <c r="AW125" s="59">
        <f>ROUND(G125*AO125,2)</f>
        <v>0</v>
      </c>
      <c r="AX125" s="59">
        <f>ROUND(G125*AP125,2)</f>
        <v>0</v>
      </c>
      <c r="AY125" s="61" t="s">
        <v>273</v>
      </c>
      <c r="AZ125" s="61" t="s">
        <v>503</v>
      </c>
      <c r="BA125" s="46" t="s">
        <v>491</v>
      </c>
      <c r="BC125" s="59">
        <f>AW125+AX125</f>
        <v>0</v>
      </c>
      <c r="BD125" s="59">
        <f>H125/(100-BE125)*100</f>
        <v>0</v>
      </c>
      <c r="BE125" s="59">
        <v>0</v>
      </c>
      <c r="BF125" s="59">
        <f>L125</f>
        <v>0</v>
      </c>
      <c r="BH125" s="59">
        <f>G125*AO125</f>
        <v>0</v>
      </c>
      <c r="BI125" s="59">
        <f>G125*AP125</f>
        <v>0</v>
      </c>
      <c r="BJ125" s="59">
        <f>G125*H125</f>
        <v>0</v>
      </c>
      <c r="BK125" s="59"/>
      <c r="BL125" s="59">
        <v>90</v>
      </c>
      <c r="BW125" s="59">
        <v>12</v>
      </c>
      <c r="BX125" s="16" t="s">
        <v>271</v>
      </c>
    </row>
    <row r="126" spans="1:76" ht="13.5" customHeight="1" x14ac:dyDescent="0.25">
      <c r="A126" s="62"/>
      <c r="D126" s="105" t="s">
        <v>275</v>
      </c>
      <c r="E126" s="105"/>
      <c r="F126" s="105"/>
      <c r="G126" s="105"/>
      <c r="H126" s="105"/>
      <c r="I126" s="105"/>
      <c r="J126" s="105"/>
      <c r="K126" s="105"/>
      <c r="L126" s="105"/>
      <c r="M126" s="105"/>
    </row>
    <row r="127" spans="1:76" x14ac:dyDescent="0.25">
      <c r="A127" s="62"/>
      <c r="D127" s="63" t="s">
        <v>276</v>
      </c>
      <c r="E127" s="63"/>
      <c r="G127" s="64">
        <v>30</v>
      </c>
      <c r="M127" s="65"/>
    </row>
    <row r="128" spans="1:76" ht="15" customHeight="1" x14ac:dyDescent="0.25">
      <c r="A128" s="54"/>
      <c r="B128" s="55" t="s">
        <v>488</v>
      </c>
      <c r="C128" s="55" t="s">
        <v>277</v>
      </c>
      <c r="D128" s="104" t="s">
        <v>278</v>
      </c>
      <c r="E128" s="104"/>
      <c r="F128" s="56" t="s">
        <v>88</v>
      </c>
      <c r="G128" s="56" t="s">
        <v>88</v>
      </c>
      <c r="H128" s="56" t="s">
        <v>88</v>
      </c>
      <c r="I128" s="39">
        <f>SUM(I129:I131)</f>
        <v>0</v>
      </c>
      <c r="J128" s="46"/>
      <c r="K128" s="46"/>
      <c r="L128" s="39">
        <f>SUM(L129:L131)</f>
        <v>0.10526999999999999</v>
      </c>
      <c r="M128" s="57"/>
      <c r="AI128" s="46" t="s">
        <v>488</v>
      </c>
      <c r="AS128" s="39">
        <f>SUM(AJ129:AJ131)</f>
        <v>0</v>
      </c>
      <c r="AT128" s="39">
        <f>SUM(AK129:AK131)</f>
        <v>0</v>
      </c>
      <c r="AU128" s="39">
        <f>SUM(AL129:AL131)</f>
        <v>0</v>
      </c>
    </row>
    <row r="129" spans="1:76" ht="15" customHeight="1" x14ac:dyDescent="0.25">
      <c r="A129" s="58" t="s">
        <v>338</v>
      </c>
      <c r="B129" s="18" t="s">
        <v>488</v>
      </c>
      <c r="C129" s="18" t="s">
        <v>280</v>
      </c>
      <c r="D129" s="8" t="s">
        <v>281</v>
      </c>
      <c r="E129" s="8"/>
      <c r="F129" s="18" t="s">
        <v>114</v>
      </c>
      <c r="G129" s="59">
        <f>'Stavební rozpočet'!G486</f>
        <v>87</v>
      </c>
      <c r="H129" s="59">
        <f>'Stavební rozpočet'!H486</f>
        <v>0</v>
      </c>
      <c r="I129" s="59">
        <f>ROUND(G129*H129,2)</f>
        <v>0</v>
      </c>
      <c r="J129" s="59">
        <f>'Stavební rozpočet'!J486</f>
        <v>1.2099999999999999E-3</v>
      </c>
      <c r="K129" s="59">
        <f>'Stavební rozpočet'!K486</f>
        <v>1.2099999999999999E-3</v>
      </c>
      <c r="L129" s="59">
        <f>G129*K129</f>
        <v>0.10526999999999999</v>
      </c>
      <c r="M129" s="60" t="s">
        <v>115</v>
      </c>
      <c r="Z129" s="59">
        <f>ROUND(IF(AQ129="5",BJ129,0),2)</f>
        <v>0</v>
      </c>
      <c r="AB129" s="59">
        <f>ROUND(IF(AQ129="1",BH129,0),2)</f>
        <v>0</v>
      </c>
      <c r="AC129" s="59">
        <f>ROUND(IF(AQ129="1",BI129,0),2)</f>
        <v>0</v>
      </c>
      <c r="AD129" s="59">
        <f>ROUND(IF(AQ129="7",BH129,0),2)</f>
        <v>0</v>
      </c>
      <c r="AE129" s="59">
        <f>ROUND(IF(AQ129="7",BI129,0),2)</f>
        <v>0</v>
      </c>
      <c r="AF129" s="59">
        <f>ROUND(IF(AQ129="2",BH129,0),2)</f>
        <v>0</v>
      </c>
      <c r="AG129" s="59">
        <f>ROUND(IF(AQ129="2",BI129,0),2)</f>
        <v>0</v>
      </c>
      <c r="AH129" s="59">
        <f>ROUND(IF(AQ129="0",BJ129,0),2)</f>
        <v>0</v>
      </c>
      <c r="AI129" s="46" t="s">
        <v>488</v>
      </c>
      <c r="AJ129" s="59">
        <f>IF(AN129=0,I129,0)</f>
        <v>0</v>
      </c>
      <c r="AK129" s="59">
        <f>IF(AN129=12,I129,0)</f>
        <v>0</v>
      </c>
      <c r="AL129" s="59">
        <f>IF(AN129=21,I129,0)</f>
        <v>0</v>
      </c>
      <c r="AN129" s="59">
        <v>12</v>
      </c>
      <c r="AO129" s="59">
        <f>H129*0.309860944</f>
        <v>0</v>
      </c>
      <c r="AP129" s="59">
        <f>H129*(1-0.309860944)</f>
        <v>0</v>
      </c>
      <c r="AQ129" s="61" t="s">
        <v>111</v>
      </c>
      <c r="AV129" s="59">
        <f>ROUND(AW129+AX129,2)</f>
        <v>0</v>
      </c>
      <c r="AW129" s="59">
        <f>ROUND(G129*AO129,2)</f>
        <v>0</v>
      </c>
      <c r="AX129" s="59">
        <f>ROUND(G129*AP129,2)</f>
        <v>0</v>
      </c>
      <c r="AY129" s="61" t="s">
        <v>282</v>
      </c>
      <c r="AZ129" s="61" t="s">
        <v>503</v>
      </c>
      <c r="BA129" s="46" t="s">
        <v>491</v>
      </c>
      <c r="BC129" s="59">
        <f>AW129+AX129</f>
        <v>0</v>
      </c>
      <c r="BD129" s="59">
        <f>H129/(100-BE129)*100</f>
        <v>0</v>
      </c>
      <c r="BE129" s="59">
        <v>0</v>
      </c>
      <c r="BF129" s="59">
        <f>L129</f>
        <v>0.10526999999999999</v>
      </c>
      <c r="BH129" s="59">
        <f>G129*AO129</f>
        <v>0</v>
      </c>
      <c r="BI129" s="59">
        <f>G129*AP129</f>
        <v>0</v>
      </c>
      <c r="BJ129" s="59">
        <f>G129*H129</f>
        <v>0</v>
      </c>
      <c r="BK129" s="59"/>
      <c r="BL129" s="59">
        <v>94</v>
      </c>
      <c r="BW129" s="59">
        <v>12</v>
      </c>
      <c r="BX129" s="16" t="s">
        <v>281</v>
      </c>
    </row>
    <row r="130" spans="1:76" x14ac:dyDescent="0.25">
      <c r="A130" s="62"/>
      <c r="D130" s="63" t="s">
        <v>425</v>
      </c>
      <c r="E130" s="63"/>
      <c r="G130" s="64">
        <v>87</v>
      </c>
      <c r="M130" s="65"/>
    </row>
    <row r="131" spans="1:76" ht="15" customHeight="1" x14ac:dyDescent="0.25">
      <c r="A131" s="58" t="s">
        <v>342</v>
      </c>
      <c r="B131" s="18" t="s">
        <v>488</v>
      </c>
      <c r="C131" s="18" t="s">
        <v>426</v>
      </c>
      <c r="D131" s="8" t="s">
        <v>427</v>
      </c>
      <c r="E131" s="8"/>
      <c r="F131" s="18" t="s">
        <v>272</v>
      </c>
      <c r="G131" s="59">
        <f>'Stavební rozpočet'!G488</f>
        <v>40</v>
      </c>
      <c r="H131" s="59">
        <f>'Stavební rozpočet'!H488</f>
        <v>0</v>
      </c>
      <c r="I131" s="59">
        <f>ROUND(G131*H131,2)</f>
        <v>0</v>
      </c>
      <c r="J131" s="59">
        <f>'Stavební rozpočet'!J488</f>
        <v>0</v>
      </c>
      <c r="K131" s="59">
        <f>'Stavební rozpočet'!K488</f>
        <v>0</v>
      </c>
      <c r="L131" s="59">
        <f>G131*K131</f>
        <v>0</v>
      </c>
      <c r="M131" s="60" t="s">
        <v>115</v>
      </c>
      <c r="Z131" s="59">
        <f>ROUND(IF(AQ131="5",BJ131,0),2)</f>
        <v>0</v>
      </c>
      <c r="AB131" s="59">
        <f>ROUND(IF(AQ131="1",BH131,0),2)</f>
        <v>0</v>
      </c>
      <c r="AC131" s="59">
        <f>ROUND(IF(AQ131="1",BI131,0),2)</f>
        <v>0</v>
      </c>
      <c r="AD131" s="59">
        <f>ROUND(IF(AQ131="7",BH131,0),2)</f>
        <v>0</v>
      </c>
      <c r="AE131" s="59">
        <f>ROUND(IF(AQ131="7",BI131,0),2)</f>
        <v>0</v>
      </c>
      <c r="AF131" s="59">
        <f>ROUND(IF(AQ131="2",BH131,0),2)</f>
        <v>0</v>
      </c>
      <c r="AG131" s="59">
        <f>ROUND(IF(AQ131="2",BI131,0),2)</f>
        <v>0</v>
      </c>
      <c r="AH131" s="59">
        <f>ROUND(IF(AQ131="0",BJ131,0),2)</f>
        <v>0</v>
      </c>
      <c r="AI131" s="46" t="s">
        <v>488</v>
      </c>
      <c r="AJ131" s="59">
        <f>IF(AN131=0,I131,0)</f>
        <v>0</v>
      </c>
      <c r="AK131" s="59">
        <f>IF(AN131=12,I131,0)</f>
        <v>0</v>
      </c>
      <c r="AL131" s="59">
        <f>IF(AN131=21,I131,0)</f>
        <v>0</v>
      </c>
      <c r="AN131" s="59">
        <v>12</v>
      </c>
      <c r="AO131" s="59">
        <f>H131*0</f>
        <v>0</v>
      </c>
      <c r="AP131" s="59">
        <f>H131*(1-0)</f>
        <v>0</v>
      </c>
      <c r="AQ131" s="61" t="s">
        <v>111</v>
      </c>
      <c r="AV131" s="59">
        <f>ROUND(AW131+AX131,2)</f>
        <v>0</v>
      </c>
      <c r="AW131" s="59">
        <f>ROUND(G131*AO131,2)</f>
        <v>0</v>
      </c>
      <c r="AX131" s="59">
        <f>ROUND(G131*AP131,2)</f>
        <v>0</v>
      </c>
      <c r="AY131" s="61" t="s">
        <v>282</v>
      </c>
      <c r="AZ131" s="61" t="s">
        <v>503</v>
      </c>
      <c r="BA131" s="46" t="s">
        <v>491</v>
      </c>
      <c r="BC131" s="59">
        <f>AW131+AX131</f>
        <v>0</v>
      </c>
      <c r="BD131" s="59">
        <f>H131/(100-BE131)*100</f>
        <v>0</v>
      </c>
      <c r="BE131" s="59">
        <v>0</v>
      </c>
      <c r="BF131" s="59">
        <f>L131</f>
        <v>0</v>
      </c>
      <c r="BH131" s="59">
        <f>G131*AO131</f>
        <v>0</v>
      </c>
      <c r="BI131" s="59">
        <f>G131*AP131</f>
        <v>0</v>
      </c>
      <c r="BJ131" s="59">
        <f>G131*H131</f>
        <v>0</v>
      </c>
      <c r="BK131" s="59"/>
      <c r="BL131" s="59">
        <v>94</v>
      </c>
      <c r="BW131" s="59">
        <v>12</v>
      </c>
      <c r="BX131" s="16" t="s">
        <v>427</v>
      </c>
    </row>
    <row r="132" spans="1:76" x14ac:dyDescent="0.25">
      <c r="A132" s="62"/>
      <c r="D132" s="63" t="s">
        <v>342</v>
      </c>
      <c r="E132" s="63"/>
      <c r="G132" s="64">
        <v>40</v>
      </c>
      <c r="M132" s="65"/>
    </row>
    <row r="133" spans="1:76" ht="15" customHeight="1" x14ac:dyDescent="0.25">
      <c r="A133" s="54"/>
      <c r="B133" s="55" t="s">
        <v>488</v>
      </c>
      <c r="C133" s="55" t="s">
        <v>284</v>
      </c>
      <c r="D133" s="104" t="s">
        <v>285</v>
      </c>
      <c r="E133" s="104"/>
      <c r="F133" s="56" t="s">
        <v>88</v>
      </c>
      <c r="G133" s="56" t="s">
        <v>88</v>
      </c>
      <c r="H133" s="56" t="s">
        <v>88</v>
      </c>
      <c r="I133" s="39">
        <f>SUM(I134)</f>
        <v>0</v>
      </c>
      <c r="J133" s="46"/>
      <c r="K133" s="46"/>
      <c r="L133" s="39">
        <f>SUM(L134)</f>
        <v>1.0267200000000001E-2</v>
      </c>
      <c r="M133" s="57"/>
      <c r="AI133" s="46" t="s">
        <v>488</v>
      </c>
      <c r="AS133" s="39">
        <f>SUM(AJ134)</f>
        <v>0</v>
      </c>
      <c r="AT133" s="39">
        <f>SUM(AK134)</f>
        <v>0</v>
      </c>
      <c r="AU133" s="39">
        <f>SUM(AL134)</f>
        <v>0</v>
      </c>
    </row>
    <row r="134" spans="1:76" ht="15" customHeight="1" x14ac:dyDescent="0.25">
      <c r="A134" s="58" t="s">
        <v>428</v>
      </c>
      <c r="B134" s="18" t="s">
        <v>488</v>
      </c>
      <c r="C134" s="18" t="s">
        <v>287</v>
      </c>
      <c r="D134" s="8" t="s">
        <v>288</v>
      </c>
      <c r="E134" s="8"/>
      <c r="F134" s="18" t="s">
        <v>114</v>
      </c>
      <c r="G134" s="59">
        <f>'Stavební rozpočet'!G491</f>
        <v>256.68</v>
      </c>
      <c r="H134" s="59">
        <f>'Stavební rozpočet'!H491</f>
        <v>0</v>
      </c>
      <c r="I134" s="59">
        <f>ROUND(G134*H134,2)</f>
        <v>0</v>
      </c>
      <c r="J134" s="59">
        <f>'Stavební rozpočet'!J491</f>
        <v>4.0000000000000003E-5</v>
      </c>
      <c r="K134" s="59">
        <f>'Stavební rozpočet'!K491</f>
        <v>4.0000000000000003E-5</v>
      </c>
      <c r="L134" s="59">
        <f>G134*K134</f>
        <v>1.0267200000000001E-2</v>
      </c>
      <c r="M134" s="60" t="s">
        <v>115</v>
      </c>
      <c r="Z134" s="59">
        <f>ROUND(IF(AQ134="5",BJ134,0),2)</f>
        <v>0</v>
      </c>
      <c r="AB134" s="59">
        <f>ROUND(IF(AQ134="1",BH134,0),2)</f>
        <v>0</v>
      </c>
      <c r="AC134" s="59">
        <f>ROUND(IF(AQ134="1",BI134,0),2)</f>
        <v>0</v>
      </c>
      <c r="AD134" s="59">
        <f>ROUND(IF(AQ134="7",BH134,0),2)</f>
        <v>0</v>
      </c>
      <c r="AE134" s="59">
        <f>ROUND(IF(AQ134="7",BI134,0),2)</f>
        <v>0</v>
      </c>
      <c r="AF134" s="59">
        <f>ROUND(IF(AQ134="2",BH134,0),2)</f>
        <v>0</v>
      </c>
      <c r="AG134" s="59">
        <f>ROUND(IF(AQ134="2",BI134,0),2)</f>
        <v>0</v>
      </c>
      <c r="AH134" s="59">
        <f>ROUND(IF(AQ134="0",BJ134,0),2)</f>
        <v>0</v>
      </c>
      <c r="AI134" s="46" t="s">
        <v>488</v>
      </c>
      <c r="AJ134" s="59">
        <f>IF(AN134=0,I134,0)</f>
        <v>0</v>
      </c>
      <c r="AK134" s="59">
        <f>IF(AN134=12,I134,0)</f>
        <v>0</v>
      </c>
      <c r="AL134" s="59">
        <f>IF(AN134=21,I134,0)</f>
        <v>0</v>
      </c>
      <c r="AN134" s="59">
        <v>12</v>
      </c>
      <c r="AO134" s="59">
        <f>H134*0.012649582</f>
        <v>0</v>
      </c>
      <c r="AP134" s="59">
        <f>H134*(1-0.012649582)</f>
        <v>0</v>
      </c>
      <c r="AQ134" s="61" t="s">
        <v>111</v>
      </c>
      <c r="AV134" s="59">
        <f>ROUND(AW134+AX134,2)</f>
        <v>0</v>
      </c>
      <c r="AW134" s="59">
        <f>ROUND(G134*AO134,2)</f>
        <v>0</v>
      </c>
      <c r="AX134" s="59">
        <f>ROUND(G134*AP134,2)</f>
        <v>0</v>
      </c>
      <c r="AY134" s="61" t="s">
        <v>289</v>
      </c>
      <c r="AZ134" s="61" t="s">
        <v>503</v>
      </c>
      <c r="BA134" s="46" t="s">
        <v>491</v>
      </c>
      <c r="BC134" s="59">
        <f>AW134+AX134</f>
        <v>0</v>
      </c>
      <c r="BD134" s="59">
        <f>H134/(100-BE134)*100</f>
        <v>0</v>
      </c>
      <c r="BE134" s="59">
        <v>0</v>
      </c>
      <c r="BF134" s="59">
        <f>L134</f>
        <v>1.0267200000000001E-2</v>
      </c>
      <c r="BH134" s="59">
        <f>G134*AO134</f>
        <v>0</v>
      </c>
      <c r="BI134" s="59">
        <f>G134*AP134</f>
        <v>0</v>
      </c>
      <c r="BJ134" s="59">
        <f>G134*H134</f>
        <v>0</v>
      </c>
      <c r="BK134" s="59"/>
      <c r="BL134" s="59">
        <v>95</v>
      </c>
      <c r="BW134" s="59">
        <v>12</v>
      </c>
      <c r="BX134" s="16" t="s">
        <v>288</v>
      </c>
    </row>
    <row r="135" spans="1:76" ht="45" customHeight="1" x14ac:dyDescent="0.25">
      <c r="A135" s="62"/>
      <c r="D135" s="105" t="s">
        <v>733</v>
      </c>
      <c r="E135" s="105"/>
      <c r="F135" s="105"/>
      <c r="G135" s="105"/>
      <c r="H135" s="105"/>
      <c r="I135" s="105"/>
      <c r="J135" s="105"/>
      <c r="K135" s="105"/>
      <c r="L135" s="105"/>
      <c r="M135" s="105"/>
    </row>
    <row r="136" spans="1:76" x14ac:dyDescent="0.25">
      <c r="A136" s="62"/>
      <c r="D136" s="63" t="s">
        <v>416</v>
      </c>
      <c r="E136" s="63"/>
      <c r="G136" s="64">
        <v>256.68</v>
      </c>
      <c r="M136" s="65"/>
    </row>
    <row r="137" spans="1:76" ht="15" customHeight="1" x14ac:dyDescent="0.25">
      <c r="A137" s="54"/>
      <c r="B137" s="55" t="s">
        <v>488</v>
      </c>
      <c r="C137" s="55" t="s">
        <v>290</v>
      </c>
      <c r="D137" s="104" t="s">
        <v>291</v>
      </c>
      <c r="E137" s="104"/>
      <c r="F137" s="56" t="s">
        <v>88</v>
      </c>
      <c r="G137" s="56" t="s">
        <v>88</v>
      </c>
      <c r="H137" s="56" t="s">
        <v>88</v>
      </c>
      <c r="I137" s="39">
        <f>SUM(I138:I150)</f>
        <v>0</v>
      </c>
      <c r="J137" s="46"/>
      <c r="K137" s="46"/>
      <c r="L137" s="39">
        <f>SUM(L138:L150)</f>
        <v>7.960691999999999</v>
      </c>
      <c r="M137" s="57"/>
      <c r="AI137" s="46" t="s">
        <v>488</v>
      </c>
      <c r="AS137" s="39">
        <f>SUM(AJ138:AJ150)</f>
        <v>0</v>
      </c>
      <c r="AT137" s="39">
        <f>SUM(AK138:AK150)</f>
        <v>0</v>
      </c>
      <c r="AU137" s="39">
        <f>SUM(AL138:AL150)</f>
        <v>0</v>
      </c>
    </row>
    <row r="138" spans="1:76" ht="15" customHeight="1" x14ac:dyDescent="0.25">
      <c r="A138" s="58" t="s">
        <v>429</v>
      </c>
      <c r="B138" s="18" t="s">
        <v>488</v>
      </c>
      <c r="C138" s="18" t="s">
        <v>293</v>
      </c>
      <c r="D138" s="8" t="s">
        <v>294</v>
      </c>
      <c r="E138" s="8"/>
      <c r="F138" s="18" t="s">
        <v>140</v>
      </c>
      <c r="G138" s="59">
        <f>'Stavební rozpočet'!G494</f>
        <v>24.9</v>
      </c>
      <c r="H138" s="59">
        <f>'Stavební rozpočet'!H494</f>
        <v>0</v>
      </c>
      <c r="I138" s="59">
        <f>ROUND(G138*H138,2)</f>
        <v>0</v>
      </c>
      <c r="J138" s="59">
        <f>'Stavební rozpočet'!J494</f>
        <v>0</v>
      </c>
      <c r="K138" s="59">
        <f>'Stavební rozpočet'!K494</f>
        <v>1.188E-2</v>
      </c>
      <c r="L138" s="59">
        <f>G138*K138</f>
        <v>0.29581199999999996</v>
      </c>
      <c r="M138" s="60" t="s">
        <v>115</v>
      </c>
      <c r="Z138" s="59">
        <f>ROUND(IF(AQ138="5",BJ138,0),2)</f>
        <v>0</v>
      </c>
      <c r="AB138" s="59">
        <f>ROUND(IF(AQ138="1",BH138,0),2)</f>
        <v>0</v>
      </c>
      <c r="AC138" s="59">
        <f>ROUND(IF(AQ138="1",BI138,0),2)</f>
        <v>0</v>
      </c>
      <c r="AD138" s="59">
        <f>ROUND(IF(AQ138="7",BH138,0),2)</f>
        <v>0</v>
      </c>
      <c r="AE138" s="59">
        <f>ROUND(IF(AQ138="7",BI138,0),2)</f>
        <v>0</v>
      </c>
      <c r="AF138" s="59">
        <f>ROUND(IF(AQ138="2",BH138,0),2)</f>
        <v>0</v>
      </c>
      <c r="AG138" s="59">
        <f>ROUND(IF(AQ138="2",BI138,0),2)</f>
        <v>0</v>
      </c>
      <c r="AH138" s="59">
        <f>ROUND(IF(AQ138="0",BJ138,0),2)</f>
        <v>0</v>
      </c>
      <c r="AI138" s="46" t="s">
        <v>488</v>
      </c>
      <c r="AJ138" s="59">
        <f>IF(AN138=0,I138,0)</f>
        <v>0</v>
      </c>
      <c r="AK138" s="59">
        <f>IF(AN138=12,I138,0)</f>
        <v>0</v>
      </c>
      <c r="AL138" s="59">
        <f>IF(AN138=21,I138,0)</f>
        <v>0</v>
      </c>
      <c r="AN138" s="59">
        <v>12</v>
      </c>
      <c r="AO138" s="59">
        <f>H138*0</f>
        <v>0</v>
      </c>
      <c r="AP138" s="59">
        <f>H138*(1-0)</f>
        <v>0</v>
      </c>
      <c r="AQ138" s="61" t="s">
        <v>111</v>
      </c>
      <c r="AV138" s="59">
        <f>ROUND(AW138+AX138,2)</f>
        <v>0</v>
      </c>
      <c r="AW138" s="59">
        <f>ROUND(G138*AO138,2)</f>
        <v>0</v>
      </c>
      <c r="AX138" s="59">
        <f>ROUND(G138*AP138,2)</f>
        <v>0</v>
      </c>
      <c r="AY138" s="61" t="s">
        <v>295</v>
      </c>
      <c r="AZ138" s="61" t="s">
        <v>503</v>
      </c>
      <c r="BA138" s="46" t="s">
        <v>491</v>
      </c>
      <c r="BC138" s="59">
        <f>AW138+AX138</f>
        <v>0</v>
      </c>
      <c r="BD138" s="59">
        <f>H138/(100-BE138)*100</f>
        <v>0</v>
      </c>
      <c r="BE138" s="59">
        <v>0</v>
      </c>
      <c r="BF138" s="59">
        <f>L138</f>
        <v>0.29581199999999996</v>
      </c>
      <c r="BH138" s="59">
        <f>G138*AO138</f>
        <v>0</v>
      </c>
      <c r="BI138" s="59">
        <f>G138*AP138</f>
        <v>0</v>
      </c>
      <c r="BJ138" s="59">
        <f>G138*H138</f>
        <v>0</v>
      </c>
      <c r="BK138" s="59"/>
      <c r="BL138" s="59">
        <v>96</v>
      </c>
      <c r="BW138" s="59">
        <v>12</v>
      </c>
      <c r="BX138" s="16" t="s">
        <v>294</v>
      </c>
    </row>
    <row r="139" spans="1:76" x14ac:dyDescent="0.25">
      <c r="A139" s="62"/>
      <c r="D139" s="63" t="s">
        <v>387</v>
      </c>
      <c r="E139" s="63"/>
      <c r="G139" s="64">
        <v>24.9</v>
      </c>
      <c r="M139" s="65"/>
    </row>
    <row r="140" spans="1:76" ht="15" customHeight="1" x14ac:dyDescent="0.25">
      <c r="A140" s="58" t="s">
        <v>430</v>
      </c>
      <c r="B140" s="18" t="s">
        <v>488</v>
      </c>
      <c r="C140" s="18" t="s">
        <v>297</v>
      </c>
      <c r="D140" s="8" t="s">
        <v>298</v>
      </c>
      <c r="E140" s="8"/>
      <c r="F140" s="18" t="s">
        <v>299</v>
      </c>
      <c r="G140" s="59">
        <f>'Stavební rozpočet'!G496</f>
        <v>46</v>
      </c>
      <c r="H140" s="59">
        <f>'Stavební rozpočet'!H496</f>
        <v>0</v>
      </c>
      <c r="I140" s="59">
        <f>ROUND(G140*H140,2)</f>
        <v>0</v>
      </c>
      <c r="J140" s="59">
        <f>'Stavební rozpočet'!J496</f>
        <v>0</v>
      </c>
      <c r="K140" s="59">
        <f>'Stavební rozpočet'!K496</f>
        <v>0</v>
      </c>
      <c r="L140" s="59">
        <f>G140*K140</f>
        <v>0</v>
      </c>
      <c r="M140" s="60" t="s">
        <v>115</v>
      </c>
      <c r="Z140" s="59">
        <f>ROUND(IF(AQ140="5",BJ140,0),2)</f>
        <v>0</v>
      </c>
      <c r="AB140" s="59">
        <f>ROUND(IF(AQ140="1",BH140,0),2)</f>
        <v>0</v>
      </c>
      <c r="AC140" s="59">
        <f>ROUND(IF(AQ140="1",BI140,0),2)</f>
        <v>0</v>
      </c>
      <c r="AD140" s="59">
        <f>ROUND(IF(AQ140="7",BH140,0),2)</f>
        <v>0</v>
      </c>
      <c r="AE140" s="59">
        <f>ROUND(IF(AQ140="7",BI140,0),2)</f>
        <v>0</v>
      </c>
      <c r="AF140" s="59">
        <f>ROUND(IF(AQ140="2",BH140,0),2)</f>
        <v>0</v>
      </c>
      <c r="AG140" s="59">
        <f>ROUND(IF(AQ140="2",BI140,0),2)</f>
        <v>0</v>
      </c>
      <c r="AH140" s="59">
        <f>ROUND(IF(AQ140="0",BJ140,0),2)</f>
        <v>0</v>
      </c>
      <c r="AI140" s="46" t="s">
        <v>488</v>
      </c>
      <c r="AJ140" s="59">
        <f>IF(AN140=0,I140,0)</f>
        <v>0</v>
      </c>
      <c r="AK140" s="59">
        <f>IF(AN140=12,I140,0)</f>
        <v>0</v>
      </c>
      <c r="AL140" s="59">
        <f>IF(AN140=21,I140,0)</f>
        <v>0</v>
      </c>
      <c r="AN140" s="59">
        <v>12</v>
      </c>
      <c r="AO140" s="59">
        <f>H140*0</f>
        <v>0</v>
      </c>
      <c r="AP140" s="59">
        <f>H140*(1-0)</f>
        <v>0</v>
      </c>
      <c r="AQ140" s="61" t="s">
        <v>111</v>
      </c>
      <c r="AV140" s="59">
        <f>ROUND(AW140+AX140,2)</f>
        <v>0</v>
      </c>
      <c r="AW140" s="59">
        <f>ROUND(G140*AO140,2)</f>
        <v>0</v>
      </c>
      <c r="AX140" s="59">
        <f>ROUND(G140*AP140,2)</f>
        <v>0</v>
      </c>
      <c r="AY140" s="61" t="s">
        <v>295</v>
      </c>
      <c r="AZ140" s="61" t="s">
        <v>503</v>
      </c>
      <c r="BA140" s="46" t="s">
        <v>491</v>
      </c>
      <c r="BC140" s="59">
        <f>AW140+AX140</f>
        <v>0</v>
      </c>
      <c r="BD140" s="59">
        <f>H140/(100-BE140)*100</f>
        <v>0</v>
      </c>
      <c r="BE140" s="59">
        <v>0</v>
      </c>
      <c r="BF140" s="59">
        <f>L140</f>
        <v>0</v>
      </c>
      <c r="BH140" s="59">
        <f>G140*AO140</f>
        <v>0</v>
      </c>
      <c r="BI140" s="59">
        <f>G140*AP140</f>
        <v>0</v>
      </c>
      <c r="BJ140" s="59">
        <f>G140*H140</f>
        <v>0</v>
      </c>
      <c r="BK140" s="59"/>
      <c r="BL140" s="59">
        <v>96</v>
      </c>
      <c r="BW140" s="59">
        <v>12</v>
      </c>
      <c r="BX140" s="16" t="s">
        <v>298</v>
      </c>
    </row>
    <row r="141" spans="1:76" x14ac:dyDescent="0.25">
      <c r="A141" s="62"/>
      <c r="D141" s="63" t="s">
        <v>504</v>
      </c>
      <c r="E141" s="63"/>
      <c r="G141" s="64">
        <v>46</v>
      </c>
      <c r="M141" s="65"/>
    </row>
    <row r="142" spans="1:76" ht="15" customHeight="1" x14ac:dyDescent="0.25">
      <c r="A142" s="58" t="s">
        <v>432</v>
      </c>
      <c r="B142" s="18" t="s">
        <v>488</v>
      </c>
      <c r="C142" s="18" t="s">
        <v>302</v>
      </c>
      <c r="D142" s="8" t="s">
        <v>303</v>
      </c>
      <c r="E142" s="8"/>
      <c r="F142" s="18" t="s">
        <v>114</v>
      </c>
      <c r="G142" s="59">
        <f>'Stavební rozpočet'!G498</f>
        <v>60</v>
      </c>
      <c r="H142" s="59">
        <f>'Stavební rozpočet'!H498</f>
        <v>0</v>
      </c>
      <c r="I142" s="59">
        <f>ROUND(G142*H142,2)</f>
        <v>0</v>
      </c>
      <c r="J142" s="59">
        <f>'Stavební rozpočet'!J498</f>
        <v>1E-3</v>
      </c>
      <c r="K142" s="59">
        <f>'Stavební rozpočet'!K498</f>
        <v>3.2000000000000001E-2</v>
      </c>
      <c r="L142" s="59">
        <f>G142*K142</f>
        <v>1.92</v>
      </c>
      <c r="M142" s="60" t="s">
        <v>115</v>
      </c>
      <c r="Z142" s="59">
        <f>ROUND(IF(AQ142="5",BJ142,0),2)</f>
        <v>0</v>
      </c>
      <c r="AB142" s="59">
        <f>ROUND(IF(AQ142="1",BH142,0),2)</f>
        <v>0</v>
      </c>
      <c r="AC142" s="59">
        <f>ROUND(IF(AQ142="1",BI142,0),2)</f>
        <v>0</v>
      </c>
      <c r="AD142" s="59">
        <f>ROUND(IF(AQ142="7",BH142,0),2)</f>
        <v>0</v>
      </c>
      <c r="AE142" s="59">
        <f>ROUND(IF(AQ142="7",BI142,0),2)</f>
        <v>0</v>
      </c>
      <c r="AF142" s="59">
        <f>ROUND(IF(AQ142="2",BH142,0),2)</f>
        <v>0</v>
      </c>
      <c r="AG142" s="59">
        <f>ROUND(IF(AQ142="2",BI142,0),2)</f>
        <v>0</v>
      </c>
      <c r="AH142" s="59">
        <f>ROUND(IF(AQ142="0",BJ142,0),2)</f>
        <v>0</v>
      </c>
      <c r="AI142" s="46" t="s">
        <v>488</v>
      </c>
      <c r="AJ142" s="59">
        <f>IF(AN142=0,I142,0)</f>
        <v>0</v>
      </c>
      <c r="AK142" s="59">
        <f>IF(AN142=12,I142,0)</f>
        <v>0</v>
      </c>
      <c r="AL142" s="59">
        <f>IF(AN142=21,I142,0)</f>
        <v>0</v>
      </c>
      <c r="AN142" s="59">
        <v>12</v>
      </c>
      <c r="AO142" s="59">
        <f>H142*0.133990826</f>
        <v>0</v>
      </c>
      <c r="AP142" s="59">
        <f>H142*(1-0.133990826)</f>
        <v>0</v>
      </c>
      <c r="AQ142" s="61" t="s">
        <v>111</v>
      </c>
      <c r="AV142" s="59">
        <f>ROUND(AW142+AX142,2)</f>
        <v>0</v>
      </c>
      <c r="AW142" s="59">
        <f>ROUND(G142*AO142,2)</f>
        <v>0</v>
      </c>
      <c r="AX142" s="59">
        <f>ROUND(G142*AP142,2)</f>
        <v>0</v>
      </c>
      <c r="AY142" s="61" t="s">
        <v>295</v>
      </c>
      <c r="AZ142" s="61" t="s">
        <v>503</v>
      </c>
      <c r="BA142" s="46" t="s">
        <v>491</v>
      </c>
      <c r="BC142" s="59">
        <f>AW142+AX142</f>
        <v>0</v>
      </c>
      <c r="BD142" s="59">
        <f>H142/(100-BE142)*100</f>
        <v>0</v>
      </c>
      <c r="BE142" s="59">
        <v>0</v>
      </c>
      <c r="BF142" s="59">
        <f>L142</f>
        <v>1.92</v>
      </c>
      <c r="BH142" s="59">
        <f>G142*AO142</f>
        <v>0</v>
      </c>
      <c r="BI142" s="59">
        <f>G142*AP142</f>
        <v>0</v>
      </c>
      <c r="BJ142" s="59">
        <f>G142*H142</f>
        <v>0</v>
      </c>
      <c r="BK142" s="59"/>
      <c r="BL142" s="59">
        <v>96</v>
      </c>
      <c r="BW142" s="59">
        <v>12</v>
      </c>
      <c r="BX142" s="16" t="s">
        <v>303</v>
      </c>
    </row>
    <row r="143" spans="1:76" x14ac:dyDescent="0.25">
      <c r="A143" s="62"/>
      <c r="D143" s="63" t="s">
        <v>505</v>
      </c>
      <c r="E143" s="63"/>
      <c r="G143" s="64">
        <v>60</v>
      </c>
      <c r="M143" s="65"/>
    </row>
    <row r="144" spans="1:76" ht="15" customHeight="1" x14ac:dyDescent="0.25">
      <c r="A144" s="58" t="s">
        <v>434</v>
      </c>
      <c r="B144" s="18" t="s">
        <v>488</v>
      </c>
      <c r="C144" s="18" t="s">
        <v>435</v>
      </c>
      <c r="D144" s="8" t="s">
        <v>436</v>
      </c>
      <c r="E144" s="8"/>
      <c r="F144" s="18" t="s">
        <v>360</v>
      </c>
      <c r="G144" s="59">
        <f>'Stavební rozpočet'!G500</f>
        <v>1.115</v>
      </c>
      <c r="H144" s="59">
        <f>'Stavební rozpočet'!H500</f>
        <v>0</v>
      </c>
      <c r="I144" s="59">
        <f>ROUND(G144*H144,2)</f>
        <v>0</v>
      </c>
      <c r="J144" s="59">
        <f>'Stavební rozpočet'!J500</f>
        <v>0</v>
      </c>
      <c r="K144" s="59">
        <f>'Stavební rozpočet'!K500</f>
        <v>2.2000000000000002</v>
      </c>
      <c r="L144" s="59">
        <f>G144*K144</f>
        <v>2.4530000000000003</v>
      </c>
      <c r="M144" s="60" t="s">
        <v>115</v>
      </c>
      <c r="Z144" s="59">
        <f>ROUND(IF(AQ144="5",BJ144,0),2)</f>
        <v>0</v>
      </c>
      <c r="AB144" s="59">
        <f>ROUND(IF(AQ144="1",BH144,0),2)</f>
        <v>0</v>
      </c>
      <c r="AC144" s="59">
        <f>ROUND(IF(AQ144="1",BI144,0),2)</f>
        <v>0</v>
      </c>
      <c r="AD144" s="59">
        <f>ROUND(IF(AQ144="7",BH144,0),2)</f>
        <v>0</v>
      </c>
      <c r="AE144" s="59">
        <f>ROUND(IF(AQ144="7",BI144,0),2)</f>
        <v>0</v>
      </c>
      <c r="AF144" s="59">
        <f>ROUND(IF(AQ144="2",BH144,0),2)</f>
        <v>0</v>
      </c>
      <c r="AG144" s="59">
        <f>ROUND(IF(AQ144="2",BI144,0),2)</f>
        <v>0</v>
      </c>
      <c r="AH144" s="59">
        <f>ROUND(IF(AQ144="0",BJ144,0),2)</f>
        <v>0</v>
      </c>
      <c r="AI144" s="46" t="s">
        <v>488</v>
      </c>
      <c r="AJ144" s="59">
        <f>IF(AN144=0,I144,0)</f>
        <v>0</v>
      </c>
      <c r="AK144" s="59">
        <f>IF(AN144=12,I144,0)</f>
        <v>0</v>
      </c>
      <c r="AL144" s="59">
        <f>IF(AN144=21,I144,0)</f>
        <v>0</v>
      </c>
      <c r="AN144" s="59">
        <v>12</v>
      </c>
      <c r="AO144" s="59">
        <f>H144*0</f>
        <v>0</v>
      </c>
      <c r="AP144" s="59">
        <f>H144*(1-0)</f>
        <v>0</v>
      </c>
      <c r="AQ144" s="61" t="s">
        <v>111</v>
      </c>
      <c r="AV144" s="59">
        <f>ROUND(AW144+AX144,2)</f>
        <v>0</v>
      </c>
      <c r="AW144" s="59">
        <f>ROUND(G144*AO144,2)</f>
        <v>0</v>
      </c>
      <c r="AX144" s="59">
        <f>ROUND(G144*AP144,2)</f>
        <v>0</v>
      </c>
      <c r="AY144" s="61" t="s">
        <v>295</v>
      </c>
      <c r="AZ144" s="61" t="s">
        <v>503</v>
      </c>
      <c r="BA144" s="46" t="s">
        <v>491</v>
      </c>
      <c r="BC144" s="59">
        <f>AW144+AX144</f>
        <v>0</v>
      </c>
      <c r="BD144" s="59">
        <f>H144/(100-BE144)*100</f>
        <v>0</v>
      </c>
      <c r="BE144" s="59">
        <v>0</v>
      </c>
      <c r="BF144" s="59">
        <f>L144</f>
        <v>2.4530000000000003</v>
      </c>
      <c r="BH144" s="59">
        <f>G144*AO144</f>
        <v>0</v>
      </c>
      <c r="BI144" s="59">
        <f>G144*AP144</f>
        <v>0</v>
      </c>
      <c r="BJ144" s="59">
        <f>G144*H144</f>
        <v>0</v>
      </c>
      <c r="BK144" s="59"/>
      <c r="BL144" s="59">
        <v>96</v>
      </c>
      <c r="BW144" s="59">
        <v>12</v>
      </c>
      <c r="BX144" s="16" t="s">
        <v>436</v>
      </c>
    </row>
    <row r="145" spans="1:76" x14ac:dyDescent="0.25">
      <c r="A145" s="62"/>
      <c r="D145" s="63" t="s">
        <v>362</v>
      </c>
      <c r="E145" s="63"/>
      <c r="G145" s="64">
        <v>1.115</v>
      </c>
      <c r="M145" s="65"/>
    </row>
    <row r="146" spans="1:76" ht="15" customHeight="1" x14ac:dyDescent="0.25">
      <c r="A146" s="58" t="s">
        <v>437</v>
      </c>
      <c r="B146" s="18" t="s">
        <v>488</v>
      </c>
      <c r="C146" s="18" t="s">
        <v>438</v>
      </c>
      <c r="D146" s="8" t="s">
        <v>439</v>
      </c>
      <c r="E146" s="8"/>
      <c r="F146" s="18" t="s">
        <v>360</v>
      </c>
      <c r="G146" s="59">
        <f>'Stavební rozpočet'!G502</f>
        <v>0.89200000000000002</v>
      </c>
      <c r="H146" s="59">
        <f>'Stavební rozpočet'!H502</f>
        <v>0</v>
      </c>
      <c r="I146" s="59">
        <f>ROUND(G146*H146,2)</f>
        <v>0</v>
      </c>
      <c r="J146" s="59">
        <f>'Stavební rozpočet'!J502</f>
        <v>0</v>
      </c>
      <c r="K146" s="59">
        <f>'Stavební rozpočet'!K502</f>
        <v>2.2000000000000002</v>
      </c>
      <c r="L146" s="59">
        <f>G146*K146</f>
        <v>1.9624000000000001</v>
      </c>
      <c r="M146" s="60" t="s">
        <v>115</v>
      </c>
      <c r="Z146" s="59">
        <f>ROUND(IF(AQ146="5",BJ146,0),2)</f>
        <v>0</v>
      </c>
      <c r="AB146" s="59">
        <f>ROUND(IF(AQ146="1",BH146,0),2)</f>
        <v>0</v>
      </c>
      <c r="AC146" s="59">
        <f>ROUND(IF(AQ146="1",BI146,0),2)</f>
        <v>0</v>
      </c>
      <c r="AD146" s="59">
        <f>ROUND(IF(AQ146="7",BH146,0),2)</f>
        <v>0</v>
      </c>
      <c r="AE146" s="59">
        <f>ROUND(IF(AQ146="7",BI146,0),2)</f>
        <v>0</v>
      </c>
      <c r="AF146" s="59">
        <f>ROUND(IF(AQ146="2",BH146,0),2)</f>
        <v>0</v>
      </c>
      <c r="AG146" s="59">
        <f>ROUND(IF(AQ146="2",BI146,0),2)</f>
        <v>0</v>
      </c>
      <c r="AH146" s="59">
        <f>ROUND(IF(AQ146="0",BJ146,0),2)</f>
        <v>0</v>
      </c>
      <c r="AI146" s="46" t="s">
        <v>488</v>
      </c>
      <c r="AJ146" s="59">
        <f>IF(AN146=0,I146,0)</f>
        <v>0</v>
      </c>
      <c r="AK146" s="59">
        <f>IF(AN146=12,I146,0)</f>
        <v>0</v>
      </c>
      <c r="AL146" s="59">
        <f>IF(AN146=21,I146,0)</f>
        <v>0</v>
      </c>
      <c r="AN146" s="59">
        <v>12</v>
      </c>
      <c r="AO146" s="59">
        <f>H146*0</f>
        <v>0</v>
      </c>
      <c r="AP146" s="59">
        <f>H146*(1-0)</f>
        <v>0</v>
      </c>
      <c r="AQ146" s="61" t="s">
        <v>111</v>
      </c>
      <c r="AV146" s="59">
        <f>ROUND(AW146+AX146,2)</f>
        <v>0</v>
      </c>
      <c r="AW146" s="59">
        <f>ROUND(G146*AO146,2)</f>
        <v>0</v>
      </c>
      <c r="AX146" s="59">
        <f>ROUND(G146*AP146,2)</f>
        <v>0</v>
      </c>
      <c r="AY146" s="61" t="s">
        <v>295</v>
      </c>
      <c r="AZ146" s="61" t="s">
        <v>503</v>
      </c>
      <c r="BA146" s="46" t="s">
        <v>491</v>
      </c>
      <c r="BC146" s="59">
        <f>AW146+AX146</f>
        <v>0</v>
      </c>
      <c r="BD146" s="59">
        <f>H146/(100-BE146)*100</f>
        <v>0</v>
      </c>
      <c r="BE146" s="59">
        <v>0</v>
      </c>
      <c r="BF146" s="59">
        <f>L146</f>
        <v>1.9624000000000001</v>
      </c>
      <c r="BH146" s="59">
        <f>G146*AO146</f>
        <v>0</v>
      </c>
      <c r="BI146" s="59">
        <f>G146*AP146</f>
        <v>0</v>
      </c>
      <c r="BJ146" s="59">
        <f>G146*H146</f>
        <v>0</v>
      </c>
      <c r="BK146" s="59"/>
      <c r="BL146" s="59">
        <v>96</v>
      </c>
      <c r="BW146" s="59">
        <v>12</v>
      </c>
      <c r="BX146" s="16" t="s">
        <v>439</v>
      </c>
    </row>
    <row r="147" spans="1:76" x14ac:dyDescent="0.25">
      <c r="A147" s="62"/>
      <c r="D147" s="63" t="s">
        <v>440</v>
      </c>
      <c r="E147" s="63"/>
      <c r="G147" s="64">
        <v>0.89200000000000002</v>
      </c>
      <c r="M147" s="65"/>
    </row>
    <row r="148" spans="1:76" ht="15" customHeight="1" x14ac:dyDescent="0.25">
      <c r="A148" s="58" t="s">
        <v>441</v>
      </c>
      <c r="B148" s="18" t="s">
        <v>488</v>
      </c>
      <c r="C148" s="18" t="s">
        <v>442</v>
      </c>
      <c r="D148" s="8" t="s">
        <v>443</v>
      </c>
      <c r="E148" s="8"/>
      <c r="F148" s="18" t="s">
        <v>114</v>
      </c>
      <c r="G148" s="59">
        <f>'Stavební rozpočet'!G504</f>
        <v>22.3</v>
      </c>
      <c r="H148" s="59">
        <f>'Stavební rozpočet'!H504</f>
        <v>0</v>
      </c>
      <c r="I148" s="59">
        <f>ROUND(G148*H148,2)</f>
        <v>0</v>
      </c>
      <c r="J148" s="59">
        <f>'Stavební rozpočet'!J504</f>
        <v>0</v>
      </c>
      <c r="K148" s="59">
        <f>'Stavební rozpočet'!K504</f>
        <v>1.26E-2</v>
      </c>
      <c r="L148" s="59">
        <f>G148*K148</f>
        <v>0.28098000000000001</v>
      </c>
      <c r="M148" s="60" t="s">
        <v>115</v>
      </c>
      <c r="Z148" s="59">
        <f>ROUND(IF(AQ148="5",BJ148,0),2)</f>
        <v>0</v>
      </c>
      <c r="AB148" s="59">
        <f>ROUND(IF(AQ148="1",BH148,0),2)</f>
        <v>0</v>
      </c>
      <c r="AC148" s="59">
        <f>ROUND(IF(AQ148="1",BI148,0),2)</f>
        <v>0</v>
      </c>
      <c r="AD148" s="59">
        <f>ROUND(IF(AQ148="7",BH148,0),2)</f>
        <v>0</v>
      </c>
      <c r="AE148" s="59">
        <f>ROUND(IF(AQ148="7",BI148,0),2)</f>
        <v>0</v>
      </c>
      <c r="AF148" s="59">
        <f>ROUND(IF(AQ148="2",BH148,0),2)</f>
        <v>0</v>
      </c>
      <c r="AG148" s="59">
        <f>ROUND(IF(AQ148="2",BI148,0),2)</f>
        <v>0</v>
      </c>
      <c r="AH148" s="59">
        <f>ROUND(IF(AQ148="0",BJ148,0),2)</f>
        <v>0</v>
      </c>
      <c r="AI148" s="46" t="s">
        <v>488</v>
      </c>
      <c r="AJ148" s="59">
        <f>IF(AN148=0,I148,0)</f>
        <v>0</v>
      </c>
      <c r="AK148" s="59">
        <f>IF(AN148=12,I148,0)</f>
        <v>0</v>
      </c>
      <c r="AL148" s="59">
        <f>IF(AN148=21,I148,0)</f>
        <v>0</v>
      </c>
      <c r="AN148" s="59">
        <v>12</v>
      </c>
      <c r="AO148" s="59">
        <f>H148*0</f>
        <v>0</v>
      </c>
      <c r="AP148" s="59">
        <f>H148*(1-0)</f>
        <v>0</v>
      </c>
      <c r="AQ148" s="61" t="s">
        <v>111</v>
      </c>
      <c r="AV148" s="59">
        <f>ROUND(AW148+AX148,2)</f>
        <v>0</v>
      </c>
      <c r="AW148" s="59">
        <f>ROUND(G148*AO148,2)</f>
        <v>0</v>
      </c>
      <c r="AX148" s="59">
        <f>ROUND(G148*AP148,2)</f>
        <v>0</v>
      </c>
      <c r="AY148" s="61" t="s">
        <v>295</v>
      </c>
      <c r="AZ148" s="61" t="s">
        <v>503</v>
      </c>
      <c r="BA148" s="46" t="s">
        <v>491</v>
      </c>
      <c r="BC148" s="59">
        <f>AW148+AX148</f>
        <v>0</v>
      </c>
      <c r="BD148" s="59">
        <f>H148/(100-BE148)*100</f>
        <v>0</v>
      </c>
      <c r="BE148" s="59">
        <v>0</v>
      </c>
      <c r="BF148" s="59">
        <f>L148</f>
        <v>0.28098000000000001</v>
      </c>
      <c r="BH148" s="59">
        <f>G148*AO148</f>
        <v>0</v>
      </c>
      <c r="BI148" s="59">
        <f>G148*AP148</f>
        <v>0</v>
      </c>
      <c r="BJ148" s="59">
        <f>G148*H148</f>
        <v>0</v>
      </c>
      <c r="BK148" s="59"/>
      <c r="BL148" s="59">
        <v>96</v>
      </c>
      <c r="BW148" s="59">
        <v>12</v>
      </c>
      <c r="BX148" s="16" t="s">
        <v>443</v>
      </c>
    </row>
    <row r="149" spans="1:76" x14ac:dyDescent="0.25">
      <c r="A149" s="62"/>
      <c r="D149" s="63" t="s">
        <v>444</v>
      </c>
      <c r="E149" s="63"/>
      <c r="G149" s="64">
        <v>22.3</v>
      </c>
      <c r="M149" s="65"/>
    </row>
    <row r="150" spans="1:76" ht="15" customHeight="1" x14ac:dyDescent="0.25">
      <c r="A150" s="58" t="s">
        <v>445</v>
      </c>
      <c r="B150" s="18" t="s">
        <v>488</v>
      </c>
      <c r="C150" s="18" t="s">
        <v>446</v>
      </c>
      <c r="D150" s="8" t="s">
        <v>447</v>
      </c>
      <c r="E150" s="8"/>
      <c r="F150" s="18" t="s">
        <v>114</v>
      </c>
      <c r="G150" s="59">
        <f>'Stavební rozpočet'!G506</f>
        <v>23.3</v>
      </c>
      <c r="H150" s="59">
        <f>'Stavební rozpočet'!H506</f>
        <v>0</v>
      </c>
      <c r="I150" s="59">
        <f>ROUND(G150*H150,2)</f>
        <v>0</v>
      </c>
      <c r="J150" s="59">
        <f>'Stavební rozpočet'!J506</f>
        <v>0</v>
      </c>
      <c r="K150" s="59">
        <f>'Stavební rozpočet'!K506</f>
        <v>4.4999999999999998E-2</v>
      </c>
      <c r="L150" s="59">
        <f>G150*K150</f>
        <v>1.0485</v>
      </c>
      <c r="M150" s="60" t="s">
        <v>115</v>
      </c>
      <c r="Z150" s="59">
        <f>ROUND(IF(AQ150="5",BJ150,0),2)</f>
        <v>0</v>
      </c>
      <c r="AB150" s="59">
        <f>ROUND(IF(AQ150="1",BH150,0),2)</f>
        <v>0</v>
      </c>
      <c r="AC150" s="59">
        <f>ROUND(IF(AQ150="1",BI150,0),2)</f>
        <v>0</v>
      </c>
      <c r="AD150" s="59">
        <f>ROUND(IF(AQ150="7",BH150,0),2)</f>
        <v>0</v>
      </c>
      <c r="AE150" s="59">
        <f>ROUND(IF(AQ150="7",BI150,0),2)</f>
        <v>0</v>
      </c>
      <c r="AF150" s="59">
        <f>ROUND(IF(AQ150="2",BH150,0),2)</f>
        <v>0</v>
      </c>
      <c r="AG150" s="59">
        <f>ROUND(IF(AQ150="2",BI150,0),2)</f>
        <v>0</v>
      </c>
      <c r="AH150" s="59">
        <f>ROUND(IF(AQ150="0",BJ150,0),2)</f>
        <v>0</v>
      </c>
      <c r="AI150" s="46" t="s">
        <v>488</v>
      </c>
      <c r="AJ150" s="59">
        <f>IF(AN150=0,I150,0)</f>
        <v>0</v>
      </c>
      <c r="AK150" s="59">
        <f>IF(AN150=12,I150,0)</f>
        <v>0</v>
      </c>
      <c r="AL150" s="59">
        <f>IF(AN150=21,I150,0)</f>
        <v>0</v>
      </c>
      <c r="AN150" s="59">
        <v>12</v>
      </c>
      <c r="AO150" s="59">
        <f>H150*0</f>
        <v>0</v>
      </c>
      <c r="AP150" s="59">
        <f>H150*(1-0)</f>
        <v>0</v>
      </c>
      <c r="AQ150" s="61" t="s">
        <v>111</v>
      </c>
      <c r="AV150" s="59">
        <f>ROUND(AW150+AX150,2)</f>
        <v>0</v>
      </c>
      <c r="AW150" s="59">
        <f>ROUND(G150*AO150,2)</f>
        <v>0</v>
      </c>
      <c r="AX150" s="59">
        <f>ROUND(G150*AP150,2)</f>
        <v>0</v>
      </c>
      <c r="AY150" s="61" t="s">
        <v>295</v>
      </c>
      <c r="AZ150" s="61" t="s">
        <v>503</v>
      </c>
      <c r="BA150" s="46" t="s">
        <v>491</v>
      </c>
      <c r="BC150" s="59">
        <f>AW150+AX150</f>
        <v>0</v>
      </c>
      <c r="BD150" s="59">
        <f>H150/(100-BE150)*100</f>
        <v>0</v>
      </c>
      <c r="BE150" s="59">
        <v>0</v>
      </c>
      <c r="BF150" s="59">
        <f>L150</f>
        <v>1.0485</v>
      </c>
      <c r="BH150" s="59">
        <f>G150*AO150</f>
        <v>0</v>
      </c>
      <c r="BI150" s="59">
        <f>G150*AP150</f>
        <v>0</v>
      </c>
      <c r="BJ150" s="59">
        <f>G150*H150</f>
        <v>0</v>
      </c>
      <c r="BK150" s="59"/>
      <c r="BL150" s="59">
        <v>96</v>
      </c>
      <c r="BW150" s="59">
        <v>12</v>
      </c>
      <c r="BX150" s="16" t="s">
        <v>447</v>
      </c>
    </row>
    <row r="151" spans="1:76" x14ac:dyDescent="0.25">
      <c r="A151" s="62"/>
      <c r="D151" s="63" t="s">
        <v>379</v>
      </c>
      <c r="E151" s="63"/>
      <c r="G151" s="64">
        <v>22.3</v>
      </c>
      <c r="M151" s="65"/>
    </row>
    <row r="152" spans="1:76" x14ac:dyDescent="0.25">
      <c r="A152" s="62"/>
      <c r="D152" s="63" t="s">
        <v>448</v>
      </c>
      <c r="E152" s="63"/>
      <c r="G152" s="64">
        <v>1</v>
      </c>
      <c r="M152" s="65"/>
    </row>
    <row r="153" spans="1:76" ht="15" customHeight="1" x14ac:dyDescent="0.25">
      <c r="A153" s="54"/>
      <c r="B153" s="55" t="s">
        <v>488</v>
      </c>
      <c r="C153" s="55" t="s">
        <v>312</v>
      </c>
      <c r="D153" s="104" t="s">
        <v>313</v>
      </c>
      <c r="E153" s="104"/>
      <c r="F153" s="56" t="s">
        <v>88</v>
      </c>
      <c r="G153" s="56" t="s">
        <v>88</v>
      </c>
      <c r="H153" s="56" t="s">
        <v>88</v>
      </c>
      <c r="I153" s="39">
        <f>SUM(I154)</f>
        <v>0</v>
      </c>
      <c r="J153" s="46"/>
      <c r="K153" s="46"/>
      <c r="L153" s="39">
        <f>SUM(L154)</f>
        <v>1.2511999999999999</v>
      </c>
      <c r="M153" s="57"/>
      <c r="AI153" s="46" t="s">
        <v>488</v>
      </c>
      <c r="AS153" s="39">
        <f>SUM(AJ154)</f>
        <v>0</v>
      </c>
      <c r="AT153" s="39">
        <f>SUM(AK154)</f>
        <v>0</v>
      </c>
      <c r="AU153" s="39">
        <f>SUM(AL154)</f>
        <v>0</v>
      </c>
    </row>
    <row r="154" spans="1:76" ht="15" customHeight="1" x14ac:dyDescent="0.25">
      <c r="A154" s="58" t="s">
        <v>449</v>
      </c>
      <c r="B154" s="18" t="s">
        <v>488</v>
      </c>
      <c r="C154" s="18" t="s">
        <v>315</v>
      </c>
      <c r="D154" s="8" t="s">
        <v>316</v>
      </c>
      <c r="E154" s="8"/>
      <c r="F154" s="18" t="s">
        <v>114</v>
      </c>
      <c r="G154" s="59">
        <f>'Stavební rozpočet'!G510</f>
        <v>27.2</v>
      </c>
      <c r="H154" s="59">
        <f>'Stavební rozpočet'!H510</f>
        <v>0</v>
      </c>
      <c r="I154" s="59">
        <f>ROUND(G154*H154,2)</f>
        <v>0</v>
      </c>
      <c r="J154" s="59">
        <f>'Stavební rozpočet'!J510</f>
        <v>0</v>
      </c>
      <c r="K154" s="59">
        <f>'Stavební rozpočet'!K510</f>
        <v>4.5999999999999999E-2</v>
      </c>
      <c r="L154" s="59">
        <f>G154*K154</f>
        <v>1.2511999999999999</v>
      </c>
      <c r="M154" s="60" t="s">
        <v>115</v>
      </c>
      <c r="Z154" s="59">
        <f>ROUND(IF(AQ154="5",BJ154,0),2)</f>
        <v>0</v>
      </c>
      <c r="AB154" s="59">
        <f>ROUND(IF(AQ154="1",BH154,0),2)</f>
        <v>0</v>
      </c>
      <c r="AC154" s="59">
        <f>ROUND(IF(AQ154="1",BI154,0),2)</f>
        <v>0</v>
      </c>
      <c r="AD154" s="59">
        <f>ROUND(IF(AQ154="7",BH154,0),2)</f>
        <v>0</v>
      </c>
      <c r="AE154" s="59">
        <f>ROUND(IF(AQ154="7",BI154,0),2)</f>
        <v>0</v>
      </c>
      <c r="AF154" s="59">
        <f>ROUND(IF(AQ154="2",BH154,0),2)</f>
        <v>0</v>
      </c>
      <c r="AG154" s="59">
        <f>ROUND(IF(AQ154="2",BI154,0),2)</f>
        <v>0</v>
      </c>
      <c r="AH154" s="59">
        <f>ROUND(IF(AQ154="0",BJ154,0),2)</f>
        <v>0</v>
      </c>
      <c r="AI154" s="46" t="s">
        <v>488</v>
      </c>
      <c r="AJ154" s="59">
        <f>IF(AN154=0,I154,0)</f>
        <v>0</v>
      </c>
      <c r="AK154" s="59">
        <f>IF(AN154=12,I154,0)</f>
        <v>0</v>
      </c>
      <c r="AL154" s="59">
        <f>IF(AN154=21,I154,0)</f>
        <v>0</v>
      </c>
      <c r="AN154" s="59">
        <v>12</v>
      </c>
      <c r="AO154" s="59">
        <f>H154*0</f>
        <v>0</v>
      </c>
      <c r="AP154" s="59">
        <f>H154*(1-0)</f>
        <v>0</v>
      </c>
      <c r="AQ154" s="61" t="s">
        <v>111</v>
      </c>
      <c r="AV154" s="59">
        <f>ROUND(AW154+AX154,2)</f>
        <v>0</v>
      </c>
      <c r="AW154" s="59">
        <f>ROUND(G154*AO154,2)</f>
        <v>0</v>
      </c>
      <c r="AX154" s="59">
        <f>ROUND(G154*AP154,2)</f>
        <v>0</v>
      </c>
      <c r="AY154" s="61" t="s">
        <v>317</v>
      </c>
      <c r="AZ154" s="61" t="s">
        <v>503</v>
      </c>
      <c r="BA154" s="46" t="s">
        <v>491</v>
      </c>
      <c r="BC154" s="59">
        <f>AW154+AX154</f>
        <v>0</v>
      </c>
      <c r="BD154" s="59">
        <f>H154/(100-BE154)*100</f>
        <v>0</v>
      </c>
      <c r="BE154" s="59">
        <v>0</v>
      </c>
      <c r="BF154" s="59">
        <f>L154</f>
        <v>1.2511999999999999</v>
      </c>
      <c r="BH154" s="59">
        <f>G154*AO154</f>
        <v>0</v>
      </c>
      <c r="BI154" s="59">
        <f>G154*AP154</f>
        <v>0</v>
      </c>
      <c r="BJ154" s="59">
        <f>G154*H154</f>
        <v>0</v>
      </c>
      <c r="BK154" s="59"/>
      <c r="BL154" s="59">
        <v>97</v>
      </c>
      <c r="BW154" s="59">
        <v>12</v>
      </c>
      <c r="BX154" s="16" t="s">
        <v>316</v>
      </c>
    </row>
    <row r="155" spans="1:76" x14ac:dyDescent="0.25">
      <c r="A155" s="62"/>
      <c r="D155" s="63" t="s">
        <v>502</v>
      </c>
      <c r="E155" s="63"/>
      <c r="G155" s="64">
        <v>27.2</v>
      </c>
      <c r="M155" s="65"/>
    </row>
    <row r="156" spans="1:76" ht="15" customHeight="1" x14ac:dyDescent="0.25">
      <c r="A156" s="54"/>
      <c r="B156" s="55" t="s">
        <v>488</v>
      </c>
      <c r="C156" s="55" t="s">
        <v>318</v>
      </c>
      <c r="D156" s="104" t="s">
        <v>319</v>
      </c>
      <c r="E156" s="104"/>
      <c r="F156" s="56" t="s">
        <v>88</v>
      </c>
      <c r="G156" s="56" t="s">
        <v>88</v>
      </c>
      <c r="H156" s="56" t="s">
        <v>88</v>
      </c>
      <c r="I156" s="39">
        <f>SUM(I157)</f>
        <v>0</v>
      </c>
      <c r="J156" s="46"/>
      <c r="K156" s="46"/>
      <c r="L156" s="39">
        <f>SUM(L157)</f>
        <v>0</v>
      </c>
      <c r="M156" s="57"/>
      <c r="AI156" s="46" t="s">
        <v>488</v>
      </c>
      <c r="AS156" s="39">
        <f>SUM(AJ157)</f>
        <v>0</v>
      </c>
      <c r="AT156" s="39">
        <f>SUM(AK157)</f>
        <v>0</v>
      </c>
      <c r="AU156" s="39">
        <f>SUM(AL157)</f>
        <v>0</v>
      </c>
    </row>
    <row r="157" spans="1:76" ht="15" customHeight="1" x14ac:dyDescent="0.25">
      <c r="A157" s="58" t="s">
        <v>451</v>
      </c>
      <c r="B157" s="18" t="s">
        <v>488</v>
      </c>
      <c r="C157" s="18" t="s">
        <v>321</v>
      </c>
      <c r="D157" s="8" t="s">
        <v>322</v>
      </c>
      <c r="E157" s="8"/>
      <c r="F157" s="18" t="s">
        <v>224</v>
      </c>
      <c r="G157" s="59">
        <f>'Stavební rozpočet'!G513</f>
        <v>5.1639999999999997</v>
      </c>
      <c r="H157" s="59">
        <f>'Stavební rozpočet'!H513</f>
        <v>0</v>
      </c>
      <c r="I157" s="59">
        <f>ROUND(G157*H157,2)</f>
        <v>0</v>
      </c>
      <c r="J157" s="59">
        <f>'Stavební rozpočet'!J513</f>
        <v>0</v>
      </c>
      <c r="K157" s="59">
        <f>'Stavební rozpočet'!K513</f>
        <v>0</v>
      </c>
      <c r="L157" s="59">
        <f>G157*K157</f>
        <v>0</v>
      </c>
      <c r="M157" s="60" t="s">
        <v>115</v>
      </c>
      <c r="Z157" s="59">
        <f>ROUND(IF(AQ157="5",BJ157,0),2)</f>
        <v>0</v>
      </c>
      <c r="AB157" s="59">
        <f>ROUND(IF(AQ157="1",BH157,0),2)</f>
        <v>0</v>
      </c>
      <c r="AC157" s="59">
        <f>ROUND(IF(AQ157="1",BI157,0),2)</f>
        <v>0</v>
      </c>
      <c r="AD157" s="59">
        <f>ROUND(IF(AQ157="7",BH157,0),2)</f>
        <v>0</v>
      </c>
      <c r="AE157" s="59">
        <f>ROUND(IF(AQ157="7",BI157,0),2)</f>
        <v>0</v>
      </c>
      <c r="AF157" s="59">
        <f>ROUND(IF(AQ157="2",BH157,0),2)</f>
        <v>0</v>
      </c>
      <c r="AG157" s="59">
        <f>ROUND(IF(AQ157="2",BI157,0),2)</f>
        <v>0</v>
      </c>
      <c r="AH157" s="59">
        <f>ROUND(IF(AQ157="0",BJ157,0),2)</f>
        <v>0</v>
      </c>
      <c r="AI157" s="46" t="s">
        <v>488</v>
      </c>
      <c r="AJ157" s="59">
        <f>IF(AN157=0,I157,0)</f>
        <v>0</v>
      </c>
      <c r="AK157" s="59">
        <f>IF(AN157=12,I157,0)</f>
        <v>0</v>
      </c>
      <c r="AL157" s="59">
        <f>IF(AN157=21,I157,0)</f>
        <v>0</v>
      </c>
      <c r="AN157" s="59">
        <v>12</v>
      </c>
      <c r="AO157" s="59">
        <f>H157*0</f>
        <v>0</v>
      </c>
      <c r="AP157" s="59">
        <f>H157*(1-0)</f>
        <v>0</v>
      </c>
      <c r="AQ157" s="61" t="s">
        <v>137</v>
      </c>
      <c r="AV157" s="59">
        <f>ROUND(AW157+AX157,2)</f>
        <v>0</v>
      </c>
      <c r="AW157" s="59">
        <f>ROUND(G157*AO157,2)</f>
        <v>0</v>
      </c>
      <c r="AX157" s="59">
        <f>ROUND(G157*AP157,2)</f>
        <v>0</v>
      </c>
      <c r="AY157" s="61" t="s">
        <v>323</v>
      </c>
      <c r="AZ157" s="61" t="s">
        <v>503</v>
      </c>
      <c r="BA157" s="46" t="s">
        <v>491</v>
      </c>
      <c r="BC157" s="59">
        <f>AW157+AX157</f>
        <v>0</v>
      </c>
      <c r="BD157" s="59">
        <f>H157/(100-BE157)*100</f>
        <v>0</v>
      </c>
      <c r="BE157" s="59">
        <v>0</v>
      </c>
      <c r="BF157" s="59">
        <f>L157</f>
        <v>0</v>
      </c>
      <c r="BH157" s="59">
        <f>G157*AO157</f>
        <v>0</v>
      </c>
      <c r="BI157" s="59">
        <f>G157*AP157</f>
        <v>0</v>
      </c>
      <c r="BJ157" s="59">
        <f>G157*H157</f>
        <v>0</v>
      </c>
      <c r="BK157" s="59"/>
      <c r="BL157" s="59"/>
      <c r="BW157" s="59">
        <v>12</v>
      </c>
      <c r="BX157" s="16" t="s">
        <v>322</v>
      </c>
    </row>
    <row r="158" spans="1:76" ht="15" customHeight="1" x14ac:dyDescent="0.25">
      <c r="A158" s="54"/>
      <c r="B158" s="55" t="s">
        <v>488</v>
      </c>
      <c r="C158" s="55" t="s">
        <v>324</v>
      </c>
      <c r="D158" s="104" t="s">
        <v>325</v>
      </c>
      <c r="E158" s="104"/>
      <c r="F158" s="56" t="s">
        <v>88</v>
      </c>
      <c r="G158" s="56" t="s">
        <v>88</v>
      </c>
      <c r="H158" s="56" t="s">
        <v>88</v>
      </c>
      <c r="I158" s="39">
        <f>SUM(I159:I173)</f>
        <v>0</v>
      </c>
      <c r="J158" s="46"/>
      <c r="K158" s="46"/>
      <c r="L158" s="39">
        <f>SUM(L159:L173)</f>
        <v>0</v>
      </c>
      <c r="M158" s="57"/>
      <c r="AI158" s="46" t="s">
        <v>488</v>
      </c>
      <c r="AS158" s="39">
        <f>SUM(AJ159:AJ173)</f>
        <v>0</v>
      </c>
      <c r="AT158" s="39">
        <f>SUM(AK159:AK173)</f>
        <v>0</v>
      </c>
      <c r="AU158" s="39">
        <f>SUM(AL159:AL173)</f>
        <v>0</v>
      </c>
    </row>
    <row r="159" spans="1:76" ht="15" customHeight="1" x14ac:dyDescent="0.25">
      <c r="A159" s="58" t="s">
        <v>452</v>
      </c>
      <c r="B159" s="18" t="s">
        <v>488</v>
      </c>
      <c r="C159" s="18" t="s">
        <v>453</v>
      </c>
      <c r="D159" s="8" t="s">
        <v>454</v>
      </c>
      <c r="E159" s="8"/>
      <c r="F159" s="18" t="s">
        <v>224</v>
      </c>
      <c r="G159" s="59">
        <f>'Stavební rozpočet'!G515</f>
        <v>9.3800000000000008</v>
      </c>
      <c r="H159" s="59">
        <f>'Stavební rozpočet'!H515</f>
        <v>0</v>
      </c>
      <c r="I159" s="59">
        <f>ROUND(G159*H159,2)</f>
        <v>0</v>
      </c>
      <c r="J159" s="59">
        <f>'Stavební rozpočet'!J515</f>
        <v>0</v>
      </c>
      <c r="K159" s="59">
        <f>'Stavební rozpočet'!K515</f>
        <v>0</v>
      </c>
      <c r="L159" s="59">
        <f>G159*K159</f>
        <v>0</v>
      </c>
      <c r="M159" s="60" t="s">
        <v>115</v>
      </c>
      <c r="Z159" s="59">
        <f>ROUND(IF(AQ159="5",BJ159,0),2)</f>
        <v>0</v>
      </c>
      <c r="AB159" s="59">
        <f>ROUND(IF(AQ159="1",BH159,0),2)</f>
        <v>0</v>
      </c>
      <c r="AC159" s="59">
        <f>ROUND(IF(AQ159="1",BI159,0),2)</f>
        <v>0</v>
      </c>
      <c r="AD159" s="59">
        <f>ROUND(IF(AQ159="7",BH159,0),2)</f>
        <v>0</v>
      </c>
      <c r="AE159" s="59">
        <f>ROUND(IF(AQ159="7",BI159,0),2)</f>
        <v>0</v>
      </c>
      <c r="AF159" s="59">
        <f>ROUND(IF(AQ159="2",BH159,0),2)</f>
        <v>0</v>
      </c>
      <c r="AG159" s="59">
        <f>ROUND(IF(AQ159="2",BI159,0),2)</f>
        <v>0</v>
      </c>
      <c r="AH159" s="59">
        <f>ROUND(IF(AQ159="0",BJ159,0),2)</f>
        <v>0</v>
      </c>
      <c r="AI159" s="46" t="s">
        <v>488</v>
      </c>
      <c r="AJ159" s="59">
        <f>IF(AN159=0,I159,0)</f>
        <v>0</v>
      </c>
      <c r="AK159" s="59">
        <f>IF(AN159=12,I159,0)</f>
        <v>0</v>
      </c>
      <c r="AL159" s="59">
        <f>IF(AN159=21,I159,0)</f>
        <v>0</v>
      </c>
      <c r="AN159" s="59">
        <v>12</v>
      </c>
      <c r="AO159" s="59">
        <f>H159*0</f>
        <v>0</v>
      </c>
      <c r="AP159" s="59">
        <f>H159*(1-0)</f>
        <v>0</v>
      </c>
      <c r="AQ159" s="61" t="s">
        <v>137</v>
      </c>
      <c r="AV159" s="59">
        <f>ROUND(AW159+AX159,2)</f>
        <v>0</v>
      </c>
      <c r="AW159" s="59">
        <f>ROUND(G159*AO159,2)</f>
        <v>0</v>
      </c>
      <c r="AX159" s="59">
        <f>ROUND(G159*AP159,2)</f>
        <v>0</v>
      </c>
      <c r="AY159" s="61" t="s">
        <v>329</v>
      </c>
      <c r="AZ159" s="61" t="s">
        <v>503</v>
      </c>
      <c r="BA159" s="46" t="s">
        <v>491</v>
      </c>
      <c r="BC159" s="59">
        <f>AW159+AX159</f>
        <v>0</v>
      </c>
      <c r="BD159" s="59">
        <f>H159/(100-BE159)*100</f>
        <v>0</v>
      </c>
      <c r="BE159" s="59">
        <v>0</v>
      </c>
      <c r="BF159" s="59">
        <f>L159</f>
        <v>0</v>
      </c>
      <c r="BH159" s="59">
        <f>G159*AO159</f>
        <v>0</v>
      </c>
      <c r="BI159" s="59">
        <f>G159*AP159</f>
        <v>0</v>
      </c>
      <c r="BJ159" s="59">
        <f>G159*H159</f>
        <v>0</v>
      </c>
      <c r="BK159" s="59"/>
      <c r="BL159" s="59"/>
      <c r="BW159" s="59">
        <v>12</v>
      </c>
      <c r="BX159" s="16" t="s">
        <v>454</v>
      </c>
    </row>
    <row r="160" spans="1:76" x14ac:dyDescent="0.25">
      <c r="A160" s="62"/>
      <c r="D160" s="63" t="s">
        <v>506</v>
      </c>
      <c r="E160" s="63"/>
      <c r="G160" s="64">
        <v>9.3800000000000008</v>
      </c>
      <c r="M160" s="65"/>
    </row>
    <row r="161" spans="1:76" ht="15" customHeight="1" x14ac:dyDescent="0.25">
      <c r="A161" s="58" t="s">
        <v>456</v>
      </c>
      <c r="B161" s="18" t="s">
        <v>488</v>
      </c>
      <c r="C161" s="18" t="s">
        <v>327</v>
      </c>
      <c r="D161" s="8" t="s">
        <v>328</v>
      </c>
      <c r="E161" s="8"/>
      <c r="F161" s="18" t="s">
        <v>224</v>
      </c>
      <c r="G161" s="59">
        <f>'Stavební rozpočet'!G517</f>
        <v>9.3800000000000008</v>
      </c>
      <c r="H161" s="59">
        <f>'Stavební rozpočet'!H517</f>
        <v>0</v>
      </c>
      <c r="I161" s="59">
        <f>ROUND(G161*H161,2)</f>
        <v>0</v>
      </c>
      <c r="J161" s="59">
        <f>'Stavební rozpočet'!J517</f>
        <v>0</v>
      </c>
      <c r="K161" s="59">
        <f>'Stavební rozpočet'!K517</f>
        <v>0</v>
      </c>
      <c r="L161" s="59">
        <f>G161*K161</f>
        <v>0</v>
      </c>
      <c r="M161" s="60" t="s">
        <v>115</v>
      </c>
      <c r="Z161" s="59">
        <f>ROUND(IF(AQ161="5",BJ161,0),2)</f>
        <v>0</v>
      </c>
      <c r="AB161" s="59">
        <f>ROUND(IF(AQ161="1",BH161,0),2)</f>
        <v>0</v>
      </c>
      <c r="AC161" s="59">
        <f>ROUND(IF(AQ161="1",BI161,0),2)</f>
        <v>0</v>
      </c>
      <c r="AD161" s="59">
        <f>ROUND(IF(AQ161="7",BH161,0),2)</f>
        <v>0</v>
      </c>
      <c r="AE161" s="59">
        <f>ROUND(IF(AQ161="7",BI161,0),2)</f>
        <v>0</v>
      </c>
      <c r="AF161" s="59">
        <f>ROUND(IF(AQ161="2",BH161,0),2)</f>
        <v>0</v>
      </c>
      <c r="AG161" s="59">
        <f>ROUND(IF(AQ161="2",BI161,0),2)</f>
        <v>0</v>
      </c>
      <c r="AH161" s="59">
        <f>ROUND(IF(AQ161="0",BJ161,0),2)</f>
        <v>0</v>
      </c>
      <c r="AI161" s="46" t="s">
        <v>488</v>
      </c>
      <c r="AJ161" s="59">
        <f>IF(AN161=0,I161,0)</f>
        <v>0</v>
      </c>
      <c r="AK161" s="59">
        <f>IF(AN161=12,I161,0)</f>
        <v>0</v>
      </c>
      <c r="AL161" s="59">
        <f>IF(AN161=21,I161,0)</f>
        <v>0</v>
      </c>
      <c r="AN161" s="59">
        <v>12</v>
      </c>
      <c r="AO161" s="59">
        <f>H161*0</f>
        <v>0</v>
      </c>
      <c r="AP161" s="59">
        <f>H161*(1-0)</f>
        <v>0</v>
      </c>
      <c r="AQ161" s="61" t="s">
        <v>137</v>
      </c>
      <c r="AV161" s="59">
        <f>ROUND(AW161+AX161,2)</f>
        <v>0</v>
      </c>
      <c r="AW161" s="59">
        <f>ROUND(G161*AO161,2)</f>
        <v>0</v>
      </c>
      <c r="AX161" s="59">
        <f>ROUND(G161*AP161,2)</f>
        <v>0</v>
      </c>
      <c r="AY161" s="61" t="s">
        <v>329</v>
      </c>
      <c r="AZ161" s="61" t="s">
        <v>503</v>
      </c>
      <c r="BA161" s="46" t="s">
        <v>491</v>
      </c>
      <c r="BC161" s="59">
        <f>AW161+AX161</f>
        <v>0</v>
      </c>
      <c r="BD161" s="59">
        <f>H161/(100-BE161)*100</f>
        <v>0</v>
      </c>
      <c r="BE161" s="59">
        <v>0</v>
      </c>
      <c r="BF161" s="59">
        <f>L161</f>
        <v>0</v>
      </c>
      <c r="BH161" s="59">
        <f>G161*AO161</f>
        <v>0</v>
      </c>
      <c r="BI161" s="59">
        <f>G161*AP161</f>
        <v>0</v>
      </c>
      <c r="BJ161" s="59">
        <f>G161*H161</f>
        <v>0</v>
      </c>
      <c r="BK161" s="59"/>
      <c r="BL161" s="59"/>
      <c r="BW161" s="59">
        <v>12</v>
      </c>
      <c r="BX161" s="16" t="s">
        <v>328</v>
      </c>
    </row>
    <row r="162" spans="1:76" x14ac:dyDescent="0.25">
      <c r="A162" s="62"/>
      <c r="D162" s="63" t="s">
        <v>507</v>
      </c>
      <c r="E162" s="63"/>
      <c r="G162" s="64">
        <v>9.3800000000000008</v>
      </c>
      <c r="M162" s="65"/>
    </row>
    <row r="163" spans="1:76" ht="15" customHeight="1" x14ac:dyDescent="0.25">
      <c r="A163" s="58" t="s">
        <v>457</v>
      </c>
      <c r="B163" s="18" t="s">
        <v>488</v>
      </c>
      <c r="C163" s="18" t="s">
        <v>482</v>
      </c>
      <c r="D163" s="8" t="s">
        <v>483</v>
      </c>
      <c r="E163" s="8"/>
      <c r="F163" s="18" t="s">
        <v>224</v>
      </c>
      <c r="G163" s="59">
        <f>'Stavební rozpočet'!G519</f>
        <v>28.14</v>
      </c>
      <c r="H163" s="59">
        <f>'Stavební rozpočet'!H519</f>
        <v>0</v>
      </c>
      <c r="I163" s="59">
        <f>ROUND(G163*H163,2)</f>
        <v>0</v>
      </c>
      <c r="J163" s="59">
        <f>'Stavební rozpočet'!J519</f>
        <v>0</v>
      </c>
      <c r="K163" s="59">
        <f>'Stavební rozpočet'!K519</f>
        <v>0</v>
      </c>
      <c r="L163" s="59">
        <f>G163*K163</f>
        <v>0</v>
      </c>
      <c r="M163" s="60" t="s">
        <v>115</v>
      </c>
      <c r="Z163" s="59">
        <f>ROUND(IF(AQ163="5",BJ163,0),2)</f>
        <v>0</v>
      </c>
      <c r="AB163" s="59">
        <f>ROUND(IF(AQ163="1",BH163,0),2)</f>
        <v>0</v>
      </c>
      <c r="AC163" s="59">
        <f>ROUND(IF(AQ163="1",BI163,0),2)</f>
        <v>0</v>
      </c>
      <c r="AD163" s="59">
        <f>ROUND(IF(AQ163="7",BH163,0),2)</f>
        <v>0</v>
      </c>
      <c r="AE163" s="59">
        <f>ROUND(IF(AQ163="7",BI163,0),2)</f>
        <v>0</v>
      </c>
      <c r="AF163" s="59">
        <f>ROUND(IF(AQ163="2",BH163,0),2)</f>
        <v>0</v>
      </c>
      <c r="AG163" s="59">
        <f>ROUND(IF(AQ163="2",BI163,0),2)</f>
        <v>0</v>
      </c>
      <c r="AH163" s="59">
        <f>ROUND(IF(AQ163="0",BJ163,0),2)</f>
        <v>0</v>
      </c>
      <c r="AI163" s="46" t="s">
        <v>488</v>
      </c>
      <c r="AJ163" s="59">
        <f>IF(AN163=0,I163,0)</f>
        <v>0</v>
      </c>
      <c r="AK163" s="59">
        <f>IF(AN163=12,I163,0)</f>
        <v>0</v>
      </c>
      <c r="AL163" s="59">
        <f>IF(AN163=21,I163,0)</f>
        <v>0</v>
      </c>
      <c r="AN163" s="59">
        <v>12</v>
      </c>
      <c r="AO163" s="59">
        <f>H163*0</f>
        <v>0</v>
      </c>
      <c r="AP163" s="59">
        <f>H163*(1-0)</f>
        <v>0</v>
      </c>
      <c r="AQ163" s="61" t="s">
        <v>137</v>
      </c>
      <c r="AV163" s="59">
        <f>ROUND(AW163+AX163,2)</f>
        <v>0</v>
      </c>
      <c r="AW163" s="59">
        <f>ROUND(G163*AO163,2)</f>
        <v>0</v>
      </c>
      <c r="AX163" s="59">
        <f>ROUND(G163*AP163,2)</f>
        <v>0</v>
      </c>
      <c r="AY163" s="61" t="s">
        <v>329</v>
      </c>
      <c r="AZ163" s="61" t="s">
        <v>503</v>
      </c>
      <c r="BA163" s="46" t="s">
        <v>491</v>
      </c>
      <c r="BC163" s="59">
        <f>AW163+AX163</f>
        <v>0</v>
      </c>
      <c r="BD163" s="59">
        <f>H163/(100-BE163)*100</f>
        <v>0</v>
      </c>
      <c r="BE163" s="59">
        <v>0</v>
      </c>
      <c r="BF163" s="59">
        <f>L163</f>
        <v>0</v>
      </c>
      <c r="BH163" s="59">
        <f>G163*AO163</f>
        <v>0</v>
      </c>
      <c r="BI163" s="59">
        <f>G163*AP163</f>
        <v>0</v>
      </c>
      <c r="BJ163" s="59">
        <f>G163*H163</f>
        <v>0</v>
      </c>
      <c r="BK163" s="59"/>
      <c r="BL163" s="59"/>
      <c r="BW163" s="59">
        <v>12</v>
      </c>
      <c r="BX163" s="16" t="s">
        <v>483</v>
      </c>
    </row>
    <row r="164" spans="1:76" x14ac:dyDescent="0.25">
      <c r="A164" s="62"/>
      <c r="D164" s="63" t="s">
        <v>508</v>
      </c>
      <c r="E164" s="63"/>
      <c r="G164" s="64">
        <v>28.14</v>
      </c>
      <c r="M164" s="65"/>
    </row>
    <row r="165" spans="1:76" ht="15" customHeight="1" x14ac:dyDescent="0.25">
      <c r="A165" s="58" t="s">
        <v>459</v>
      </c>
      <c r="B165" s="18" t="s">
        <v>488</v>
      </c>
      <c r="C165" s="18" t="s">
        <v>332</v>
      </c>
      <c r="D165" s="8" t="s">
        <v>333</v>
      </c>
      <c r="E165" s="8"/>
      <c r="F165" s="18" t="s">
        <v>224</v>
      </c>
      <c r="G165" s="59">
        <f>'Stavební rozpočet'!G521</f>
        <v>9.3800000000000008</v>
      </c>
      <c r="H165" s="59">
        <f>'Stavební rozpočet'!H521</f>
        <v>0</v>
      </c>
      <c r="I165" s="59">
        <f>ROUND(G165*H165,2)</f>
        <v>0</v>
      </c>
      <c r="J165" s="59">
        <f>'Stavební rozpočet'!J521</f>
        <v>0</v>
      </c>
      <c r="K165" s="59">
        <f>'Stavební rozpočet'!K521</f>
        <v>0</v>
      </c>
      <c r="L165" s="59">
        <f>G165*K165</f>
        <v>0</v>
      </c>
      <c r="M165" s="60" t="s">
        <v>115</v>
      </c>
      <c r="Z165" s="59">
        <f>ROUND(IF(AQ165="5",BJ165,0),2)</f>
        <v>0</v>
      </c>
      <c r="AB165" s="59">
        <f>ROUND(IF(AQ165="1",BH165,0),2)</f>
        <v>0</v>
      </c>
      <c r="AC165" s="59">
        <f>ROUND(IF(AQ165="1",BI165,0),2)</f>
        <v>0</v>
      </c>
      <c r="AD165" s="59">
        <f>ROUND(IF(AQ165="7",BH165,0),2)</f>
        <v>0</v>
      </c>
      <c r="AE165" s="59">
        <f>ROUND(IF(AQ165="7",BI165,0),2)</f>
        <v>0</v>
      </c>
      <c r="AF165" s="59">
        <f>ROUND(IF(AQ165="2",BH165,0),2)</f>
        <v>0</v>
      </c>
      <c r="AG165" s="59">
        <f>ROUND(IF(AQ165="2",BI165,0),2)</f>
        <v>0</v>
      </c>
      <c r="AH165" s="59">
        <f>ROUND(IF(AQ165="0",BJ165,0),2)</f>
        <v>0</v>
      </c>
      <c r="AI165" s="46" t="s">
        <v>488</v>
      </c>
      <c r="AJ165" s="59">
        <f>IF(AN165=0,I165,0)</f>
        <v>0</v>
      </c>
      <c r="AK165" s="59">
        <f>IF(AN165=12,I165,0)</f>
        <v>0</v>
      </c>
      <c r="AL165" s="59">
        <f>IF(AN165=21,I165,0)</f>
        <v>0</v>
      </c>
      <c r="AN165" s="59">
        <v>12</v>
      </c>
      <c r="AO165" s="59">
        <f>H165*0</f>
        <v>0</v>
      </c>
      <c r="AP165" s="59">
        <f>H165*(1-0)</f>
        <v>0</v>
      </c>
      <c r="AQ165" s="61" t="s">
        <v>137</v>
      </c>
      <c r="AV165" s="59">
        <f>ROUND(AW165+AX165,2)</f>
        <v>0</v>
      </c>
      <c r="AW165" s="59">
        <f>ROUND(G165*AO165,2)</f>
        <v>0</v>
      </c>
      <c r="AX165" s="59">
        <f>ROUND(G165*AP165,2)</f>
        <v>0</v>
      </c>
      <c r="AY165" s="61" t="s">
        <v>329</v>
      </c>
      <c r="AZ165" s="61" t="s">
        <v>503</v>
      </c>
      <c r="BA165" s="46" t="s">
        <v>491</v>
      </c>
      <c r="BC165" s="59">
        <f>AW165+AX165</f>
        <v>0</v>
      </c>
      <c r="BD165" s="59">
        <f>H165/(100-BE165)*100</f>
        <v>0</v>
      </c>
      <c r="BE165" s="59">
        <v>0</v>
      </c>
      <c r="BF165" s="59">
        <f>L165</f>
        <v>0</v>
      </c>
      <c r="BH165" s="59">
        <f>G165*AO165</f>
        <v>0</v>
      </c>
      <c r="BI165" s="59">
        <f>G165*AP165</f>
        <v>0</v>
      </c>
      <c r="BJ165" s="59">
        <f>G165*H165</f>
        <v>0</v>
      </c>
      <c r="BK165" s="59"/>
      <c r="BL165" s="59"/>
      <c r="BW165" s="59">
        <v>12</v>
      </c>
      <c r="BX165" s="16" t="s">
        <v>333</v>
      </c>
    </row>
    <row r="166" spans="1:76" x14ac:dyDescent="0.25">
      <c r="A166" s="62"/>
      <c r="D166" s="63" t="s">
        <v>507</v>
      </c>
      <c r="E166" s="63"/>
      <c r="G166" s="64">
        <v>9.3800000000000008</v>
      </c>
      <c r="M166" s="65"/>
    </row>
    <row r="167" spans="1:76" ht="15" customHeight="1" x14ac:dyDescent="0.25">
      <c r="A167" s="58" t="s">
        <v>460</v>
      </c>
      <c r="B167" s="18" t="s">
        <v>488</v>
      </c>
      <c r="C167" s="18" t="s">
        <v>336</v>
      </c>
      <c r="D167" s="8" t="s">
        <v>337</v>
      </c>
      <c r="E167" s="8"/>
      <c r="F167" s="18" t="s">
        <v>224</v>
      </c>
      <c r="G167" s="59">
        <f>'Stavební rozpočet'!G523</f>
        <v>9.3800000000000008</v>
      </c>
      <c r="H167" s="59">
        <f>'Stavební rozpočet'!H523</f>
        <v>0</v>
      </c>
      <c r="I167" s="59">
        <f>ROUND(G167*H167,2)</f>
        <v>0</v>
      </c>
      <c r="J167" s="59">
        <f>'Stavební rozpočet'!J523</f>
        <v>0</v>
      </c>
      <c r="K167" s="59">
        <f>'Stavební rozpočet'!K523</f>
        <v>0</v>
      </c>
      <c r="L167" s="59">
        <f>G167*K167</f>
        <v>0</v>
      </c>
      <c r="M167" s="60" t="s">
        <v>115</v>
      </c>
      <c r="Z167" s="59">
        <f>ROUND(IF(AQ167="5",BJ167,0),2)</f>
        <v>0</v>
      </c>
      <c r="AB167" s="59">
        <f>ROUND(IF(AQ167="1",BH167,0),2)</f>
        <v>0</v>
      </c>
      <c r="AC167" s="59">
        <f>ROUND(IF(AQ167="1",BI167,0),2)</f>
        <v>0</v>
      </c>
      <c r="AD167" s="59">
        <f>ROUND(IF(AQ167="7",BH167,0),2)</f>
        <v>0</v>
      </c>
      <c r="AE167" s="59">
        <f>ROUND(IF(AQ167="7",BI167,0),2)</f>
        <v>0</v>
      </c>
      <c r="AF167" s="59">
        <f>ROUND(IF(AQ167="2",BH167,0),2)</f>
        <v>0</v>
      </c>
      <c r="AG167" s="59">
        <f>ROUND(IF(AQ167="2",BI167,0),2)</f>
        <v>0</v>
      </c>
      <c r="AH167" s="59">
        <f>ROUND(IF(AQ167="0",BJ167,0),2)</f>
        <v>0</v>
      </c>
      <c r="AI167" s="46" t="s">
        <v>488</v>
      </c>
      <c r="AJ167" s="59">
        <f>IF(AN167=0,I167,0)</f>
        <v>0</v>
      </c>
      <c r="AK167" s="59">
        <f>IF(AN167=12,I167,0)</f>
        <v>0</v>
      </c>
      <c r="AL167" s="59">
        <f>IF(AN167=21,I167,0)</f>
        <v>0</v>
      </c>
      <c r="AN167" s="59">
        <v>12</v>
      </c>
      <c r="AO167" s="59">
        <f>H167*0</f>
        <v>0</v>
      </c>
      <c r="AP167" s="59">
        <f>H167*(1-0)</f>
        <v>0</v>
      </c>
      <c r="AQ167" s="61" t="s">
        <v>137</v>
      </c>
      <c r="AV167" s="59">
        <f>ROUND(AW167+AX167,2)</f>
        <v>0</v>
      </c>
      <c r="AW167" s="59">
        <f>ROUND(G167*AO167,2)</f>
        <v>0</v>
      </c>
      <c r="AX167" s="59">
        <f>ROUND(G167*AP167,2)</f>
        <v>0</v>
      </c>
      <c r="AY167" s="61" t="s">
        <v>329</v>
      </c>
      <c r="AZ167" s="61" t="s">
        <v>503</v>
      </c>
      <c r="BA167" s="46" t="s">
        <v>491</v>
      </c>
      <c r="BC167" s="59">
        <f>AW167+AX167</f>
        <v>0</v>
      </c>
      <c r="BD167" s="59">
        <f>H167/(100-BE167)*100</f>
        <v>0</v>
      </c>
      <c r="BE167" s="59">
        <v>0</v>
      </c>
      <c r="BF167" s="59">
        <f>L167</f>
        <v>0</v>
      </c>
      <c r="BH167" s="59">
        <f>G167*AO167</f>
        <v>0</v>
      </c>
      <c r="BI167" s="59">
        <f>G167*AP167</f>
        <v>0</v>
      </c>
      <c r="BJ167" s="59">
        <f>G167*H167</f>
        <v>0</v>
      </c>
      <c r="BK167" s="59"/>
      <c r="BL167" s="59"/>
      <c r="BW167" s="59">
        <v>12</v>
      </c>
      <c r="BX167" s="16" t="s">
        <v>337</v>
      </c>
    </row>
    <row r="168" spans="1:76" x14ac:dyDescent="0.25">
      <c r="A168" s="62"/>
      <c r="D168" s="63" t="s">
        <v>507</v>
      </c>
      <c r="E168" s="63"/>
      <c r="G168" s="64">
        <v>9.3800000000000008</v>
      </c>
      <c r="M168" s="65"/>
    </row>
    <row r="169" spans="1:76" ht="15" customHeight="1" x14ac:dyDescent="0.25">
      <c r="A169" s="58" t="s">
        <v>462</v>
      </c>
      <c r="B169" s="18" t="s">
        <v>488</v>
      </c>
      <c r="C169" s="18" t="s">
        <v>339</v>
      </c>
      <c r="D169" s="8" t="s">
        <v>340</v>
      </c>
      <c r="E169" s="8"/>
      <c r="F169" s="18" t="s">
        <v>224</v>
      </c>
      <c r="G169" s="59">
        <f>'Stavební rozpočet'!G525</f>
        <v>2.2200000000000002</v>
      </c>
      <c r="H169" s="59">
        <f>'Stavební rozpočet'!H525</f>
        <v>0</v>
      </c>
      <c r="I169" s="59">
        <f>ROUND(G169*H169,2)</f>
        <v>0</v>
      </c>
      <c r="J169" s="59">
        <f>'Stavební rozpočet'!J525</f>
        <v>0</v>
      </c>
      <c r="K169" s="59">
        <f>'Stavební rozpočet'!K525</f>
        <v>0</v>
      </c>
      <c r="L169" s="59">
        <f>G169*K169</f>
        <v>0</v>
      </c>
      <c r="M169" s="60" t="s">
        <v>115</v>
      </c>
      <c r="Z169" s="59">
        <f>ROUND(IF(AQ169="5",BJ169,0),2)</f>
        <v>0</v>
      </c>
      <c r="AB169" s="59">
        <f>ROUND(IF(AQ169="1",BH169,0),2)</f>
        <v>0</v>
      </c>
      <c r="AC169" s="59">
        <f>ROUND(IF(AQ169="1",BI169,0),2)</f>
        <v>0</v>
      </c>
      <c r="AD169" s="59">
        <f>ROUND(IF(AQ169="7",BH169,0),2)</f>
        <v>0</v>
      </c>
      <c r="AE169" s="59">
        <f>ROUND(IF(AQ169="7",BI169,0),2)</f>
        <v>0</v>
      </c>
      <c r="AF169" s="59">
        <f>ROUND(IF(AQ169="2",BH169,0),2)</f>
        <v>0</v>
      </c>
      <c r="AG169" s="59">
        <f>ROUND(IF(AQ169="2",BI169,0),2)</f>
        <v>0</v>
      </c>
      <c r="AH169" s="59">
        <f>ROUND(IF(AQ169="0",BJ169,0),2)</f>
        <v>0</v>
      </c>
      <c r="AI169" s="46" t="s">
        <v>488</v>
      </c>
      <c r="AJ169" s="59">
        <f>IF(AN169=0,I169,0)</f>
        <v>0</v>
      </c>
      <c r="AK169" s="59">
        <f>IF(AN169=12,I169,0)</f>
        <v>0</v>
      </c>
      <c r="AL169" s="59">
        <f>IF(AN169=21,I169,0)</f>
        <v>0</v>
      </c>
      <c r="AN169" s="59">
        <v>12</v>
      </c>
      <c r="AO169" s="59">
        <f>H169*0</f>
        <v>0</v>
      </c>
      <c r="AP169" s="59">
        <f>H169*(1-0)</f>
        <v>0</v>
      </c>
      <c r="AQ169" s="61" t="s">
        <v>137</v>
      </c>
      <c r="AV169" s="59">
        <f>ROUND(AW169+AX169,2)</f>
        <v>0</v>
      </c>
      <c r="AW169" s="59">
        <f>ROUND(G169*AO169,2)</f>
        <v>0</v>
      </c>
      <c r="AX169" s="59">
        <f>ROUND(G169*AP169,2)</f>
        <v>0</v>
      </c>
      <c r="AY169" s="61" t="s">
        <v>329</v>
      </c>
      <c r="AZ169" s="61" t="s">
        <v>503</v>
      </c>
      <c r="BA169" s="46" t="s">
        <v>491</v>
      </c>
      <c r="BC169" s="59">
        <f>AW169+AX169</f>
        <v>0</v>
      </c>
      <c r="BD169" s="59">
        <f>H169/(100-BE169)*100</f>
        <v>0</v>
      </c>
      <c r="BE169" s="59">
        <v>0</v>
      </c>
      <c r="BF169" s="59">
        <f>L169</f>
        <v>0</v>
      </c>
      <c r="BH169" s="59">
        <f>G169*AO169</f>
        <v>0</v>
      </c>
      <c r="BI169" s="59">
        <f>G169*AP169</f>
        <v>0</v>
      </c>
      <c r="BJ169" s="59">
        <f>G169*H169</f>
        <v>0</v>
      </c>
      <c r="BK169" s="59"/>
      <c r="BL169" s="59"/>
      <c r="BW169" s="59">
        <v>12</v>
      </c>
      <c r="BX169" s="16" t="s">
        <v>340</v>
      </c>
    </row>
    <row r="170" spans="1:76" x14ac:dyDescent="0.25">
      <c r="A170" s="62"/>
      <c r="D170" s="63" t="s">
        <v>509</v>
      </c>
      <c r="E170" s="63"/>
      <c r="G170" s="64">
        <v>2.2200000000000002</v>
      </c>
      <c r="M170" s="65"/>
    </row>
    <row r="171" spans="1:76" ht="24" customHeight="1" x14ac:dyDescent="0.25">
      <c r="A171" s="58" t="s">
        <v>464</v>
      </c>
      <c r="B171" s="18" t="s">
        <v>488</v>
      </c>
      <c r="C171" s="18" t="s">
        <v>343</v>
      </c>
      <c r="D171" s="8" t="s">
        <v>344</v>
      </c>
      <c r="E171" s="8"/>
      <c r="F171" s="18" t="s">
        <v>224</v>
      </c>
      <c r="G171" s="59">
        <f>'Stavební rozpočet'!G527</f>
        <v>6.82</v>
      </c>
      <c r="H171" s="59">
        <f>'Stavební rozpočet'!H527</f>
        <v>0</v>
      </c>
      <c r="I171" s="59">
        <f>ROUND(G171*H171,2)</f>
        <v>0</v>
      </c>
      <c r="J171" s="59">
        <f>'Stavební rozpočet'!J527</f>
        <v>0</v>
      </c>
      <c r="K171" s="59">
        <f>'Stavební rozpočet'!K527</f>
        <v>0</v>
      </c>
      <c r="L171" s="59">
        <f>G171*K171</f>
        <v>0</v>
      </c>
      <c r="M171" s="60" t="s">
        <v>115</v>
      </c>
      <c r="Z171" s="59">
        <f>ROUND(IF(AQ171="5",BJ171,0),2)</f>
        <v>0</v>
      </c>
      <c r="AB171" s="59">
        <f>ROUND(IF(AQ171="1",BH171,0),2)</f>
        <v>0</v>
      </c>
      <c r="AC171" s="59">
        <f>ROUND(IF(AQ171="1",BI171,0),2)</f>
        <v>0</v>
      </c>
      <c r="AD171" s="59">
        <f>ROUND(IF(AQ171="7",BH171,0),2)</f>
        <v>0</v>
      </c>
      <c r="AE171" s="59">
        <f>ROUND(IF(AQ171="7",BI171,0),2)</f>
        <v>0</v>
      </c>
      <c r="AF171" s="59">
        <f>ROUND(IF(AQ171="2",BH171,0),2)</f>
        <v>0</v>
      </c>
      <c r="AG171" s="59">
        <f>ROUND(IF(AQ171="2",BI171,0),2)</f>
        <v>0</v>
      </c>
      <c r="AH171" s="59">
        <f>ROUND(IF(AQ171="0",BJ171,0),2)</f>
        <v>0</v>
      </c>
      <c r="AI171" s="46" t="s">
        <v>488</v>
      </c>
      <c r="AJ171" s="59">
        <f>IF(AN171=0,I171,0)</f>
        <v>0</v>
      </c>
      <c r="AK171" s="59">
        <f>IF(AN171=12,I171,0)</f>
        <v>0</v>
      </c>
      <c r="AL171" s="59">
        <f>IF(AN171=21,I171,0)</f>
        <v>0</v>
      </c>
      <c r="AN171" s="59">
        <v>12</v>
      </c>
      <c r="AO171" s="59">
        <f>H171*0</f>
        <v>0</v>
      </c>
      <c r="AP171" s="59">
        <f>H171*(1-0)</f>
        <v>0</v>
      </c>
      <c r="AQ171" s="61" t="s">
        <v>137</v>
      </c>
      <c r="AV171" s="59">
        <f>ROUND(AW171+AX171,2)</f>
        <v>0</v>
      </c>
      <c r="AW171" s="59">
        <f>ROUND(G171*AO171,2)</f>
        <v>0</v>
      </c>
      <c r="AX171" s="59">
        <f>ROUND(G171*AP171,2)</f>
        <v>0</v>
      </c>
      <c r="AY171" s="61" t="s">
        <v>329</v>
      </c>
      <c r="AZ171" s="61" t="s">
        <v>503</v>
      </c>
      <c r="BA171" s="46" t="s">
        <v>491</v>
      </c>
      <c r="BC171" s="59">
        <f>AW171+AX171</f>
        <v>0</v>
      </c>
      <c r="BD171" s="59">
        <f>H171/(100-BE171)*100</f>
        <v>0</v>
      </c>
      <c r="BE171" s="59">
        <v>0</v>
      </c>
      <c r="BF171" s="59">
        <f>L171</f>
        <v>0</v>
      </c>
      <c r="BH171" s="59">
        <f>G171*AO171</f>
        <v>0</v>
      </c>
      <c r="BI171" s="59">
        <f>G171*AP171</f>
        <v>0</v>
      </c>
      <c r="BJ171" s="59">
        <f>G171*H171</f>
        <v>0</v>
      </c>
      <c r="BK171" s="59"/>
      <c r="BL171" s="59"/>
      <c r="BW171" s="59">
        <v>12</v>
      </c>
      <c r="BX171" s="16" t="s">
        <v>344</v>
      </c>
    </row>
    <row r="172" spans="1:76" x14ac:dyDescent="0.25">
      <c r="A172" s="62"/>
      <c r="D172" s="63" t="s">
        <v>510</v>
      </c>
      <c r="E172" s="63"/>
      <c r="G172" s="64">
        <v>6.82</v>
      </c>
      <c r="M172" s="65"/>
    </row>
    <row r="173" spans="1:76" ht="15" customHeight="1" x14ac:dyDescent="0.25">
      <c r="A173" s="58" t="s">
        <v>484</v>
      </c>
      <c r="B173" s="18" t="s">
        <v>488</v>
      </c>
      <c r="C173" s="18" t="s">
        <v>465</v>
      </c>
      <c r="D173" s="8" t="s">
        <v>466</v>
      </c>
      <c r="E173" s="8"/>
      <c r="F173" s="18" t="s">
        <v>224</v>
      </c>
      <c r="G173" s="59">
        <f>'Stavební rozpočet'!G529</f>
        <v>0.22</v>
      </c>
      <c r="H173" s="59">
        <f>'Stavební rozpočet'!H529</f>
        <v>0</v>
      </c>
      <c r="I173" s="59">
        <f>ROUND(G173*H173,2)</f>
        <v>0</v>
      </c>
      <c r="J173" s="59">
        <f>'Stavební rozpočet'!J529</f>
        <v>0</v>
      </c>
      <c r="K173" s="59">
        <f>'Stavební rozpočet'!K529</f>
        <v>0</v>
      </c>
      <c r="L173" s="59">
        <f>G173*K173</f>
        <v>0</v>
      </c>
      <c r="M173" s="60" t="s">
        <v>115</v>
      </c>
      <c r="Z173" s="59">
        <f>ROUND(IF(AQ173="5",BJ173,0),2)</f>
        <v>0</v>
      </c>
      <c r="AB173" s="59">
        <f>ROUND(IF(AQ173="1",BH173,0),2)</f>
        <v>0</v>
      </c>
      <c r="AC173" s="59">
        <f>ROUND(IF(AQ173="1",BI173,0),2)</f>
        <v>0</v>
      </c>
      <c r="AD173" s="59">
        <f>ROUND(IF(AQ173="7",BH173,0),2)</f>
        <v>0</v>
      </c>
      <c r="AE173" s="59">
        <f>ROUND(IF(AQ173="7",BI173,0),2)</f>
        <v>0</v>
      </c>
      <c r="AF173" s="59">
        <f>ROUND(IF(AQ173="2",BH173,0),2)</f>
        <v>0</v>
      </c>
      <c r="AG173" s="59">
        <f>ROUND(IF(AQ173="2",BI173,0),2)</f>
        <v>0</v>
      </c>
      <c r="AH173" s="59">
        <f>ROUND(IF(AQ173="0",BJ173,0),2)</f>
        <v>0</v>
      </c>
      <c r="AI173" s="46" t="s">
        <v>488</v>
      </c>
      <c r="AJ173" s="59">
        <f>IF(AN173=0,I173,0)</f>
        <v>0</v>
      </c>
      <c r="AK173" s="59">
        <f>IF(AN173=12,I173,0)</f>
        <v>0</v>
      </c>
      <c r="AL173" s="59">
        <f>IF(AN173=21,I173,0)</f>
        <v>0</v>
      </c>
      <c r="AN173" s="59">
        <v>12</v>
      </c>
      <c r="AO173" s="59">
        <f>H173*0</f>
        <v>0</v>
      </c>
      <c r="AP173" s="59">
        <f>H173*(1-0)</f>
        <v>0</v>
      </c>
      <c r="AQ173" s="61" t="s">
        <v>137</v>
      </c>
      <c r="AV173" s="59">
        <f>ROUND(AW173+AX173,2)</f>
        <v>0</v>
      </c>
      <c r="AW173" s="59">
        <f>ROUND(G173*AO173,2)</f>
        <v>0</v>
      </c>
      <c r="AX173" s="59">
        <f>ROUND(G173*AP173,2)</f>
        <v>0</v>
      </c>
      <c r="AY173" s="61" t="s">
        <v>329</v>
      </c>
      <c r="AZ173" s="61" t="s">
        <v>503</v>
      </c>
      <c r="BA173" s="46" t="s">
        <v>491</v>
      </c>
      <c r="BC173" s="59">
        <f>AW173+AX173</f>
        <v>0</v>
      </c>
      <c r="BD173" s="59">
        <f>H173/(100-BE173)*100</f>
        <v>0</v>
      </c>
      <c r="BE173" s="59">
        <v>0</v>
      </c>
      <c r="BF173" s="59">
        <f>L173</f>
        <v>0</v>
      </c>
      <c r="BH173" s="59">
        <f>G173*AO173</f>
        <v>0</v>
      </c>
      <c r="BI173" s="59">
        <f>G173*AP173</f>
        <v>0</v>
      </c>
      <c r="BJ173" s="59">
        <f>G173*H173</f>
        <v>0</v>
      </c>
      <c r="BK173" s="59"/>
      <c r="BL173" s="59"/>
      <c r="BW173" s="59">
        <v>12</v>
      </c>
      <c r="BX173" s="16" t="s">
        <v>466</v>
      </c>
    </row>
    <row r="174" spans="1:76" x14ac:dyDescent="0.25">
      <c r="A174" s="66"/>
      <c r="B174" s="67"/>
      <c r="C174" s="67"/>
      <c r="D174" s="68" t="s">
        <v>467</v>
      </c>
      <c r="E174" s="68"/>
      <c r="F174" s="67"/>
      <c r="G174" s="69">
        <v>0.22</v>
      </c>
      <c r="H174" s="67"/>
      <c r="I174" s="67"/>
      <c r="J174" s="67"/>
      <c r="K174" s="67"/>
      <c r="L174" s="67"/>
      <c r="M174" s="70"/>
    </row>
    <row r="175" spans="1:76" x14ac:dyDescent="0.25">
      <c r="I175" s="71">
        <f>ROUND(I13+I19+I28+I36+I45+I49+I56+I67+I85+I88+I104+I114+I118+I128+I133+I137+I153+I156+I158,0)</f>
        <v>0</v>
      </c>
    </row>
    <row r="176" spans="1:76" x14ac:dyDescent="0.25">
      <c r="A176" s="31" t="s">
        <v>52</v>
      </c>
    </row>
    <row r="177" spans="1:13" ht="12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</sheetData>
  <mergeCells count="131">
    <mergeCell ref="D163:E163"/>
    <mergeCell ref="D165:E165"/>
    <mergeCell ref="D167:E167"/>
    <mergeCell ref="D169:E169"/>
    <mergeCell ref="D171:E171"/>
    <mergeCell ref="D173:E173"/>
    <mergeCell ref="A177:M177"/>
    <mergeCell ref="D148:E148"/>
    <mergeCell ref="D150:E150"/>
    <mergeCell ref="D153:E153"/>
    <mergeCell ref="D154:E154"/>
    <mergeCell ref="D156:E156"/>
    <mergeCell ref="D157:E157"/>
    <mergeCell ref="D158:E158"/>
    <mergeCell ref="D159:E159"/>
    <mergeCell ref="D161:E161"/>
    <mergeCell ref="D133:E133"/>
    <mergeCell ref="D134:E134"/>
    <mergeCell ref="D135:M135"/>
    <mergeCell ref="D137:E137"/>
    <mergeCell ref="D138:E138"/>
    <mergeCell ref="D140:E140"/>
    <mergeCell ref="D142:E142"/>
    <mergeCell ref="D144:E144"/>
    <mergeCell ref="D146:E146"/>
    <mergeCell ref="D119:E119"/>
    <mergeCell ref="D120:M120"/>
    <mergeCell ref="D122:E122"/>
    <mergeCell ref="D123:M123"/>
    <mergeCell ref="D125:E125"/>
    <mergeCell ref="D126:M126"/>
    <mergeCell ref="D128:E128"/>
    <mergeCell ref="D129:E129"/>
    <mergeCell ref="D131:E131"/>
    <mergeCell ref="D106:M106"/>
    <mergeCell ref="D108:E108"/>
    <mergeCell ref="D109:M109"/>
    <mergeCell ref="D111:E111"/>
    <mergeCell ref="D112:M112"/>
    <mergeCell ref="D114:E114"/>
    <mergeCell ref="D115:E115"/>
    <mergeCell ref="D116:M116"/>
    <mergeCell ref="D118:E118"/>
    <mergeCell ref="D93:M93"/>
    <mergeCell ref="D95:E95"/>
    <mergeCell ref="D96:M96"/>
    <mergeCell ref="D98:E98"/>
    <mergeCell ref="D99:M99"/>
    <mergeCell ref="D101:E101"/>
    <mergeCell ref="D102:M102"/>
    <mergeCell ref="D104:E104"/>
    <mergeCell ref="D105:E105"/>
    <mergeCell ref="D81:E81"/>
    <mergeCell ref="D82:M82"/>
    <mergeCell ref="D84:E84"/>
    <mergeCell ref="D85:E85"/>
    <mergeCell ref="D86:E86"/>
    <mergeCell ref="D88:E88"/>
    <mergeCell ref="D89:E89"/>
    <mergeCell ref="D90:M90"/>
    <mergeCell ref="D92:E92"/>
    <mergeCell ref="D63:M63"/>
    <mergeCell ref="D65:E65"/>
    <mergeCell ref="D67:E67"/>
    <mergeCell ref="D68:E68"/>
    <mergeCell ref="D69:M69"/>
    <mergeCell ref="D75:E75"/>
    <mergeCell ref="D76:M76"/>
    <mergeCell ref="D78:E78"/>
    <mergeCell ref="D79:M79"/>
    <mergeCell ref="D49:E49"/>
    <mergeCell ref="D50:E50"/>
    <mergeCell ref="D52:E52"/>
    <mergeCell ref="D54:E54"/>
    <mergeCell ref="D56:E56"/>
    <mergeCell ref="D57:E57"/>
    <mergeCell ref="D59:E59"/>
    <mergeCell ref="D60:M60"/>
    <mergeCell ref="D62:E62"/>
    <mergeCell ref="D34:E34"/>
    <mergeCell ref="D36:E36"/>
    <mergeCell ref="D37:E37"/>
    <mergeCell ref="D39:E39"/>
    <mergeCell ref="D41:E41"/>
    <mergeCell ref="D43:E43"/>
    <mergeCell ref="D45:E45"/>
    <mergeCell ref="D46:E46"/>
    <mergeCell ref="D47:M47"/>
    <mergeCell ref="D20:E20"/>
    <mergeCell ref="D21:M21"/>
    <mergeCell ref="D23:E23"/>
    <mergeCell ref="D25:E25"/>
    <mergeCell ref="D26:M26"/>
    <mergeCell ref="D28:E28"/>
    <mergeCell ref="D29:E29"/>
    <mergeCell ref="D31:E31"/>
    <mergeCell ref="D32:M32"/>
    <mergeCell ref="D10:E10"/>
    <mergeCell ref="J10:L10"/>
    <mergeCell ref="D11:E11"/>
    <mergeCell ref="D12:E12"/>
    <mergeCell ref="D13:E13"/>
    <mergeCell ref="D14:E14"/>
    <mergeCell ref="D15:M15"/>
    <mergeCell ref="D17:E17"/>
    <mergeCell ref="D19:E19"/>
    <mergeCell ref="A6:C7"/>
    <mergeCell ref="D6:E7"/>
    <mergeCell ref="F6:G7"/>
    <mergeCell ref="H6:H7"/>
    <mergeCell ref="I6:J7"/>
    <mergeCell ref="K6:M7"/>
    <mergeCell ref="A8:C9"/>
    <mergeCell ref="D8:E9"/>
    <mergeCell ref="F8:G9"/>
    <mergeCell ref="H8:H9"/>
    <mergeCell ref="I8:J9"/>
    <mergeCell ref="K8:M9"/>
    <mergeCell ref="A1:M1"/>
    <mergeCell ref="A2:C3"/>
    <mergeCell ref="D2:E3"/>
    <mergeCell ref="F2:G3"/>
    <mergeCell ref="H2:H3"/>
    <mergeCell ref="I2:J3"/>
    <mergeCell ref="K2:M3"/>
    <mergeCell ref="A4:C5"/>
    <mergeCell ref="D4:E5"/>
    <mergeCell ref="F4:G5"/>
    <mergeCell ref="H4:H5"/>
    <mergeCell ref="I4:J5"/>
    <mergeCell ref="K4:M5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"/>
  <sheetViews>
    <sheetView zoomScaleNormal="100" workbookViewId="0">
      <selection activeCell="C8" sqref="C8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7.140625" style="15" customWidth="1"/>
    <col min="4" max="4" width="10" style="15" customWidth="1"/>
    <col min="5" max="5" width="14" style="15" customWidth="1"/>
    <col min="6" max="6" width="27.140625" style="15" customWidth="1"/>
    <col min="7" max="7" width="9.140625" style="15" customWidth="1"/>
    <col min="8" max="8" width="12.85546875" style="15" customWidth="1"/>
    <col min="9" max="9" width="27.140625" style="15" customWidth="1"/>
  </cols>
  <sheetData>
    <row r="1" spans="1:9" ht="54.75" customHeight="1" x14ac:dyDescent="0.2">
      <c r="A1" s="14" t="s">
        <v>511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/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58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2" spans="1:9" ht="23.25" x14ac:dyDescent="0.2">
      <c r="A12" s="72" t="s">
        <v>14</v>
      </c>
      <c r="B12" s="72"/>
      <c r="C12" s="72"/>
      <c r="D12" s="72"/>
      <c r="E12" s="72"/>
      <c r="F12" s="72"/>
      <c r="G12" s="72"/>
      <c r="H12" s="72"/>
      <c r="I12" s="72"/>
    </row>
    <row r="13" spans="1:9" ht="26.25" customHeight="1" x14ac:dyDescent="0.2">
      <c r="A13" s="19" t="s">
        <v>15</v>
      </c>
      <c r="B13" s="73" t="s">
        <v>16</v>
      </c>
      <c r="C13" s="73"/>
      <c r="D13" s="20" t="s">
        <v>17</v>
      </c>
      <c r="E13" s="73" t="s">
        <v>18</v>
      </c>
      <c r="F13" s="73"/>
      <c r="G13" s="20" t="s">
        <v>19</v>
      </c>
      <c r="H13" s="73" t="s">
        <v>20</v>
      </c>
      <c r="I13" s="73"/>
    </row>
    <row r="14" spans="1:9" ht="15.75" x14ac:dyDescent="0.2">
      <c r="A14" s="21" t="s">
        <v>21</v>
      </c>
      <c r="B14" s="22" t="s">
        <v>22</v>
      </c>
      <c r="C14" s="23">
        <f>SUM('Stavební rozpočet (01E)'!AB12:AB669)</f>
        <v>0</v>
      </c>
      <c r="D14" s="74" t="s">
        <v>23</v>
      </c>
      <c r="E14" s="74"/>
      <c r="F14" s="23">
        <f>'VORN objektu (01E)'!I15</f>
        <v>0</v>
      </c>
      <c r="G14" s="74" t="s">
        <v>24</v>
      </c>
      <c r="H14" s="74"/>
      <c r="I14" s="23">
        <f>'VORN objektu (01E)'!I21</f>
        <v>0</v>
      </c>
    </row>
    <row r="15" spans="1:9" ht="15.75" x14ac:dyDescent="0.2">
      <c r="A15" s="24"/>
      <c r="B15" s="22" t="s">
        <v>25</v>
      </c>
      <c r="C15" s="23">
        <f>SUM('Stavební rozpočet (01E)'!AC12:AC669)</f>
        <v>0</v>
      </c>
      <c r="D15" s="74" t="s">
        <v>26</v>
      </c>
      <c r="E15" s="74"/>
      <c r="F15" s="23">
        <f>'VORN objektu (01E)'!I16</f>
        <v>0</v>
      </c>
      <c r="G15" s="74" t="s">
        <v>27</v>
      </c>
      <c r="H15" s="74"/>
      <c r="I15" s="23">
        <f>'VORN objektu (01E)'!I22</f>
        <v>0</v>
      </c>
    </row>
    <row r="16" spans="1:9" ht="15.75" x14ac:dyDescent="0.2">
      <c r="A16" s="21" t="s">
        <v>28</v>
      </c>
      <c r="B16" s="22" t="s">
        <v>22</v>
      </c>
      <c r="C16" s="23">
        <f>SUM('Stavební rozpočet (01E)'!AD12:AD669)</f>
        <v>0</v>
      </c>
      <c r="D16" s="74" t="s">
        <v>29</v>
      </c>
      <c r="E16" s="74"/>
      <c r="F16" s="23">
        <f>'VORN objektu (01E)'!I17</f>
        <v>0</v>
      </c>
      <c r="G16" s="74" t="s">
        <v>30</v>
      </c>
      <c r="H16" s="74"/>
      <c r="I16" s="23">
        <f>'VORN objektu (01E)'!I23</f>
        <v>0</v>
      </c>
    </row>
    <row r="17" spans="1:9" ht="15.75" x14ac:dyDescent="0.2">
      <c r="A17" s="24"/>
      <c r="B17" s="22" t="s">
        <v>25</v>
      </c>
      <c r="C17" s="23">
        <f>SUM('Stavební rozpočet (01E)'!AE12:AE669)</f>
        <v>0</v>
      </c>
      <c r="D17" s="74"/>
      <c r="E17" s="74"/>
      <c r="F17" s="25"/>
      <c r="G17" s="74" t="s">
        <v>31</v>
      </c>
      <c r="H17" s="74"/>
      <c r="I17" s="23">
        <f>'VORN objektu (01E)'!I24</f>
        <v>0</v>
      </c>
    </row>
    <row r="18" spans="1:9" ht="15.75" x14ac:dyDescent="0.2">
      <c r="A18" s="21" t="s">
        <v>32</v>
      </c>
      <c r="B18" s="22" t="s">
        <v>22</v>
      </c>
      <c r="C18" s="23">
        <f>SUM('Stavební rozpočet (01E)'!AF12:AF669)</f>
        <v>0</v>
      </c>
      <c r="D18" s="74"/>
      <c r="E18" s="74"/>
      <c r="F18" s="25"/>
      <c r="G18" s="74" t="s">
        <v>33</v>
      </c>
      <c r="H18" s="74"/>
      <c r="I18" s="23">
        <f>'VORN objektu (01E)'!I25</f>
        <v>0</v>
      </c>
    </row>
    <row r="19" spans="1:9" ht="15.75" x14ac:dyDescent="0.2">
      <c r="A19" s="24"/>
      <c r="B19" s="22" t="s">
        <v>25</v>
      </c>
      <c r="C19" s="23">
        <f>SUM('Stavební rozpočet (01E)'!AG12:AG669)</f>
        <v>0</v>
      </c>
      <c r="D19" s="74"/>
      <c r="E19" s="74"/>
      <c r="F19" s="25"/>
      <c r="G19" s="74" t="s">
        <v>34</v>
      </c>
      <c r="H19" s="74"/>
      <c r="I19" s="23">
        <f>'VORN objektu (01E)'!I26</f>
        <v>0</v>
      </c>
    </row>
    <row r="20" spans="1:9" ht="15.75" x14ac:dyDescent="0.2">
      <c r="A20" s="75" t="s">
        <v>35</v>
      </c>
      <c r="B20" s="75"/>
      <c r="C20" s="23">
        <f>SUM('Stavební rozpočet (01E)'!AH12:AH669)</f>
        <v>0</v>
      </c>
      <c r="D20" s="74"/>
      <c r="E20" s="74"/>
      <c r="F20" s="25"/>
      <c r="G20" s="74"/>
      <c r="H20" s="74"/>
      <c r="I20" s="25"/>
    </row>
    <row r="21" spans="1:9" ht="15.75" x14ac:dyDescent="0.2">
      <c r="A21" s="76" t="s">
        <v>36</v>
      </c>
      <c r="B21" s="76"/>
      <c r="C21" s="26">
        <f>SUM('Stavební rozpočet (01E)'!Z12:Z669)</f>
        <v>0</v>
      </c>
      <c r="D21" s="77"/>
      <c r="E21" s="77"/>
      <c r="F21" s="27"/>
      <c r="G21" s="77"/>
      <c r="H21" s="77"/>
      <c r="I21" s="27"/>
    </row>
    <row r="22" spans="1:9" ht="16.5" customHeight="1" x14ac:dyDescent="0.2">
      <c r="A22" s="78" t="s">
        <v>37</v>
      </c>
      <c r="B22" s="78"/>
      <c r="C22" s="28">
        <f>ROUND(SUM(C14:C21),0)</f>
        <v>0</v>
      </c>
      <c r="D22" s="79" t="s">
        <v>38</v>
      </c>
      <c r="E22" s="79"/>
      <c r="F22" s="28">
        <f>SUM(F14:F21)</f>
        <v>0</v>
      </c>
      <c r="G22" s="79" t="s">
        <v>39</v>
      </c>
      <c r="H22" s="79"/>
      <c r="I22" s="28">
        <f>SUM(I14:I21)</f>
        <v>0</v>
      </c>
    </row>
    <row r="23" spans="1:9" ht="15.75" x14ac:dyDescent="0.25">
      <c r="G23" s="75" t="s">
        <v>40</v>
      </c>
      <c r="H23" s="75"/>
      <c r="I23" s="23">
        <f>'VORN objektu (01E)'!I45</f>
        <v>0</v>
      </c>
    </row>
    <row r="25" spans="1:9" ht="15.75" x14ac:dyDescent="0.25">
      <c r="A25" s="80" t="s">
        <v>41</v>
      </c>
      <c r="B25" s="80"/>
      <c r="C25" s="29">
        <f>ROUND(SUM('Stavební rozpočet (01E)'!AJ12:AJ669),0)</f>
        <v>0</v>
      </c>
    </row>
    <row r="26" spans="1:9" ht="15.75" x14ac:dyDescent="0.2">
      <c r="A26" s="81" t="s">
        <v>42</v>
      </c>
      <c r="B26" s="81"/>
      <c r="C26" s="30">
        <f>ROUND(SUM('Stavební rozpočet (01E)'!AK12:AK669),0)</f>
        <v>0</v>
      </c>
      <c r="D26" s="82" t="s">
        <v>43</v>
      </c>
      <c r="E26" s="82"/>
      <c r="F26" s="29">
        <f>ROUND(C26*(12/100),2)</f>
        <v>0</v>
      </c>
      <c r="G26" s="82" t="s">
        <v>44</v>
      </c>
      <c r="H26" s="82"/>
      <c r="I26" s="29">
        <f>ROUND(SUM(C25:C27),0)</f>
        <v>0</v>
      </c>
    </row>
    <row r="27" spans="1:9" ht="15.75" x14ac:dyDescent="0.2">
      <c r="A27" s="81" t="s">
        <v>45</v>
      </c>
      <c r="B27" s="81"/>
      <c r="C27" s="30">
        <f>ROUND(SUM('Stavební rozpočet (01E)'!AL12:AL669),0)</f>
        <v>0</v>
      </c>
      <c r="D27" s="83" t="s">
        <v>46</v>
      </c>
      <c r="E27" s="83"/>
      <c r="F27" s="30">
        <f>ROUND(C27*(21/100),2)</f>
        <v>0</v>
      </c>
      <c r="G27" s="83" t="s">
        <v>47</v>
      </c>
      <c r="H27" s="83"/>
      <c r="I27" s="30">
        <f>ROUND(SUM(F26:F27)+I26,0)</f>
        <v>0</v>
      </c>
    </row>
    <row r="29" spans="1:9" x14ac:dyDescent="0.2">
      <c r="A29" s="84" t="s">
        <v>48</v>
      </c>
      <c r="B29" s="84"/>
      <c r="C29" s="84"/>
      <c r="D29" s="85" t="s">
        <v>49</v>
      </c>
      <c r="E29" s="85"/>
      <c r="F29" s="85"/>
      <c r="G29" s="85" t="s">
        <v>50</v>
      </c>
      <c r="H29" s="85"/>
      <c r="I29" s="85"/>
    </row>
    <row r="30" spans="1:9" x14ac:dyDescent="0.2">
      <c r="A30" s="86"/>
      <c r="B30" s="86"/>
      <c r="C30" s="86"/>
      <c r="D30" s="87"/>
      <c r="E30" s="87"/>
      <c r="F30" s="87"/>
      <c r="G30" s="87"/>
      <c r="H30" s="87"/>
      <c r="I30" s="87"/>
    </row>
    <row r="31" spans="1:9" x14ac:dyDescent="0.2">
      <c r="A31" s="86"/>
      <c r="B31" s="86"/>
      <c r="C31" s="86"/>
      <c r="D31" s="87"/>
      <c r="E31" s="87"/>
      <c r="F31" s="87"/>
      <c r="G31" s="87"/>
      <c r="H31" s="87"/>
      <c r="I31" s="87"/>
    </row>
    <row r="32" spans="1:9" x14ac:dyDescent="0.2">
      <c r="A32" s="86"/>
      <c r="B32" s="86"/>
      <c r="C32" s="86"/>
      <c r="D32" s="87"/>
      <c r="E32" s="87"/>
      <c r="F32" s="87"/>
      <c r="G32" s="87"/>
      <c r="H32" s="87"/>
      <c r="I32" s="87"/>
    </row>
    <row r="33" spans="1:9" x14ac:dyDescent="0.2">
      <c r="A33" s="88" t="s">
        <v>51</v>
      </c>
      <c r="B33" s="88"/>
      <c r="C33" s="88"/>
      <c r="D33" s="89" t="s">
        <v>51</v>
      </c>
      <c r="E33" s="89"/>
      <c r="F33" s="89"/>
      <c r="G33" s="89" t="s">
        <v>51</v>
      </c>
      <c r="H33" s="89"/>
      <c r="I33" s="89"/>
    </row>
    <row r="34" spans="1:9" x14ac:dyDescent="0.25">
      <c r="A34" s="31" t="s">
        <v>52</v>
      </c>
    </row>
    <row r="35" spans="1:9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</row>
  </sheetData>
  <mergeCells count="80">
    <mergeCell ref="A35:I35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D31:F31"/>
    <mergeCell ref="G31:I31"/>
    <mergeCell ref="A27:B27"/>
    <mergeCell ref="D27:E27"/>
    <mergeCell ref="G27:H27"/>
    <mergeCell ref="A29:C29"/>
    <mergeCell ref="D29:F29"/>
    <mergeCell ref="G29:I29"/>
    <mergeCell ref="G23:H23"/>
    <mergeCell ref="A25:B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45"/>
  <sheetViews>
    <sheetView zoomScaleNormal="100" workbookViewId="0">
      <selection activeCell="A45" sqref="A45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2.85546875" style="15" customWidth="1"/>
    <col min="4" max="4" width="10" style="15" customWidth="1"/>
    <col min="5" max="5" width="14" style="15" customWidth="1"/>
    <col min="6" max="6" width="22.85546875" style="15" customWidth="1"/>
    <col min="7" max="7" width="9.140625" style="15" customWidth="1"/>
    <col min="8" max="8" width="17.140625" style="15" customWidth="1"/>
    <col min="9" max="9" width="22.85546875" style="15" customWidth="1"/>
  </cols>
  <sheetData>
    <row r="1" spans="1:9" ht="54.75" customHeight="1" x14ac:dyDescent="0.2">
      <c r="A1" s="14" t="s">
        <v>512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 t="str">
        <f>'Stavební rozpočet'!H4</f>
        <v>25.01.2025</v>
      </c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58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3" spans="1:9" ht="15.75" x14ac:dyDescent="0.25">
      <c r="A13" s="90" t="s">
        <v>54</v>
      </c>
      <c r="B13" s="90"/>
      <c r="C13" s="90"/>
      <c r="D13" s="90"/>
      <c r="E13" s="90"/>
    </row>
    <row r="14" spans="1:9" ht="12.75" x14ac:dyDescent="0.2">
      <c r="A14" s="91" t="s">
        <v>55</v>
      </c>
      <c r="B14" s="91"/>
      <c r="C14" s="91"/>
      <c r="D14" s="91"/>
      <c r="E14" s="91"/>
      <c r="F14" s="32" t="s">
        <v>56</v>
      </c>
      <c r="G14" s="32" t="s">
        <v>57</v>
      </c>
      <c r="H14" s="32" t="s">
        <v>58</v>
      </c>
      <c r="I14" s="32" t="s">
        <v>56</v>
      </c>
    </row>
    <row r="15" spans="1:9" ht="12.75" x14ac:dyDescent="0.2">
      <c r="A15" s="92" t="s">
        <v>23</v>
      </c>
      <c r="B15" s="92"/>
      <c r="C15" s="92"/>
      <c r="D15" s="92"/>
      <c r="E15" s="92"/>
      <c r="F15" s="33">
        <v>0</v>
      </c>
      <c r="G15" s="34"/>
      <c r="H15" s="34"/>
      <c r="I15" s="33">
        <f>F15</f>
        <v>0</v>
      </c>
    </row>
    <row r="16" spans="1:9" ht="12.75" x14ac:dyDescent="0.2">
      <c r="A16" s="92" t="s">
        <v>26</v>
      </c>
      <c r="B16" s="92"/>
      <c r="C16" s="92"/>
      <c r="D16" s="92"/>
      <c r="E16" s="92"/>
      <c r="F16" s="33">
        <v>0</v>
      </c>
      <c r="G16" s="34"/>
      <c r="H16" s="34"/>
      <c r="I16" s="33">
        <f>F16</f>
        <v>0</v>
      </c>
    </row>
    <row r="17" spans="1:9" ht="12.75" x14ac:dyDescent="0.2">
      <c r="A17" s="93" t="s">
        <v>29</v>
      </c>
      <c r="B17" s="93"/>
      <c r="C17" s="93"/>
      <c r="D17" s="93"/>
      <c r="E17" s="93"/>
      <c r="F17" s="35">
        <v>0</v>
      </c>
      <c r="G17" s="17"/>
      <c r="H17" s="17"/>
      <c r="I17" s="35">
        <f>F17</f>
        <v>0</v>
      </c>
    </row>
    <row r="18" spans="1:9" ht="12.75" x14ac:dyDescent="0.2">
      <c r="A18" s="94" t="s">
        <v>59</v>
      </c>
      <c r="B18" s="94"/>
      <c r="C18" s="94"/>
      <c r="D18" s="94"/>
      <c r="E18" s="94"/>
      <c r="F18" s="36"/>
      <c r="G18" s="37"/>
      <c r="H18" s="37"/>
      <c r="I18" s="38">
        <f>SUM(I15:I17)</f>
        <v>0</v>
      </c>
    </row>
    <row r="20" spans="1:9" ht="12.75" x14ac:dyDescent="0.2">
      <c r="A20" s="91" t="s">
        <v>20</v>
      </c>
      <c r="B20" s="91"/>
      <c r="C20" s="91"/>
      <c r="D20" s="91"/>
      <c r="E20" s="91"/>
      <c r="F20" s="32" t="s">
        <v>56</v>
      </c>
      <c r="G20" s="32" t="s">
        <v>57</v>
      </c>
      <c r="H20" s="32" t="s">
        <v>58</v>
      </c>
      <c r="I20" s="32" t="s">
        <v>56</v>
      </c>
    </row>
    <row r="21" spans="1:9" ht="12.75" x14ac:dyDescent="0.2">
      <c r="A21" s="92" t="s">
        <v>24</v>
      </c>
      <c r="B21" s="92"/>
      <c r="C21" s="92"/>
      <c r="D21" s="92"/>
      <c r="E21" s="92"/>
      <c r="F21" s="33">
        <v>0</v>
      </c>
      <c r="G21" s="34"/>
      <c r="H21" s="34"/>
      <c r="I21" s="33">
        <f t="shared" ref="I21:I26" si="0">F21</f>
        <v>0</v>
      </c>
    </row>
    <row r="22" spans="1:9" ht="12.75" x14ac:dyDescent="0.2">
      <c r="A22" s="92" t="s">
        <v>27</v>
      </c>
      <c r="B22" s="92"/>
      <c r="C22" s="92"/>
      <c r="D22" s="92"/>
      <c r="E22" s="92"/>
      <c r="F22" s="33">
        <v>0</v>
      </c>
      <c r="G22" s="34"/>
      <c r="H22" s="34"/>
      <c r="I22" s="33">
        <f t="shared" si="0"/>
        <v>0</v>
      </c>
    </row>
    <row r="23" spans="1:9" ht="12.75" x14ac:dyDescent="0.2">
      <c r="A23" s="92" t="s">
        <v>30</v>
      </c>
      <c r="B23" s="92"/>
      <c r="C23" s="92"/>
      <c r="D23" s="92"/>
      <c r="E23" s="92"/>
      <c r="F23" s="33">
        <v>0</v>
      </c>
      <c r="G23" s="34"/>
      <c r="H23" s="34"/>
      <c r="I23" s="33">
        <f t="shared" si="0"/>
        <v>0</v>
      </c>
    </row>
    <row r="24" spans="1:9" ht="12.75" x14ac:dyDescent="0.2">
      <c r="A24" s="92" t="s">
        <v>31</v>
      </c>
      <c r="B24" s="92"/>
      <c r="C24" s="92"/>
      <c r="D24" s="92"/>
      <c r="E24" s="92"/>
      <c r="F24" s="33">
        <v>0</v>
      </c>
      <c r="G24" s="34"/>
      <c r="H24" s="34"/>
      <c r="I24" s="33">
        <f t="shared" si="0"/>
        <v>0</v>
      </c>
    </row>
    <row r="25" spans="1:9" ht="12.75" x14ac:dyDescent="0.2">
      <c r="A25" s="92" t="s">
        <v>33</v>
      </c>
      <c r="B25" s="92"/>
      <c r="C25" s="92"/>
      <c r="D25" s="92"/>
      <c r="E25" s="92"/>
      <c r="F25" s="33">
        <v>0</v>
      </c>
      <c r="G25" s="34"/>
      <c r="H25" s="34"/>
      <c r="I25" s="33">
        <f t="shared" si="0"/>
        <v>0</v>
      </c>
    </row>
    <row r="26" spans="1:9" ht="12.75" x14ac:dyDescent="0.2">
      <c r="A26" s="93" t="s">
        <v>34</v>
      </c>
      <c r="B26" s="93"/>
      <c r="C26" s="93"/>
      <c r="D26" s="93"/>
      <c r="E26" s="93"/>
      <c r="F26" s="35">
        <v>0</v>
      </c>
      <c r="G26" s="17"/>
      <c r="H26" s="17"/>
      <c r="I26" s="35">
        <f t="shared" si="0"/>
        <v>0</v>
      </c>
    </row>
    <row r="27" spans="1:9" ht="12.75" x14ac:dyDescent="0.2">
      <c r="A27" s="94" t="s">
        <v>60</v>
      </c>
      <c r="B27" s="94"/>
      <c r="C27" s="94"/>
      <c r="D27" s="94"/>
      <c r="E27" s="94"/>
      <c r="F27" s="36"/>
      <c r="G27" s="37"/>
      <c r="H27" s="37"/>
      <c r="I27" s="38">
        <f>SUM(I21:I26)</f>
        <v>0</v>
      </c>
    </row>
    <row r="29" spans="1:9" ht="15.75" x14ac:dyDescent="0.2">
      <c r="A29" s="95" t="s">
        <v>61</v>
      </c>
      <c r="B29" s="95"/>
      <c r="C29" s="95"/>
      <c r="D29" s="95"/>
      <c r="E29" s="95"/>
      <c r="F29" s="96">
        <f>I18+I27</f>
        <v>0</v>
      </c>
      <c r="G29" s="96"/>
      <c r="H29" s="96"/>
      <c r="I29" s="96"/>
    </row>
    <row r="33" spans="1:9" ht="15.75" x14ac:dyDescent="0.25">
      <c r="A33" s="90" t="s">
        <v>62</v>
      </c>
      <c r="B33" s="90"/>
      <c r="C33" s="90"/>
      <c r="D33" s="90"/>
      <c r="E33" s="90"/>
    </row>
    <row r="34" spans="1:9" ht="12.75" x14ac:dyDescent="0.2">
      <c r="A34" s="91" t="s">
        <v>63</v>
      </c>
      <c r="B34" s="91"/>
      <c r="C34" s="91"/>
      <c r="D34" s="91"/>
      <c r="E34" s="91"/>
      <c r="F34" s="32" t="s">
        <v>56</v>
      </c>
      <c r="G34" s="32" t="s">
        <v>57</v>
      </c>
      <c r="H34" s="32" t="s">
        <v>58</v>
      </c>
      <c r="I34" s="32" t="s">
        <v>56</v>
      </c>
    </row>
    <row r="35" spans="1:9" ht="12.75" x14ac:dyDescent="0.2">
      <c r="A35" s="92" t="s">
        <v>64</v>
      </c>
      <c r="B35" s="92"/>
      <c r="C35" s="92"/>
      <c r="D35" s="92"/>
      <c r="E35" s="92"/>
      <c r="F35" s="33">
        <f>SUM('Stavební rozpočet'!BM12:BM669)</f>
        <v>0</v>
      </c>
      <c r="G35" s="34"/>
      <c r="H35" s="34"/>
      <c r="I35" s="33">
        <f t="shared" ref="I35:I44" si="1">F35</f>
        <v>0</v>
      </c>
    </row>
    <row r="36" spans="1:9" ht="12.75" x14ac:dyDescent="0.2">
      <c r="A36" s="92" t="s">
        <v>65</v>
      </c>
      <c r="B36" s="92"/>
      <c r="C36" s="92"/>
      <c r="D36" s="92"/>
      <c r="E36" s="92"/>
      <c r="F36" s="33">
        <f>SUM('Stavební rozpočet'!BN12:BN669)</f>
        <v>0</v>
      </c>
      <c r="G36" s="34"/>
      <c r="H36" s="34"/>
      <c r="I36" s="33">
        <f t="shared" si="1"/>
        <v>0</v>
      </c>
    </row>
    <row r="37" spans="1:9" ht="12.75" x14ac:dyDescent="0.2">
      <c r="A37" s="92" t="s">
        <v>24</v>
      </c>
      <c r="B37" s="92"/>
      <c r="C37" s="92"/>
      <c r="D37" s="92"/>
      <c r="E37" s="92"/>
      <c r="F37" s="33">
        <f>SUM('Stavební rozpočet'!BO12:BO669)</f>
        <v>0</v>
      </c>
      <c r="G37" s="34"/>
      <c r="H37" s="34"/>
      <c r="I37" s="33">
        <f t="shared" si="1"/>
        <v>0</v>
      </c>
    </row>
    <row r="38" spans="1:9" ht="12.75" x14ac:dyDescent="0.2">
      <c r="A38" s="92" t="s">
        <v>66</v>
      </c>
      <c r="B38" s="92"/>
      <c r="C38" s="92"/>
      <c r="D38" s="92"/>
      <c r="E38" s="92"/>
      <c r="F38" s="33">
        <f>SUM('Stavební rozpočet'!BP12:BP669)</f>
        <v>0</v>
      </c>
      <c r="G38" s="34"/>
      <c r="H38" s="34"/>
      <c r="I38" s="33">
        <f t="shared" si="1"/>
        <v>0</v>
      </c>
    </row>
    <row r="39" spans="1:9" ht="12.75" x14ac:dyDescent="0.2">
      <c r="A39" s="92" t="s">
        <v>67</v>
      </c>
      <c r="B39" s="92"/>
      <c r="C39" s="92"/>
      <c r="D39" s="92"/>
      <c r="E39" s="92"/>
      <c r="F39" s="33">
        <f>SUM('Stavební rozpočet'!BQ12:BQ669)</f>
        <v>0</v>
      </c>
      <c r="G39" s="34"/>
      <c r="H39" s="34"/>
      <c r="I39" s="33">
        <f t="shared" si="1"/>
        <v>0</v>
      </c>
    </row>
    <row r="40" spans="1:9" ht="12.75" x14ac:dyDescent="0.2">
      <c r="A40" s="92" t="s">
        <v>30</v>
      </c>
      <c r="B40" s="92"/>
      <c r="C40" s="92"/>
      <c r="D40" s="92"/>
      <c r="E40" s="92"/>
      <c r="F40" s="33">
        <f>SUM('Stavební rozpočet'!BR12:BR669)</f>
        <v>0</v>
      </c>
      <c r="G40" s="34"/>
      <c r="H40" s="34"/>
      <c r="I40" s="33">
        <f t="shared" si="1"/>
        <v>0</v>
      </c>
    </row>
    <row r="41" spans="1:9" ht="12.75" x14ac:dyDescent="0.2">
      <c r="A41" s="92" t="s">
        <v>31</v>
      </c>
      <c r="B41" s="92"/>
      <c r="C41" s="92"/>
      <c r="D41" s="92"/>
      <c r="E41" s="92"/>
      <c r="F41" s="33">
        <f>SUM('Stavební rozpočet'!BS12:BS669)</f>
        <v>0</v>
      </c>
      <c r="G41" s="34"/>
      <c r="H41" s="34"/>
      <c r="I41" s="33">
        <f t="shared" si="1"/>
        <v>0</v>
      </c>
    </row>
    <row r="42" spans="1:9" ht="12.75" x14ac:dyDescent="0.2">
      <c r="A42" s="92" t="s">
        <v>68</v>
      </c>
      <c r="B42" s="92"/>
      <c r="C42" s="92"/>
      <c r="D42" s="92"/>
      <c r="E42" s="92"/>
      <c r="F42" s="33">
        <f>SUM('Stavební rozpočet'!BT12:BT669)</f>
        <v>0</v>
      </c>
      <c r="G42" s="34"/>
      <c r="H42" s="34"/>
      <c r="I42" s="33">
        <f t="shared" si="1"/>
        <v>0</v>
      </c>
    </row>
    <row r="43" spans="1:9" ht="12.75" x14ac:dyDescent="0.2">
      <c r="A43" s="92" t="s">
        <v>69</v>
      </c>
      <c r="B43" s="92"/>
      <c r="C43" s="92"/>
      <c r="D43" s="92"/>
      <c r="E43" s="92"/>
      <c r="F43" s="33">
        <f>SUM('Stavební rozpočet'!BU12:BU669)</f>
        <v>0</v>
      </c>
      <c r="G43" s="34"/>
      <c r="H43" s="34"/>
      <c r="I43" s="33">
        <f t="shared" si="1"/>
        <v>0</v>
      </c>
    </row>
    <row r="44" spans="1:9" ht="12.75" x14ac:dyDescent="0.2">
      <c r="A44" s="93" t="s">
        <v>70</v>
      </c>
      <c r="B44" s="93"/>
      <c r="C44" s="93"/>
      <c r="D44" s="93"/>
      <c r="E44" s="93"/>
      <c r="F44" s="35">
        <f>SUM('Stavební rozpočet'!BV12:BV669)</f>
        <v>0</v>
      </c>
      <c r="G44" s="17"/>
      <c r="H44" s="17"/>
      <c r="I44" s="35">
        <f t="shared" si="1"/>
        <v>0</v>
      </c>
    </row>
    <row r="45" spans="1:9" ht="12.75" x14ac:dyDescent="0.2">
      <c r="A45" s="94" t="s">
        <v>71</v>
      </c>
      <c r="B45" s="94"/>
      <c r="C45" s="94"/>
      <c r="D45" s="94"/>
      <c r="E45" s="94"/>
      <c r="F45" s="36"/>
      <c r="G45" s="37"/>
      <c r="H45" s="37"/>
      <c r="I45" s="38">
        <f>SUM(I35:I44)</f>
        <v>0</v>
      </c>
    </row>
  </sheetData>
  <mergeCells count="60">
    <mergeCell ref="A42:E42"/>
    <mergeCell ref="A43:E43"/>
    <mergeCell ref="A44:E44"/>
    <mergeCell ref="A45:E45"/>
    <mergeCell ref="A37:E37"/>
    <mergeCell ref="A38:E38"/>
    <mergeCell ref="A39:E39"/>
    <mergeCell ref="A40:E40"/>
    <mergeCell ref="A41:E41"/>
    <mergeCell ref="F29:I29"/>
    <mergeCell ref="A33:E33"/>
    <mergeCell ref="A34:E34"/>
    <mergeCell ref="A35:E35"/>
    <mergeCell ref="A36:E36"/>
    <mergeCell ref="A24:E24"/>
    <mergeCell ref="A25:E25"/>
    <mergeCell ref="A26:E26"/>
    <mergeCell ref="A27:E27"/>
    <mergeCell ref="A29:E29"/>
    <mergeCell ref="A18:E18"/>
    <mergeCell ref="A20:E20"/>
    <mergeCell ref="A21:E21"/>
    <mergeCell ref="A22:E22"/>
    <mergeCell ref="A23:E23"/>
    <mergeCell ref="A13:E13"/>
    <mergeCell ref="A14:E14"/>
    <mergeCell ref="A15:E15"/>
    <mergeCell ref="A16:E16"/>
    <mergeCell ref="A17:E17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Z177"/>
  <sheetViews>
    <sheetView zoomScaleNormal="100" workbookViewId="0">
      <pane ySplit="11" topLeftCell="A124" activePane="bottomLeft" state="frozen"/>
      <selection pane="bottomLeft" activeCell="D135" sqref="D135:M135"/>
    </sheetView>
  </sheetViews>
  <sheetFormatPr defaultColWidth="12.140625" defaultRowHeight="15" x14ac:dyDescent="0.25"/>
  <cols>
    <col min="1" max="1" width="3.140625" style="15" customWidth="1"/>
    <col min="2" max="2" width="7.7109375" style="15" customWidth="1"/>
    <col min="3" max="3" width="17.85546875" style="15" customWidth="1"/>
    <col min="4" max="4" width="42.85546875" style="15" customWidth="1"/>
    <col min="5" max="5" width="35.7109375" style="15" customWidth="1"/>
    <col min="6" max="6" width="7.5703125" style="15" customWidth="1"/>
    <col min="7" max="7" width="12.85546875" style="15" customWidth="1"/>
    <col min="8" max="8" width="12" style="15" customWidth="1"/>
    <col min="9" max="9" width="15.7109375" style="15" customWidth="1"/>
    <col min="10" max="12" width="11.7109375" style="15" customWidth="1"/>
    <col min="13" max="13" width="23.140625" style="15" customWidth="1"/>
    <col min="25" max="75" width="12.140625" style="15" hidden="1"/>
    <col min="76" max="76" width="78.5703125" style="15" hidden="1" customWidth="1"/>
    <col min="77" max="78" width="12.140625" style="15" hidden="1"/>
  </cols>
  <sheetData>
    <row r="1" spans="1:76" ht="54.75" customHeight="1" x14ac:dyDescent="0.25">
      <c r="A1" s="97" t="s">
        <v>513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ht="15" customHeight="1" x14ac:dyDescent="0.25">
      <c r="A2" s="13" t="s">
        <v>1</v>
      </c>
      <c r="B2" s="13"/>
      <c r="C2" s="13"/>
      <c r="D2" s="12" t="str">
        <f>'Stavební rozpočet'!D2</f>
        <v>VÝMĚNA OKEN A OPRAVA BALKONŮ - BYTOVÝ DŮM J.E. PURKYNĚ 1150, LITOMYŠL</v>
      </c>
      <c r="E2" s="12"/>
      <c r="F2" s="98" t="s">
        <v>73</v>
      </c>
      <c r="G2" s="98"/>
      <c r="H2" s="11" t="str">
        <f>'Stavební rozpočet'!H2</f>
        <v xml:space="preserve"> </v>
      </c>
      <c r="I2" s="11" t="s">
        <v>2</v>
      </c>
      <c r="J2" s="11"/>
      <c r="K2" s="99" t="str">
        <f>'Stavební rozpočet'!K2</f>
        <v> </v>
      </c>
      <c r="L2" s="99"/>
      <c r="M2" s="99"/>
    </row>
    <row r="3" spans="1:76" x14ac:dyDescent="0.25">
      <c r="A3" s="13"/>
      <c r="B3" s="13"/>
      <c r="C3" s="13"/>
      <c r="D3" s="12"/>
      <c r="E3" s="12"/>
      <c r="F3" s="98"/>
      <c r="G3" s="98"/>
      <c r="H3" s="11"/>
      <c r="I3" s="11"/>
      <c r="J3" s="11"/>
      <c r="K3" s="99"/>
      <c r="L3" s="99"/>
      <c r="M3" s="99"/>
    </row>
    <row r="4" spans="1:76" ht="15" customHeight="1" x14ac:dyDescent="0.25">
      <c r="A4" s="9" t="s">
        <v>4</v>
      </c>
      <c r="B4" s="9"/>
      <c r="C4" s="9"/>
      <c r="D4" s="8" t="str">
        <f>'Stavební rozpočet'!D4</f>
        <v xml:space="preserve"> </v>
      </c>
      <c r="E4" s="8"/>
      <c r="F4" s="6" t="s">
        <v>8</v>
      </c>
      <c r="G4" s="6"/>
      <c r="H4" s="8"/>
      <c r="I4" s="8" t="s">
        <v>5</v>
      </c>
      <c r="J4" s="8"/>
      <c r="K4" s="100" t="str">
        <f>'Stavební rozpočet'!K4</f>
        <v> </v>
      </c>
      <c r="L4" s="100"/>
      <c r="M4" s="100"/>
    </row>
    <row r="5" spans="1:76" x14ac:dyDescent="0.25">
      <c r="A5" s="9"/>
      <c r="B5" s="9"/>
      <c r="C5" s="9"/>
      <c r="D5" s="8"/>
      <c r="E5" s="8"/>
      <c r="F5" s="6"/>
      <c r="G5" s="6"/>
      <c r="H5" s="8"/>
      <c r="I5" s="8"/>
      <c r="J5" s="8"/>
      <c r="K5" s="100"/>
      <c r="L5" s="100"/>
      <c r="M5" s="100"/>
    </row>
    <row r="6" spans="1:76" ht="15" customHeight="1" x14ac:dyDescent="0.25">
      <c r="A6" s="9" t="s">
        <v>6</v>
      </c>
      <c r="B6" s="9"/>
      <c r="C6" s="9"/>
      <c r="D6" s="8" t="str">
        <f>'Stavební rozpočet'!D6</f>
        <v>LITOMYŠL</v>
      </c>
      <c r="E6" s="8"/>
      <c r="F6" s="6" t="s">
        <v>9</v>
      </c>
      <c r="G6" s="6"/>
      <c r="H6" s="8" t="str">
        <f>'Stavební rozpočet'!H6</f>
        <v xml:space="preserve"> </v>
      </c>
      <c r="I6" s="8" t="s">
        <v>7</v>
      </c>
      <c r="J6" s="8"/>
      <c r="K6" s="100" t="str">
        <f>'Stavební rozpočet'!K6</f>
        <v> </v>
      </c>
      <c r="L6" s="100"/>
      <c r="M6" s="100"/>
    </row>
    <row r="7" spans="1:76" x14ac:dyDescent="0.25">
      <c r="A7" s="9"/>
      <c r="B7" s="9"/>
      <c r="C7" s="9"/>
      <c r="D7" s="8"/>
      <c r="E7" s="8"/>
      <c r="F7" s="6"/>
      <c r="G7" s="6"/>
      <c r="H7" s="8"/>
      <c r="I7" s="8"/>
      <c r="J7" s="8"/>
      <c r="K7" s="100"/>
      <c r="L7" s="100"/>
      <c r="M7" s="100"/>
    </row>
    <row r="8" spans="1:76" ht="15" customHeight="1" x14ac:dyDescent="0.25">
      <c r="A8" s="9" t="s">
        <v>11</v>
      </c>
      <c r="B8" s="9"/>
      <c r="C8" s="9"/>
      <c r="D8" s="8" t="str">
        <f>'Stavební rozpočet'!D8</f>
        <v xml:space="preserve"> </v>
      </c>
      <c r="E8" s="8"/>
      <c r="F8" s="6" t="s">
        <v>74</v>
      </c>
      <c r="G8" s="6"/>
      <c r="H8" s="8" t="str">
        <f>'Stavební rozpočet'!H8</f>
        <v>25.01.2025</v>
      </c>
      <c r="I8" s="8" t="s">
        <v>12</v>
      </c>
      <c r="J8" s="8"/>
      <c r="K8" s="100" t="str">
        <f>'Stavební rozpočet'!K8</f>
        <v>MARTIN ČERNÝ, DIS.</v>
      </c>
      <c r="L8" s="100"/>
      <c r="M8" s="100"/>
    </row>
    <row r="9" spans="1:76" x14ac:dyDescent="0.25">
      <c r="A9" s="9"/>
      <c r="B9" s="9"/>
      <c r="C9" s="9"/>
      <c r="D9" s="8"/>
      <c r="E9" s="8"/>
      <c r="F9" s="6"/>
      <c r="G9" s="6"/>
      <c r="H9" s="8"/>
      <c r="I9" s="8"/>
      <c r="J9" s="8"/>
      <c r="K9" s="100"/>
      <c r="L9" s="100"/>
      <c r="M9" s="100"/>
    </row>
    <row r="10" spans="1:76" x14ac:dyDescent="0.25">
      <c r="A10" s="40" t="s">
        <v>75</v>
      </c>
      <c r="B10" s="41" t="s">
        <v>76</v>
      </c>
      <c r="C10" s="41" t="s">
        <v>77</v>
      </c>
      <c r="D10" s="101" t="s">
        <v>78</v>
      </c>
      <c r="E10" s="101"/>
      <c r="F10" s="41" t="s">
        <v>79</v>
      </c>
      <c r="G10" s="42" t="s">
        <v>80</v>
      </c>
      <c r="H10" s="43" t="s">
        <v>81</v>
      </c>
      <c r="I10" s="44" t="s">
        <v>82</v>
      </c>
      <c r="J10" s="102" t="s">
        <v>83</v>
      </c>
      <c r="K10" s="102"/>
      <c r="L10" s="102"/>
      <c r="M10" s="45" t="s">
        <v>84</v>
      </c>
      <c r="BK10" s="46" t="s">
        <v>85</v>
      </c>
      <c r="BL10" s="47" t="s">
        <v>86</v>
      </c>
      <c r="BW10" s="47" t="s">
        <v>87</v>
      </c>
    </row>
    <row r="11" spans="1:76" x14ac:dyDescent="0.25">
      <c r="A11" s="48" t="s">
        <v>88</v>
      </c>
      <c r="B11" s="49" t="s">
        <v>88</v>
      </c>
      <c r="C11" s="49" t="s">
        <v>88</v>
      </c>
      <c r="D11" s="103" t="s">
        <v>89</v>
      </c>
      <c r="E11" s="103"/>
      <c r="F11" s="49" t="s">
        <v>88</v>
      </c>
      <c r="G11" s="49" t="s">
        <v>88</v>
      </c>
      <c r="H11" s="50" t="s">
        <v>90</v>
      </c>
      <c r="I11" s="51" t="s">
        <v>91</v>
      </c>
      <c r="J11" s="50" t="s">
        <v>92</v>
      </c>
      <c r="K11" s="50" t="s">
        <v>93</v>
      </c>
      <c r="L11" s="52" t="s">
        <v>91</v>
      </c>
      <c r="M11" s="53" t="s">
        <v>94</v>
      </c>
      <c r="Z11" s="46" t="s">
        <v>95</v>
      </c>
      <c r="AA11" s="46" t="s">
        <v>96</v>
      </c>
      <c r="AB11" s="46" t="s">
        <v>97</v>
      </c>
      <c r="AC11" s="46" t="s">
        <v>98</v>
      </c>
      <c r="AD11" s="46" t="s">
        <v>99</v>
      </c>
      <c r="AE11" s="46" t="s">
        <v>100</v>
      </c>
      <c r="AF11" s="46" t="s">
        <v>101</v>
      </c>
      <c r="AG11" s="46" t="s">
        <v>102</v>
      </c>
      <c r="AH11" s="46" t="s">
        <v>103</v>
      </c>
      <c r="BH11" s="46" t="s">
        <v>104</v>
      </c>
      <c r="BI11" s="46" t="s">
        <v>105</v>
      </c>
      <c r="BJ11" s="46" t="s">
        <v>106</v>
      </c>
    </row>
    <row r="12" spans="1:76" ht="15" customHeight="1" x14ac:dyDescent="0.25">
      <c r="A12" s="54"/>
      <c r="B12" s="55" t="s">
        <v>514</v>
      </c>
      <c r="C12" s="55"/>
      <c r="D12" s="104" t="s">
        <v>515</v>
      </c>
      <c r="E12" s="104"/>
      <c r="F12" s="56" t="s">
        <v>88</v>
      </c>
      <c r="G12" s="56" t="s">
        <v>88</v>
      </c>
      <c r="H12" s="56" t="s">
        <v>88</v>
      </c>
      <c r="I12" s="39">
        <f>I13+I19+I28+I36+I45+I49+I56+I67+I85+I88+I104+I114+I118+I128+I133+I137+I153+I156+I158</f>
        <v>0</v>
      </c>
      <c r="J12" s="46"/>
      <c r="K12" s="46"/>
      <c r="L12" s="39">
        <f>L13+L19+L28+L36+L45+L49+L56+L67+L85+L88+L104+L114+L118+L128+L133+L137+L153+L156+L158</f>
        <v>16.894295530000001</v>
      </c>
      <c r="M12" s="57"/>
    </row>
    <row r="13" spans="1:76" ht="15" customHeight="1" x14ac:dyDescent="0.25">
      <c r="A13" s="54"/>
      <c r="B13" s="55" t="s">
        <v>514</v>
      </c>
      <c r="C13" s="55" t="s">
        <v>109</v>
      </c>
      <c r="D13" s="104" t="s">
        <v>110</v>
      </c>
      <c r="E13" s="104"/>
      <c r="F13" s="56" t="s">
        <v>88</v>
      </c>
      <c r="G13" s="56" t="s">
        <v>88</v>
      </c>
      <c r="H13" s="56" t="s">
        <v>88</v>
      </c>
      <c r="I13" s="39">
        <f>SUM(I14:I17)</f>
        <v>0</v>
      </c>
      <c r="J13" s="46"/>
      <c r="K13" s="46"/>
      <c r="L13" s="39">
        <f>SUM(L14:L17)</f>
        <v>0.14842520000000001</v>
      </c>
      <c r="M13" s="57"/>
      <c r="AI13" s="46" t="s">
        <v>514</v>
      </c>
      <c r="AS13" s="39">
        <f>SUM(AJ14:AJ17)</f>
        <v>0</v>
      </c>
      <c r="AT13" s="39">
        <f>SUM(AK14:AK17)</f>
        <v>0</v>
      </c>
      <c r="AU13" s="39">
        <f>SUM(AL14:AL17)</f>
        <v>0</v>
      </c>
    </row>
    <row r="14" spans="1:76" ht="15" customHeight="1" x14ac:dyDescent="0.25">
      <c r="A14" s="58" t="s">
        <v>111</v>
      </c>
      <c r="B14" s="18" t="s">
        <v>514</v>
      </c>
      <c r="C14" s="18" t="s">
        <v>112</v>
      </c>
      <c r="D14" s="8" t="s">
        <v>113</v>
      </c>
      <c r="E14" s="8"/>
      <c r="F14" s="18" t="s">
        <v>114</v>
      </c>
      <c r="G14" s="59">
        <f>'Stavební rozpočet'!G533</f>
        <v>26.84</v>
      </c>
      <c r="H14" s="59">
        <f>'Stavební rozpočet'!H533</f>
        <v>0</v>
      </c>
      <c r="I14" s="59">
        <f>ROUND(G14*H14,2)</f>
        <v>0</v>
      </c>
      <c r="J14" s="59">
        <f>'Stavební rozpočet'!J533</f>
        <v>4.5900000000000003E-3</v>
      </c>
      <c r="K14" s="59">
        <f>'Stavební rozpočet'!K533</f>
        <v>4.5900000000000003E-3</v>
      </c>
      <c r="L14" s="59">
        <f>G14*K14</f>
        <v>0.1231956</v>
      </c>
      <c r="M14" s="60" t="s">
        <v>115</v>
      </c>
      <c r="Z14" s="59">
        <f>ROUND(IF(AQ14="5",BJ14,0),2)</f>
        <v>0</v>
      </c>
      <c r="AB14" s="59">
        <f>ROUND(IF(AQ14="1",BH14,0),2)</f>
        <v>0</v>
      </c>
      <c r="AC14" s="59">
        <f>ROUND(IF(AQ14="1",BI14,0),2)</f>
        <v>0</v>
      </c>
      <c r="AD14" s="59">
        <f>ROUND(IF(AQ14="7",BH14,0),2)</f>
        <v>0</v>
      </c>
      <c r="AE14" s="59">
        <f>ROUND(IF(AQ14="7",BI14,0),2)</f>
        <v>0</v>
      </c>
      <c r="AF14" s="59">
        <f>ROUND(IF(AQ14="2",BH14,0),2)</f>
        <v>0</v>
      </c>
      <c r="AG14" s="59">
        <f>ROUND(IF(AQ14="2",BI14,0),2)</f>
        <v>0</v>
      </c>
      <c r="AH14" s="59">
        <f>ROUND(IF(AQ14="0",BJ14,0),2)</f>
        <v>0</v>
      </c>
      <c r="AI14" s="46" t="s">
        <v>514</v>
      </c>
      <c r="AJ14" s="59">
        <f>IF(AN14=0,I14,0)</f>
        <v>0</v>
      </c>
      <c r="AK14" s="59">
        <f>IF(AN14=12,I14,0)</f>
        <v>0</v>
      </c>
      <c r="AL14" s="59">
        <f>IF(AN14=21,I14,0)</f>
        <v>0</v>
      </c>
      <c r="AN14" s="59">
        <v>12</v>
      </c>
      <c r="AO14" s="59">
        <f>H14*0.151837697</f>
        <v>0</v>
      </c>
      <c r="AP14" s="59">
        <f>H14*(1-0.151837697)</f>
        <v>0</v>
      </c>
      <c r="AQ14" s="61" t="s">
        <v>111</v>
      </c>
      <c r="AV14" s="59">
        <f>ROUND(AW14+AX14,2)</f>
        <v>0</v>
      </c>
      <c r="AW14" s="59">
        <f>ROUND(G14*AO14,2)</f>
        <v>0</v>
      </c>
      <c r="AX14" s="59">
        <f>ROUND(G14*AP14,2)</f>
        <v>0</v>
      </c>
      <c r="AY14" s="61" t="s">
        <v>116</v>
      </c>
      <c r="AZ14" s="61" t="s">
        <v>516</v>
      </c>
      <c r="BA14" s="46" t="s">
        <v>517</v>
      </c>
      <c r="BC14" s="59">
        <f>AW14+AX14</f>
        <v>0</v>
      </c>
      <c r="BD14" s="59">
        <f>H14/(100-BE14)*100</f>
        <v>0</v>
      </c>
      <c r="BE14" s="59">
        <v>0</v>
      </c>
      <c r="BF14" s="59">
        <f>L14</f>
        <v>0.1231956</v>
      </c>
      <c r="BH14" s="59">
        <f>G14*AO14</f>
        <v>0</v>
      </c>
      <c r="BI14" s="59">
        <f>G14*AP14</f>
        <v>0</v>
      </c>
      <c r="BJ14" s="59">
        <f>G14*H14</f>
        <v>0</v>
      </c>
      <c r="BK14" s="59"/>
      <c r="BL14" s="59">
        <v>60</v>
      </c>
      <c r="BW14" s="59">
        <v>12</v>
      </c>
      <c r="BX14" s="16" t="s">
        <v>113</v>
      </c>
    </row>
    <row r="15" spans="1:76" ht="13.5" customHeight="1" x14ac:dyDescent="0.25">
      <c r="A15" s="62"/>
      <c r="D15" s="105" t="s">
        <v>119</v>
      </c>
      <c r="E15" s="105"/>
      <c r="F15" s="105"/>
      <c r="G15" s="105"/>
      <c r="H15" s="105"/>
      <c r="I15" s="105"/>
      <c r="J15" s="105"/>
      <c r="K15" s="105"/>
      <c r="L15" s="105"/>
      <c r="M15" s="105"/>
    </row>
    <row r="16" spans="1:76" x14ac:dyDescent="0.25">
      <c r="A16" s="62"/>
      <c r="D16" s="63" t="s">
        <v>120</v>
      </c>
      <c r="E16" s="63"/>
      <c r="G16" s="64">
        <v>26.84</v>
      </c>
      <c r="M16" s="65"/>
    </row>
    <row r="17" spans="1:76" ht="15" customHeight="1" x14ac:dyDescent="0.25">
      <c r="A17" s="58" t="s">
        <v>121</v>
      </c>
      <c r="B17" s="18" t="s">
        <v>514</v>
      </c>
      <c r="C17" s="18" t="s">
        <v>122</v>
      </c>
      <c r="D17" s="8" t="s">
        <v>123</v>
      </c>
      <c r="E17" s="8"/>
      <c r="F17" s="18" t="s">
        <v>114</v>
      </c>
      <c r="G17" s="59">
        <f>'Stavební rozpočet'!G535</f>
        <v>53.68</v>
      </c>
      <c r="H17" s="59">
        <f>'Stavební rozpočet'!H535</f>
        <v>0</v>
      </c>
      <c r="I17" s="59">
        <f>ROUND(G17*H17,2)</f>
        <v>0</v>
      </c>
      <c r="J17" s="59">
        <f>'Stavební rozpočet'!J535</f>
        <v>4.6999999999999999E-4</v>
      </c>
      <c r="K17" s="59">
        <f>'Stavební rozpočet'!K535</f>
        <v>4.6999999999999999E-4</v>
      </c>
      <c r="L17" s="59">
        <f>G17*K17</f>
        <v>2.5229599999999998E-2</v>
      </c>
      <c r="M17" s="60" t="s">
        <v>115</v>
      </c>
      <c r="Z17" s="59">
        <f>ROUND(IF(AQ17="5",BJ17,0),2)</f>
        <v>0</v>
      </c>
      <c r="AB17" s="59">
        <f>ROUND(IF(AQ17="1",BH17,0),2)</f>
        <v>0</v>
      </c>
      <c r="AC17" s="59">
        <f>ROUND(IF(AQ17="1",BI17,0),2)</f>
        <v>0</v>
      </c>
      <c r="AD17" s="59">
        <f>ROUND(IF(AQ17="7",BH17,0),2)</f>
        <v>0</v>
      </c>
      <c r="AE17" s="59">
        <f>ROUND(IF(AQ17="7",BI17,0),2)</f>
        <v>0</v>
      </c>
      <c r="AF17" s="59">
        <f>ROUND(IF(AQ17="2",BH17,0),2)</f>
        <v>0</v>
      </c>
      <c r="AG17" s="59">
        <f>ROUND(IF(AQ17="2",BI17,0),2)</f>
        <v>0</v>
      </c>
      <c r="AH17" s="59">
        <f>ROUND(IF(AQ17="0",BJ17,0),2)</f>
        <v>0</v>
      </c>
      <c r="AI17" s="46" t="s">
        <v>514</v>
      </c>
      <c r="AJ17" s="59">
        <f>IF(AN17=0,I17,0)</f>
        <v>0</v>
      </c>
      <c r="AK17" s="59">
        <f>IF(AN17=12,I17,0)</f>
        <v>0</v>
      </c>
      <c r="AL17" s="59">
        <f>IF(AN17=21,I17,0)</f>
        <v>0</v>
      </c>
      <c r="AN17" s="59">
        <v>12</v>
      </c>
      <c r="AO17" s="59">
        <f>H17*0.50964582</f>
        <v>0</v>
      </c>
      <c r="AP17" s="59">
        <f>H17*(1-0.50964582)</f>
        <v>0</v>
      </c>
      <c r="AQ17" s="61" t="s">
        <v>111</v>
      </c>
      <c r="AV17" s="59">
        <f>ROUND(AW17+AX17,2)</f>
        <v>0</v>
      </c>
      <c r="AW17" s="59">
        <f>ROUND(G17*AO17,2)</f>
        <v>0</v>
      </c>
      <c r="AX17" s="59">
        <f>ROUND(G17*AP17,2)</f>
        <v>0</v>
      </c>
      <c r="AY17" s="61" t="s">
        <v>116</v>
      </c>
      <c r="AZ17" s="61" t="s">
        <v>516</v>
      </c>
      <c r="BA17" s="46" t="s">
        <v>517</v>
      </c>
      <c r="BC17" s="59">
        <f>AW17+AX17</f>
        <v>0</v>
      </c>
      <c r="BD17" s="59">
        <f>H17/(100-BE17)*100</f>
        <v>0</v>
      </c>
      <c r="BE17" s="59">
        <v>0</v>
      </c>
      <c r="BF17" s="59">
        <f>L17</f>
        <v>2.5229599999999998E-2</v>
      </c>
      <c r="BH17" s="59">
        <f>G17*AO17</f>
        <v>0</v>
      </c>
      <c r="BI17" s="59">
        <f>G17*AP17</f>
        <v>0</v>
      </c>
      <c r="BJ17" s="59">
        <f>G17*H17</f>
        <v>0</v>
      </c>
      <c r="BK17" s="59"/>
      <c r="BL17" s="59">
        <v>60</v>
      </c>
      <c r="BW17" s="59">
        <v>12</v>
      </c>
      <c r="BX17" s="16" t="s">
        <v>123</v>
      </c>
    </row>
    <row r="18" spans="1:76" x14ac:dyDescent="0.25">
      <c r="A18" s="62"/>
      <c r="D18" s="63" t="s">
        <v>124</v>
      </c>
      <c r="E18" s="63"/>
      <c r="G18" s="64">
        <v>53.68</v>
      </c>
      <c r="M18" s="65"/>
    </row>
    <row r="19" spans="1:76" ht="15" customHeight="1" x14ac:dyDescent="0.25">
      <c r="A19" s="54"/>
      <c r="B19" s="55" t="s">
        <v>514</v>
      </c>
      <c r="C19" s="55" t="s">
        <v>125</v>
      </c>
      <c r="D19" s="104" t="s">
        <v>126</v>
      </c>
      <c r="E19" s="104"/>
      <c r="F19" s="56" t="s">
        <v>88</v>
      </c>
      <c r="G19" s="56" t="s">
        <v>88</v>
      </c>
      <c r="H19" s="56" t="s">
        <v>88</v>
      </c>
      <c r="I19" s="39">
        <f>SUM(I20:I25)</f>
        <v>0</v>
      </c>
      <c r="J19" s="46"/>
      <c r="K19" s="46"/>
      <c r="L19" s="39">
        <f>SUM(L20:L25)</f>
        <v>0.98595199999999994</v>
      </c>
      <c r="M19" s="57"/>
      <c r="AI19" s="46" t="s">
        <v>514</v>
      </c>
      <c r="AS19" s="39">
        <f>SUM(AJ20:AJ25)</f>
        <v>0</v>
      </c>
      <c r="AT19" s="39">
        <f>SUM(AK20:AK25)</f>
        <v>0</v>
      </c>
      <c r="AU19" s="39">
        <f>SUM(AL20:AL25)</f>
        <v>0</v>
      </c>
    </row>
    <row r="20" spans="1:76" ht="15" customHeight="1" x14ac:dyDescent="0.25">
      <c r="A20" s="58" t="s">
        <v>127</v>
      </c>
      <c r="B20" s="18" t="s">
        <v>514</v>
      </c>
      <c r="C20" s="18" t="s">
        <v>128</v>
      </c>
      <c r="D20" s="8" t="s">
        <v>129</v>
      </c>
      <c r="E20" s="8"/>
      <c r="F20" s="18" t="s">
        <v>114</v>
      </c>
      <c r="G20" s="59">
        <f>'Stavební rozpočet'!G538</f>
        <v>27.2</v>
      </c>
      <c r="H20" s="59">
        <f>'Stavební rozpočet'!H538</f>
        <v>0</v>
      </c>
      <c r="I20" s="59">
        <f>ROUND(G20*H20,2)</f>
        <v>0</v>
      </c>
      <c r="J20" s="59">
        <f>'Stavební rozpočet'!J538</f>
        <v>3.5659999999999997E-2</v>
      </c>
      <c r="K20" s="59">
        <f>'Stavební rozpočet'!K538</f>
        <v>3.5659999999999997E-2</v>
      </c>
      <c r="L20" s="59">
        <f>G20*K20</f>
        <v>0.96995199999999993</v>
      </c>
      <c r="M20" s="60" t="s">
        <v>115</v>
      </c>
      <c r="Z20" s="59">
        <f>ROUND(IF(AQ20="5",BJ20,0),2)</f>
        <v>0</v>
      </c>
      <c r="AB20" s="59">
        <f>ROUND(IF(AQ20="1",BH20,0),2)</f>
        <v>0</v>
      </c>
      <c r="AC20" s="59">
        <f>ROUND(IF(AQ20="1",BI20,0),2)</f>
        <v>0</v>
      </c>
      <c r="AD20" s="59">
        <f>ROUND(IF(AQ20="7",BH20,0),2)</f>
        <v>0</v>
      </c>
      <c r="AE20" s="59">
        <f>ROUND(IF(AQ20="7",BI20,0),2)</f>
        <v>0</v>
      </c>
      <c r="AF20" s="59">
        <f>ROUND(IF(AQ20="2",BH20,0),2)</f>
        <v>0</v>
      </c>
      <c r="AG20" s="59">
        <f>ROUND(IF(AQ20="2",BI20,0),2)</f>
        <v>0</v>
      </c>
      <c r="AH20" s="59">
        <f>ROUND(IF(AQ20="0",BJ20,0),2)</f>
        <v>0</v>
      </c>
      <c r="AI20" s="46" t="s">
        <v>514</v>
      </c>
      <c r="AJ20" s="59">
        <f>IF(AN20=0,I20,0)</f>
        <v>0</v>
      </c>
      <c r="AK20" s="59">
        <f>IF(AN20=12,I20,0)</f>
        <v>0</v>
      </c>
      <c r="AL20" s="59">
        <f>IF(AN20=21,I20,0)</f>
        <v>0</v>
      </c>
      <c r="AN20" s="59">
        <v>12</v>
      </c>
      <c r="AO20" s="59">
        <f>H20*0.283684274</f>
        <v>0</v>
      </c>
      <c r="AP20" s="59">
        <f>H20*(1-0.283684274)</f>
        <v>0</v>
      </c>
      <c r="AQ20" s="61" t="s">
        <v>111</v>
      </c>
      <c r="AV20" s="59">
        <f>ROUND(AW20+AX20,2)</f>
        <v>0</v>
      </c>
      <c r="AW20" s="59">
        <f>ROUND(G20*AO20,2)</f>
        <v>0</v>
      </c>
      <c r="AX20" s="59">
        <f>ROUND(G20*AP20,2)</f>
        <v>0</v>
      </c>
      <c r="AY20" s="61" t="s">
        <v>130</v>
      </c>
      <c r="AZ20" s="61" t="s">
        <v>516</v>
      </c>
      <c r="BA20" s="46" t="s">
        <v>517</v>
      </c>
      <c r="BC20" s="59">
        <f>AW20+AX20</f>
        <v>0</v>
      </c>
      <c r="BD20" s="59">
        <f>H20/(100-BE20)*100</f>
        <v>0</v>
      </c>
      <c r="BE20" s="59">
        <v>0</v>
      </c>
      <c r="BF20" s="59">
        <f>L20</f>
        <v>0.96995199999999993</v>
      </c>
      <c r="BH20" s="59">
        <f>G20*AO20</f>
        <v>0</v>
      </c>
      <c r="BI20" s="59">
        <f>G20*AP20</f>
        <v>0</v>
      </c>
      <c r="BJ20" s="59">
        <f>G20*H20</f>
        <v>0</v>
      </c>
      <c r="BK20" s="59"/>
      <c r="BL20" s="59">
        <v>61</v>
      </c>
      <c r="BW20" s="59">
        <v>12</v>
      </c>
      <c r="BX20" s="16" t="s">
        <v>129</v>
      </c>
    </row>
    <row r="21" spans="1:76" ht="13.5" customHeight="1" x14ac:dyDescent="0.25">
      <c r="A21" s="62"/>
      <c r="D21" s="105" t="s">
        <v>131</v>
      </c>
      <c r="E21" s="105"/>
      <c r="F21" s="105"/>
      <c r="G21" s="105"/>
      <c r="H21" s="105"/>
      <c r="I21" s="105"/>
      <c r="J21" s="105"/>
      <c r="K21" s="105"/>
      <c r="L21" s="105"/>
      <c r="M21" s="105"/>
    </row>
    <row r="22" spans="1:76" x14ac:dyDescent="0.25">
      <c r="A22" s="62"/>
      <c r="D22" s="63" t="s">
        <v>492</v>
      </c>
      <c r="E22" s="63"/>
      <c r="G22" s="64">
        <v>27.2</v>
      </c>
      <c r="M22" s="65"/>
    </row>
    <row r="23" spans="1:76" ht="15" customHeight="1" x14ac:dyDescent="0.25">
      <c r="A23" s="58" t="s">
        <v>133</v>
      </c>
      <c r="B23" s="18" t="s">
        <v>514</v>
      </c>
      <c r="C23" s="18" t="s">
        <v>134</v>
      </c>
      <c r="D23" s="8" t="s">
        <v>135</v>
      </c>
      <c r="E23" s="8"/>
      <c r="F23" s="18" t="s">
        <v>114</v>
      </c>
      <c r="G23" s="59">
        <f>'Stavební rozpočet'!G540</f>
        <v>60</v>
      </c>
      <c r="H23" s="59">
        <f>'Stavební rozpočet'!H540</f>
        <v>0</v>
      </c>
      <c r="I23" s="59">
        <f>ROUND(G23*H23,2)</f>
        <v>0</v>
      </c>
      <c r="J23" s="59">
        <f>'Stavební rozpočet'!J540</f>
        <v>4.0000000000000003E-5</v>
      </c>
      <c r="K23" s="59">
        <f>'Stavební rozpočet'!K540</f>
        <v>4.0000000000000003E-5</v>
      </c>
      <c r="L23" s="59">
        <f>G23*K23</f>
        <v>2.4000000000000002E-3</v>
      </c>
      <c r="M23" s="60" t="s">
        <v>115</v>
      </c>
      <c r="Z23" s="59">
        <f>ROUND(IF(AQ23="5",BJ23,0),2)</f>
        <v>0</v>
      </c>
      <c r="AB23" s="59">
        <f>ROUND(IF(AQ23="1",BH23,0),2)</f>
        <v>0</v>
      </c>
      <c r="AC23" s="59">
        <f>ROUND(IF(AQ23="1",BI23,0),2)</f>
        <v>0</v>
      </c>
      <c r="AD23" s="59">
        <f>ROUND(IF(AQ23="7",BH23,0),2)</f>
        <v>0</v>
      </c>
      <c r="AE23" s="59">
        <f>ROUND(IF(AQ23="7",BI23,0),2)</f>
        <v>0</v>
      </c>
      <c r="AF23" s="59">
        <f>ROUND(IF(AQ23="2",BH23,0),2)</f>
        <v>0</v>
      </c>
      <c r="AG23" s="59">
        <f>ROUND(IF(AQ23="2",BI23,0),2)</f>
        <v>0</v>
      </c>
      <c r="AH23" s="59">
        <f>ROUND(IF(AQ23="0",BJ23,0),2)</f>
        <v>0</v>
      </c>
      <c r="AI23" s="46" t="s">
        <v>514</v>
      </c>
      <c r="AJ23" s="59">
        <f>IF(AN23=0,I23,0)</f>
        <v>0</v>
      </c>
      <c r="AK23" s="59">
        <f>IF(AN23=12,I23,0)</f>
        <v>0</v>
      </c>
      <c r="AL23" s="59">
        <f>IF(AN23=21,I23,0)</f>
        <v>0</v>
      </c>
      <c r="AN23" s="59">
        <v>12</v>
      </c>
      <c r="AO23" s="59">
        <f>H23*0.267962042</f>
        <v>0</v>
      </c>
      <c r="AP23" s="59">
        <f>H23*(1-0.267962042)</f>
        <v>0</v>
      </c>
      <c r="AQ23" s="61" t="s">
        <v>111</v>
      </c>
      <c r="AV23" s="59">
        <f>ROUND(AW23+AX23,2)</f>
        <v>0</v>
      </c>
      <c r="AW23" s="59">
        <f>ROUND(G23*AO23,2)</f>
        <v>0</v>
      </c>
      <c r="AX23" s="59">
        <f>ROUND(G23*AP23,2)</f>
        <v>0</v>
      </c>
      <c r="AY23" s="61" t="s">
        <v>130</v>
      </c>
      <c r="AZ23" s="61" t="s">
        <v>516</v>
      </c>
      <c r="BA23" s="46" t="s">
        <v>517</v>
      </c>
      <c r="BC23" s="59">
        <f>AW23+AX23</f>
        <v>0</v>
      </c>
      <c r="BD23" s="59">
        <f>H23/(100-BE23)*100</f>
        <v>0</v>
      </c>
      <c r="BE23" s="59">
        <v>0</v>
      </c>
      <c r="BF23" s="59">
        <f>L23</f>
        <v>2.4000000000000002E-3</v>
      </c>
      <c r="BH23" s="59">
        <f>G23*AO23</f>
        <v>0</v>
      </c>
      <c r="BI23" s="59">
        <f>G23*AP23</f>
        <v>0</v>
      </c>
      <c r="BJ23" s="59">
        <f>G23*H23</f>
        <v>0</v>
      </c>
      <c r="BK23" s="59"/>
      <c r="BL23" s="59">
        <v>61</v>
      </c>
      <c r="BW23" s="59">
        <v>12</v>
      </c>
      <c r="BX23" s="16" t="s">
        <v>135</v>
      </c>
    </row>
    <row r="24" spans="1:76" x14ac:dyDescent="0.25">
      <c r="A24" s="62"/>
      <c r="D24" s="63" t="s">
        <v>493</v>
      </c>
      <c r="E24" s="63"/>
      <c r="G24" s="64">
        <v>60</v>
      </c>
      <c r="M24" s="65"/>
    </row>
    <row r="25" spans="1:76" ht="15" customHeight="1" x14ac:dyDescent="0.25">
      <c r="A25" s="58" t="s">
        <v>137</v>
      </c>
      <c r="B25" s="18" t="s">
        <v>514</v>
      </c>
      <c r="C25" s="18" t="s">
        <v>138</v>
      </c>
      <c r="D25" s="8" t="s">
        <v>139</v>
      </c>
      <c r="E25" s="8"/>
      <c r="F25" s="18" t="s">
        <v>140</v>
      </c>
      <c r="G25" s="59">
        <f>'Stavební rozpočet'!G542</f>
        <v>136</v>
      </c>
      <c r="H25" s="59">
        <f>'Stavební rozpočet'!H542</f>
        <v>0</v>
      </c>
      <c r="I25" s="59">
        <f>ROUND(G25*H25,2)</f>
        <v>0</v>
      </c>
      <c r="J25" s="59">
        <f>'Stavební rozpočet'!J542</f>
        <v>1E-4</v>
      </c>
      <c r="K25" s="59">
        <f>'Stavební rozpočet'!K542</f>
        <v>1E-4</v>
      </c>
      <c r="L25" s="59">
        <f>G25*K25</f>
        <v>1.3600000000000001E-2</v>
      </c>
      <c r="M25" s="60" t="s">
        <v>115</v>
      </c>
      <c r="Z25" s="59">
        <f>ROUND(IF(AQ25="5",BJ25,0),2)</f>
        <v>0</v>
      </c>
      <c r="AB25" s="59">
        <f>ROUND(IF(AQ25="1",BH25,0),2)</f>
        <v>0</v>
      </c>
      <c r="AC25" s="59">
        <f>ROUND(IF(AQ25="1",BI25,0),2)</f>
        <v>0</v>
      </c>
      <c r="AD25" s="59">
        <f>ROUND(IF(AQ25="7",BH25,0),2)</f>
        <v>0</v>
      </c>
      <c r="AE25" s="59">
        <f>ROUND(IF(AQ25="7",BI25,0),2)</f>
        <v>0</v>
      </c>
      <c r="AF25" s="59">
        <f>ROUND(IF(AQ25="2",BH25,0),2)</f>
        <v>0</v>
      </c>
      <c r="AG25" s="59">
        <f>ROUND(IF(AQ25="2",BI25,0),2)</f>
        <v>0</v>
      </c>
      <c r="AH25" s="59">
        <f>ROUND(IF(AQ25="0",BJ25,0),2)</f>
        <v>0</v>
      </c>
      <c r="AI25" s="46" t="s">
        <v>514</v>
      </c>
      <c r="AJ25" s="59">
        <f>IF(AN25=0,I25,0)</f>
        <v>0</v>
      </c>
      <c r="AK25" s="59">
        <f>IF(AN25=12,I25,0)</f>
        <v>0</v>
      </c>
      <c r="AL25" s="59">
        <f>IF(AN25=21,I25,0)</f>
        <v>0</v>
      </c>
      <c r="AN25" s="59">
        <v>12</v>
      </c>
      <c r="AO25" s="59">
        <f>H25*0.367459878</f>
        <v>0</v>
      </c>
      <c r="AP25" s="59">
        <f>H25*(1-0.367459878)</f>
        <v>0</v>
      </c>
      <c r="AQ25" s="61" t="s">
        <v>111</v>
      </c>
      <c r="AV25" s="59">
        <f>ROUND(AW25+AX25,2)</f>
        <v>0</v>
      </c>
      <c r="AW25" s="59">
        <f>ROUND(G25*AO25,2)</f>
        <v>0</v>
      </c>
      <c r="AX25" s="59">
        <f>ROUND(G25*AP25,2)</f>
        <v>0</v>
      </c>
      <c r="AY25" s="61" t="s">
        <v>130</v>
      </c>
      <c r="AZ25" s="61" t="s">
        <v>516</v>
      </c>
      <c r="BA25" s="46" t="s">
        <v>517</v>
      </c>
      <c r="BC25" s="59">
        <f>AW25+AX25</f>
        <v>0</v>
      </c>
      <c r="BD25" s="59">
        <f>H25/(100-BE25)*100</f>
        <v>0</v>
      </c>
      <c r="BE25" s="59">
        <v>0</v>
      </c>
      <c r="BF25" s="59">
        <f>L25</f>
        <v>1.3600000000000001E-2</v>
      </c>
      <c r="BH25" s="59">
        <f>G25*AO25</f>
        <v>0</v>
      </c>
      <c r="BI25" s="59">
        <f>G25*AP25</f>
        <v>0</v>
      </c>
      <c r="BJ25" s="59">
        <f>G25*H25</f>
        <v>0</v>
      </c>
      <c r="BK25" s="59"/>
      <c r="BL25" s="59">
        <v>61</v>
      </c>
      <c r="BW25" s="59">
        <v>12</v>
      </c>
      <c r="BX25" s="16" t="s">
        <v>139</v>
      </c>
    </row>
    <row r="26" spans="1:76" ht="13.5" customHeight="1" x14ac:dyDescent="0.25">
      <c r="A26" s="62"/>
      <c r="D26" s="105" t="s">
        <v>141</v>
      </c>
      <c r="E26" s="105"/>
      <c r="F26" s="105"/>
      <c r="G26" s="105"/>
      <c r="H26" s="105"/>
      <c r="I26" s="105"/>
      <c r="J26" s="105"/>
      <c r="K26" s="105"/>
      <c r="L26" s="105"/>
      <c r="M26" s="105"/>
    </row>
    <row r="27" spans="1:76" x14ac:dyDescent="0.25">
      <c r="A27" s="62"/>
      <c r="D27" s="63" t="s">
        <v>494</v>
      </c>
      <c r="E27" s="63"/>
      <c r="G27" s="64">
        <v>136</v>
      </c>
      <c r="M27" s="65"/>
    </row>
    <row r="28" spans="1:76" ht="15" customHeight="1" x14ac:dyDescent="0.25">
      <c r="A28" s="54"/>
      <c r="B28" s="55" t="s">
        <v>514</v>
      </c>
      <c r="C28" s="55" t="s">
        <v>143</v>
      </c>
      <c r="D28" s="104" t="s">
        <v>144</v>
      </c>
      <c r="E28" s="104"/>
      <c r="F28" s="56" t="s">
        <v>88</v>
      </c>
      <c r="G28" s="56" t="s">
        <v>88</v>
      </c>
      <c r="H28" s="56" t="s">
        <v>88</v>
      </c>
      <c r="I28" s="39">
        <f>SUM(I29:I34)</f>
        <v>0</v>
      </c>
      <c r="J28" s="46"/>
      <c r="K28" s="46"/>
      <c r="L28" s="39">
        <f>SUM(L29:L34)</f>
        <v>0.38913170000000002</v>
      </c>
      <c r="M28" s="57"/>
      <c r="AI28" s="46" t="s">
        <v>514</v>
      </c>
      <c r="AS28" s="39">
        <f>SUM(AJ29:AJ34)</f>
        <v>0</v>
      </c>
      <c r="AT28" s="39">
        <f>SUM(AK29:AK34)</f>
        <v>0</v>
      </c>
      <c r="AU28" s="39">
        <f>SUM(AL29:AL34)</f>
        <v>0</v>
      </c>
    </row>
    <row r="29" spans="1:76" ht="15" customHeight="1" x14ac:dyDescent="0.25">
      <c r="A29" s="58" t="s">
        <v>145</v>
      </c>
      <c r="B29" s="18" t="s">
        <v>514</v>
      </c>
      <c r="C29" s="18" t="s">
        <v>146</v>
      </c>
      <c r="D29" s="8" t="s">
        <v>147</v>
      </c>
      <c r="E29" s="8"/>
      <c r="F29" s="18" t="s">
        <v>114</v>
      </c>
      <c r="G29" s="59">
        <f>'Stavební rozpočet'!G545</f>
        <v>26.835000000000001</v>
      </c>
      <c r="H29" s="59">
        <f>'Stavební rozpočet'!H545</f>
        <v>0</v>
      </c>
      <c r="I29" s="59">
        <f>ROUND(G29*H29,2)</f>
        <v>0</v>
      </c>
      <c r="J29" s="59">
        <f>'Stavební rozpočet'!J545</f>
        <v>9.6600000000000002E-3</v>
      </c>
      <c r="K29" s="59">
        <f>'Stavební rozpočet'!K545</f>
        <v>9.6600000000000002E-3</v>
      </c>
      <c r="L29" s="59">
        <f>G29*K29</f>
        <v>0.25922610000000001</v>
      </c>
      <c r="M29" s="60" t="s">
        <v>115</v>
      </c>
      <c r="Z29" s="59">
        <f>ROUND(IF(AQ29="5",BJ29,0),2)</f>
        <v>0</v>
      </c>
      <c r="AB29" s="59">
        <f>ROUND(IF(AQ29="1",BH29,0),2)</f>
        <v>0</v>
      </c>
      <c r="AC29" s="59">
        <f>ROUND(IF(AQ29="1",BI29,0),2)</f>
        <v>0</v>
      </c>
      <c r="AD29" s="59">
        <f>ROUND(IF(AQ29="7",BH29,0),2)</f>
        <v>0</v>
      </c>
      <c r="AE29" s="59">
        <f>ROUND(IF(AQ29="7",BI29,0),2)</f>
        <v>0</v>
      </c>
      <c r="AF29" s="59">
        <f>ROUND(IF(AQ29="2",BH29,0),2)</f>
        <v>0</v>
      </c>
      <c r="AG29" s="59">
        <f>ROUND(IF(AQ29="2",BI29,0),2)</f>
        <v>0</v>
      </c>
      <c r="AH29" s="59">
        <f>ROUND(IF(AQ29="0",BJ29,0),2)</f>
        <v>0</v>
      </c>
      <c r="AI29" s="46" t="s">
        <v>514</v>
      </c>
      <c r="AJ29" s="59">
        <f>IF(AN29=0,I29,0)</f>
        <v>0</v>
      </c>
      <c r="AK29" s="59">
        <f>IF(AN29=12,I29,0)</f>
        <v>0</v>
      </c>
      <c r="AL29" s="59">
        <f>IF(AN29=21,I29,0)</f>
        <v>0</v>
      </c>
      <c r="AN29" s="59">
        <v>12</v>
      </c>
      <c r="AO29" s="59">
        <f>H29*0.218564986</f>
        <v>0</v>
      </c>
      <c r="AP29" s="59">
        <f>H29*(1-0.218564986)</f>
        <v>0</v>
      </c>
      <c r="AQ29" s="61" t="s">
        <v>111</v>
      </c>
      <c r="AV29" s="59">
        <f>ROUND(AW29+AX29,2)</f>
        <v>0</v>
      </c>
      <c r="AW29" s="59">
        <f>ROUND(G29*AO29,2)</f>
        <v>0</v>
      </c>
      <c r="AX29" s="59">
        <f>ROUND(G29*AP29,2)</f>
        <v>0</v>
      </c>
      <c r="AY29" s="61" t="s">
        <v>148</v>
      </c>
      <c r="AZ29" s="61" t="s">
        <v>516</v>
      </c>
      <c r="BA29" s="46" t="s">
        <v>517</v>
      </c>
      <c r="BC29" s="59">
        <f>AW29+AX29</f>
        <v>0</v>
      </c>
      <c r="BD29" s="59">
        <f>H29/(100-BE29)*100</f>
        <v>0</v>
      </c>
      <c r="BE29" s="59">
        <v>0</v>
      </c>
      <c r="BF29" s="59">
        <f>L29</f>
        <v>0.25922610000000001</v>
      </c>
      <c r="BH29" s="59">
        <f>G29*AO29</f>
        <v>0</v>
      </c>
      <c r="BI29" s="59">
        <f>G29*AP29</f>
        <v>0</v>
      </c>
      <c r="BJ29" s="59">
        <f>G29*H29</f>
        <v>0</v>
      </c>
      <c r="BK29" s="59"/>
      <c r="BL29" s="59">
        <v>62</v>
      </c>
      <c r="BW29" s="59">
        <v>12</v>
      </c>
      <c r="BX29" s="16" t="s">
        <v>147</v>
      </c>
    </row>
    <row r="30" spans="1:76" x14ac:dyDescent="0.25">
      <c r="A30" s="62"/>
      <c r="D30" s="63" t="s">
        <v>149</v>
      </c>
      <c r="E30" s="63"/>
      <c r="G30" s="64">
        <v>26.835000000000001</v>
      </c>
      <c r="M30" s="65"/>
    </row>
    <row r="31" spans="1:76" ht="15" customHeight="1" x14ac:dyDescent="0.25">
      <c r="A31" s="58" t="s">
        <v>150</v>
      </c>
      <c r="B31" s="18" t="s">
        <v>514</v>
      </c>
      <c r="C31" s="18" t="s">
        <v>151</v>
      </c>
      <c r="D31" s="8" t="s">
        <v>152</v>
      </c>
      <c r="E31" s="8"/>
      <c r="F31" s="18" t="s">
        <v>114</v>
      </c>
      <c r="G31" s="59">
        <f>'Stavební rozpočet'!G547</f>
        <v>26.84</v>
      </c>
      <c r="H31" s="59">
        <f>'Stavební rozpočet'!H547</f>
        <v>0</v>
      </c>
      <c r="I31" s="59">
        <f>ROUND(G31*H31,2)</f>
        <v>0</v>
      </c>
      <c r="J31" s="59">
        <f>'Stavební rozpočet'!J547</f>
        <v>4.3099999999999996E-3</v>
      </c>
      <c r="K31" s="59">
        <f>'Stavební rozpočet'!K547</f>
        <v>4.3099999999999996E-3</v>
      </c>
      <c r="L31" s="59">
        <f>G31*K31</f>
        <v>0.11568039999999999</v>
      </c>
      <c r="M31" s="60" t="s">
        <v>115</v>
      </c>
      <c r="Z31" s="59">
        <f>ROUND(IF(AQ31="5",BJ31,0),2)</f>
        <v>0</v>
      </c>
      <c r="AB31" s="59">
        <f>ROUND(IF(AQ31="1",BH31,0),2)</f>
        <v>0</v>
      </c>
      <c r="AC31" s="59">
        <f>ROUND(IF(AQ31="1",BI31,0),2)</f>
        <v>0</v>
      </c>
      <c r="AD31" s="59">
        <f>ROUND(IF(AQ31="7",BH31,0),2)</f>
        <v>0</v>
      </c>
      <c r="AE31" s="59">
        <f>ROUND(IF(AQ31="7",BI31,0),2)</f>
        <v>0</v>
      </c>
      <c r="AF31" s="59">
        <f>ROUND(IF(AQ31="2",BH31,0),2)</f>
        <v>0</v>
      </c>
      <c r="AG31" s="59">
        <f>ROUND(IF(AQ31="2",BI31,0),2)</f>
        <v>0</v>
      </c>
      <c r="AH31" s="59">
        <f>ROUND(IF(AQ31="0",BJ31,0),2)</f>
        <v>0</v>
      </c>
      <c r="AI31" s="46" t="s">
        <v>514</v>
      </c>
      <c r="AJ31" s="59">
        <f>IF(AN31=0,I31,0)</f>
        <v>0</v>
      </c>
      <c r="AK31" s="59">
        <f>IF(AN31=12,I31,0)</f>
        <v>0</v>
      </c>
      <c r="AL31" s="59">
        <f>IF(AN31=21,I31,0)</f>
        <v>0</v>
      </c>
      <c r="AN31" s="59">
        <v>12</v>
      </c>
      <c r="AO31" s="59">
        <f>H31*0.224526803</f>
        <v>0</v>
      </c>
      <c r="AP31" s="59">
        <f>H31*(1-0.224526803)</f>
        <v>0</v>
      </c>
      <c r="AQ31" s="61" t="s">
        <v>111</v>
      </c>
      <c r="AV31" s="59">
        <f>ROUND(AW31+AX31,2)</f>
        <v>0</v>
      </c>
      <c r="AW31" s="59">
        <f>ROUND(G31*AO31,2)</f>
        <v>0</v>
      </c>
      <c r="AX31" s="59">
        <f>ROUND(G31*AP31,2)</f>
        <v>0</v>
      </c>
      <c r="AY31" s="61" t="s">
        <v>148</v>
      </c>
      <c r="AZ31" s="61" t="s">
        <v>516</v>
      </c>
      <c r="BA31" s="46" t="s">
        <v>517</v>
      </c>
      <c r="BC31" s="59">
        <f>AW31+AX31</f>
        <v>0</v>
      </c>
      <c r="BD31" s="59">
        <f>H31/(100-BE31)*100</f>
        <v>0</v>
      </c>
      <c r="BE31" s="59">
        <v>0</v>
      </c>
      <c r="BF31" s="59">
        <f>L31</f>
        <v>0.11568039999999999</v>
      </c>
      <c r="BH31" s="59">
        <f>G31*AO31</f>
        <v>0</v>
      </c>
      <c r="BI31" s="59">
        <f>G31*AP31</f>
        <v>0</v>
      </c>
      <c r="BJ31" s="59">
        <f>G31*H31</f>
        <v>0</v>
      </c>
      <c r="BK31" s="59"/>
      <c r="BL31" s="59">
        <v>62</v>
      </c>
      <c r="BW31" s="59">
        <v>12</v>
      </c>
      <c r="BX31" s="16" t="s">
        <v>152</v>
      </c>
    </row>
    <row r="32" spans="1:76" ht="13.5" customHeight="1" x14ac:dyDescent="0.25">
      <c r="A32" s="62"/>
      <c r="D32" s="105" t="s">
        <v>153</v>
      </c>
      <c r="E32" s="105"/>
      <c r="F32" s="105"/>
      <c r="G32" s="105"/>
      <c r="H32" s="105"/>
      <c r="I32" s="105"/>
      <c r="J32" s="105"/>
      <c r="K32" s="105"/>
      <c r="L32" s="105"/>
      <c r="M32" s="105"/>
    </row>
    <row r="33" spans="1:76" x14ac:dyDescent="0.25">
      <c r="A33" s="62"/>
      <c r="D33" s="63" t="s">
        <v>120</v>
      </c>
      <c r="E33" s="63"/>
      <c r="G33" s="64">
        <v>26.84</v>
      </c>
      <c r="M33" s="65"/>
    </row>
    <row r="34" spans="1:76" ht="15" customHeight="1" x14ac:dyDescent="0.25">
      <c r="A34" s="58" t="s">
        <v>154</v>
      </c>
      <c r="B34" s="18" t="s">
        <v>514</v>
      </c>
      <c r="C34" s="18" t="s">
        <v>155</v>
      </c>
      <c r="D34" s="8" t="s">
        <v>156</v>
      </c>
      <c r="E34" s="8"/>
      <c r="F34" s="18" t="s">
        <v>114</v>
      </c>
      <c r="G34" s="59">
        <f>'Stavební rozpočet'!G549</f>
        <v>26.84</v>
      </c>
      <c r="H34" s="59">
        <f>'Stavební rozpočet'!H549</f>
        <v>0</v>
      </c>
      <c r="I34" s="59">
        <f>ROUND(G34*H34,2)</f>
        <v>0</v>
      </c>
      <c r="J34" s="59">
        <f>'Stavební rozpočet'!J549</f>
        <v>5.2999999999999998E-4</v>
      </c>
      <c r="K34" s="59">
        <f>'Stavební rozpočet'!K549</f>
        <v>5.2999999999999998E-4</v>
      </c>
      <c r="L34" s="59">
        <f>G34*K34</f>
        <v>1.4225199999999999E-2</v>
      </c>
      <c r="M34" s="60" t="s">
        <v>115</v>
      </c>
      <c r="Z34" s="59">
        <f>ROUND(IF(AQ34="5",BJ34,0),2)</f>
        <v>0</v>
      </c>
      <c r="AB34" s="59">
        <f>ROUND(IF(AQ34="1",BH34,0),2)</f>
        <v>0</v>
      </c>
      <c r="AC34" s="59">
        <f>ROUND(IF(AQ34="1",BI34,0),2)</f>
        <v>0</v>
      </c>
      <c r="AD34" s="59">
        <f>ROUND(IF(AQ34="7",BH34,0),2)</f>
        <v>0</v>
      </c>
      <c r="AE34" s="59">
        <f>ROUND(IF(AQ34="7",BI34,0),2)</f>
        <v>0</v>
      </c>
      <c r="AF34" s="59">
        <f>ROUND(IF(AQ34="2",BH34,0),2)</f>
        <v>0</v>
      </c>
      <c r="AG34" s="59">
        <f>ROUND(IF(AQ34="2",BI34,0),2)</f>
        <v>0</v>
      </c>
      <c r="AH34" s="59">
        <f>ROUND(IF(AQ34="0",BJ34,0),2)</f>
        <v>0</v>
      </c>
      <c r="AI34" s="46" t="s">
        <v>514</v>
      </c>
      <c r="AJ34" s="59">
        <f>IF(AN34=0,I34,0)</f>
        <v>0</v>
      </c>
      <c r="AK34" s="59">
        <f>IF(AN34=12,I34,0)</f>
        <v>0</v>
      </c>
      <c r="AL34" s="59">
        <f>IF(AN34=21,I34,0)</f>
        <v>0</v>
      </c>
      <c r="AN34" s="59">
        <v>12</v>
      </c>
      <c r="AO34" s="59">
        <f>H34*0.475328947</f>
        <v>0</v>
      </c>
      <c r="AP34" s="59">
        <f>H34*(1-0.475328947)</f>
        <v>0</v>
      </c>
      <c r="AQ34" s="61" t="s">
        <v>111</v>
      </c>
      <c r="AV34" s="59">
        <f>ROUND(AW34+AX34,2)</f>
        <v>0</v>
      </c>
      <c r="AW34" s="59">
        <f>ROUND(G34*AO34,2)</f>
        <v>0</v>
      </c>
      <c r="AX34" s="59">
        <f>ROUND(G34*AP34,2)</f>
        <v>0</v>
      </c>
      <c r="AY34" s="61" t="s">
        <v>148</v>
      </c>
      <c r="AZ34" s="61" t="s">
        <v>516</v>
      </c>
      <c r="BA34" s="46" t="s">
        <v>517</v>
      </c>
      <c r="BC34" s="59">
        <f>AW34+AX34</f>
        <v>0</v>
      </c>
      <c r="BD34" s="59">
        <f>H34/(100-BE34)*100</f>
        <v>0</v>
      </c>
      <c r="BE34" s="59">
        <v>0</v>
      </c>
      <c r="BF34" s="59">
        <f>L34</f>
        <v>1.4225199999999999E-2</v>
      </c>
      <c r="BH34" s="59">
        <f>G34*AO34</f>
        <v>0</v>
      </c>
      <c r="BI34" s="59">
        <f>G34*AP34</f>
        <v>0</v>
      </c>
      <c r="BJ34" s="59">
        <f>G34*H34</f>
        <v>0</v>
      </c>
      <c r="BK34" s="59"/>
      <c r="BL34" s="59">
        <v>62</v>
      </c>
      <c r="BW34" s="59">
        <v>12</v>
      </c>
      <c r="BX34" s="16" t="s">
        <v>156</v>
      </c>
    </row>
    <row r="35" spans="1:76" x14ac:dyDescent="0.25">
      <c r="A35" s="62"/>
      <c r="D35" s="63" t="s">
        <v>120</v>
      </c>
      <c r="E35" s="63"/>
      <c r="G35" s="64">
        <v>26.84</v>
      </c>
      <c r="M35" s="65"/>
    </row>
    <row r="36" spans="1:76" ht="15" customHeight="1" x14ac:dyDescent="0.25">
      <c r="A36" s="54"/>
      <c r="B36" s="55" t="s">
        <v>514</v>
      </c>
      <c r="C36" s="55" t="s">
        <v>356</v>
      </c>
      <c r="D36" s="104" t="s">
        <v>357</v>
      </c>
      <c r="E36" s="104"/>
      <c r="F36" s="56" t="s">
        <v>88</v>
      </c>
      <c r="G36" s="56" t="s">
        <v>88</v>
      </c>
      <c r="H36" s="56" t="s">
        <v>88</v>
      </c>
      <c r="I36" s="39">
        <f>SUM(I37:I43)</f>
        <v>0</v>
      </c>
      <c r="J36" s="46"/>
      <c r="K36" s="46"/>
      <c r="L36" s="39">
        <f>SUM(L37:L43)</f>
        <v>2.5745817999999998</v>
      </c>
      <c r="M36" s="57"/>
      <c r="AI36" s="46" t="s">
        <v>514</v>
      </c>
      <c r="AS36" s="39">
        <f>SUM(AJ37:AJ43)</f>
        <v>0</v>
      </c>
      <c r="AT36" s="39">
        <f>SUM(AK37:AK43)</f>
        <v>0</v>
      </c>
      <c r="AU36" s="39">
        <f>SUM(AL37:AL43)</f>
        <v>0</v>
      </c>
    </row>
    <row r="37" spans="1:76" ht="15" customHeight="1" x14ac:dyDescent="0.25">
      <c r="A37" s="58" t="s">
        <v>159</v>
      </c>
      <c r="B37" s="18" t="s">
        <v>514</v>
      </c>
      <c r="C37" s="18" t="s">
        <v>358</v>
      </c>
      <c r="D37" s="8" t="s">
        <v>359</v>
      </c>
      <c r="E37" s="8"/>
      <c r="F37" s="18" t="s">
        <v>360</v>
      </c>
      <c r="G37" s="59">
        <f>'Stavební rozpočet'!G552</f>
        <v>1.115</v>
      </c>
      <c r="H37" s="59">
        <f>'Stavební rozpočet'!H552</f>
        <v>0</v>
      </c>
      <c r="I37" s="59">
        <f>ROUND(G37*H37,2)</f>
        <v>0</v>
      </c>
      <c r="J37" s="59">
        <f>'Stavební rozpočet'!J552</f>
        <v>1.919</v>
      </c>
      <c r="K37" s="59">
        <f>'Stavební rozpočet'!K552</f>
        <v>1.919</v>
      </c>
      <c r="L37" s="59">
        <f>G37*K37</f>
        <v>2.1396850000000001</v>
      </c>
      <c r="M37" s="60" t="s">
        <v>115</v>
      </c>
      <c r="Z37" s="59">
        <f>ROUND(IF(AQ37="5",BJ37,0),2)</f>
        <v>0</v>
      </c>
      <c r="AB37" s="59">
        <f>ROUND(IF(AQ37="1",BH37,0),2)</f>
        <v>0</v>
      </c>
      <c r="AC37" s="59">
        <f>ROUND(IF(AQ37="1",BI37,0),2)</f>
        <v>0</v>
      </c>
      <c r="AD37" s="59">
        <f>ROUND(IF(AQ37="7",BH37,0),2)</f>
        <v>0</v>
      </c>
      <c r="AE37" s="59">
        <f>ROUND(IF(AQ37="7",BI37,0),2)</f>
        <v>0</v>
      </c>
      <c r="AF37" s="59">
        <f>ROUND(IF(AQ37="2",BH37,0),2)</f>
        <v>0</v>
      </c>
      <c r="AG37" s="59">
        <f>ROUND(IF(AQ37="2",BI37,0),2)</f>
        <v>0</v>
      </c>
      <c r="AH37" s="59">
        <f>ROUND(IF(AQ37="0",BJ37,0),2)</f>
        <v>0</v>
      </c>
      <c r="AI37" s="46" t="s">
        <v>514</v>
      </c>
      <c r="AJ37" s="59">
        <f>IF(AN37=0,I37,0)</f>
        <v>0</v>
      </c>
      <c r="AK37" s="59">
        <f>IF(AN37=12,I37,0)</f>
        <v>0</v>
      </c>
      <c r="AL37" s="59">
        <f>IF(AN37=21,I37,0)</f>
        <v>0</v>
      </c>
      <c r="AN37" s="59">
        <v>12</v>
      </c>
      <c r="AO37" s="59">
        <f>H37*0.822201844</f>
        <v>0</v>
      </c>
      <c r="AP37" s="59">
        <f>H37*(1-0.822201844)</f>
        <v>0</v>
      </c>
      <c r="AQ37" s="61" t="s">
        <v>111</v>
      </c>
      <c r="AV37" s="59">
        <f>ROUND(AW37+AX37,2)</f>
        <v>0</v>
      </c>
      <c r="AW37" s="59">
        <f>ROUND(G37*AO37,2)</f>
        <v>0</v>
      </c>
      <c r="AX37" s="59">
        <f>ROUND(G37*AP37,2)</f>
        <v>0</v>
      </c>
      <c r="AY37" s="61" t="s">
        <v>361</v>
      </c>
      <c r="AZ37" s="61" t="s">
        <v>516</v>
      </c>
      <c r="BA37" s="46" t="s">
        <v>517</v>
      </c>
      <c r="BC37" s="59">
        <f>AW37+AX37</f>
        <v>0</v>
      </c>
      <c r="BD37" s="59">
        <f>H37/(100-BE37)*100</f>
        <v>0</v>
      </c>
      <c r="BE37" s="59">
        <v>0</v>
      </c>
      <c r="BF37" s="59">
        <f>L37</f>
        <v>2.1396850000000001</v>
      </c>
      <c r="BH37" s="59">
        <f>G37*AO37</f>
        <v>0</v>
      </c>
      <c r="BI37" s="59">
        <f>G37*AP37</f>
        <v>0</v>
      </c>
      <c r="BJ37" s="59">
        <f>G37*H37</f>
        <v>0</v>
      </c>
      <c r="BK37" s="59"/>
      <c r="BL37" s="59">
        <v>63</v>
      </c>
      <c r="BW37" s="59">
        <v>12</v>
      </c>
      <c r="BX37" s="16" t="s">
        <v>359</v>
      </c>
    </row>
    <row r="38" spans="1:76" x14ac:dyDescent="0.25">
      <c r="A38" s="62"/>
      <c r="D38" s="63" t="s">
        <v>362</v>
      </c>
      <c r="E38" s="63"/>
      <c r="G38" s="64">
        <v>1.115</v>
      </c>
      <c r="M38" s="65"/>
    </row>
    <row r="39" spans="1:76" ht="15" customHeight="1" x14ac:dyDescent="0.25">
      <c r="A39" s="58" t="s">
        <v>167</v>
      </c>
      <c r="B39" s="18" t="s">
        <v>514</v>
      </c>
      <c r="C39" s="18" t="s">
        <v>363</v>
      </c>
      <c r="D39" s="8" t="s">
        <v>364</v>
      </c>
      <c r="E39" s="8"/>
      <c r="F39" s="18" t="s">
        <v>114</v>
      </c>
      <c r="G39" s="59">
        <f>'Stavební rozpočet'!G554</f>
        <v>22.3</v>
      </c>
      <c r="H39" s="59">
        <f>'Stavební rozpočet'!H554</f>
        <v>0</v>
      </c>
      <c r="I39" s="59">
        <f>ROUND(G39*H39,2)</f>
        <v>0</v>
      </c>
      <c r="J39" s="59">
        <f>'Stavební rozpočet'!J554</f>
        <v>1.5959999999999998E-2</v>
      </c>
      <c r="K39" s="59">
        <f>'Stavební rozpočet'!K554</f>
        <v>1.5959999999999998E-2</v>
      </c>
      <c r="L39" s="59">
        <f>G39*K39</f>
        <v>0.355908</v>
      </c>
      <c r="M39" s="60" t="s">
        <v>115</v>
      </c>
      <c r="Z39" s="59">
        <f>ROUND(IF(AQ39="5",BJ39,0),2)</f>
        <v>0</v>
      </c>
      <c r="AB39" s="59">
        <f>ROUND(IF(AQ39="1",BH39,0),2)</f>
        <v>0</v>
      </c>
      <c r="AC39" s="59">
        <f>ROUND(IF(AQ39="1",BI39,0),2)</f>
        <v>0</v>
      </c>
      <c r="AD39" s="59">
        <f>ROUND(IF(AQ39="7",BH39,0),2)</f>
        <v>0</v>
      </c>
      <c r="AE39" s="59">
        <f>ROUND(IF(AQ39="7",BI39,0),2)</f>
        <v>0</v>
      </c>
      <c r="AF39" s="59">
        <f>ROUND(IF(AQ39="2",BH39,0),2)</f>
        <v>0</v>
      </c>
      <c r="AG39" s="59">
        <f>ROUND(IF(AQ39="2",BI39,0),2)</f>
        <v>0</v>
      </c>
      <c r="AH39" s="59">
        <f>ROUND(IF(AQ39="0",BJ39,0),2)</f>
        <v>0</v>
      </c>
      <c r="AI39" s="46" t="s">
        <v>514</v>
      </c>
      <c r="AJ39" s="59">
        <f>IF(AN39=0,I39,0)</f>
        <v>0</v>
      </c>
      <c r="AK39" s="59">
        <f>IF(AN39=12,I39,0)</f>
        <v>0</v>
      </c>
      <c r="AL39" s="59">
        <f>IF(AN39=21,I39,0)</f>
        <v>0</v>
      </c>
      <c r="AN39" s="59">
        <v>12</v>
      </c>
      <c r="AO39" s="59">
        <f>H39*0.665801611</f>
        <v>0</v>
      </c>
      <c r="AP39" s="59">
        <f>H39*(1-0.665801611)</f>
        <v>0</v>
      </c>
      <c r="AQ39" s="61" t="s">
        <v>111</v>
      </c>
      <c r="AV39" s="59">
        <f>ROUND(AW39+AX39,2)</f>
        <v>0</v>
      </c>
      <c r="AW39" s="59">
        <f>ROUND(G39*AO39,2)</f>
        <v>0</v>
      </c>
      <c r="AX39" s="59">
        <f>ROUND(G39*AP39,2)</f>
        <v>0</v>
      </c>
      <c r="AY39" s="61" t="s">
        <v>361</v>
      </c>
      <c r="AZ39" s="61" t="s">
        <v>516</v>
      </c>
      <c r="BA39" s="46" t="s">
        <v>517</v>
      </c>
      <c r="BC39" s="59">
        <f>AW39+AX39</f>
        <v>0</v>
      </c>
      <c r="BD39" s="59">
        <f>H39/(100-BE39)*100</f>
        <v>0</v>
      </c>
      <c r="BE39" s="59">
        <v>0</v>
      </c>
      <c r="BF39" s="59">
        <f>L39</f>
        <v>0.355908</v>
      </c>
      <c r="BH39" s="59">
        <f>G39*AO39</f>
        <v>0</v>
      </c>
      <c r="BI39" s="59">
        <f>G39*AP39</f>
        <v>0</v>
      </c>
      <c r="BJ39" s="59">
        <f>G39*H39</f>
        <v>0</v>
      </c>
      <c r="BK39" s="59"/>
      <c r="BL39" s="59">
        <v>63</v>
      </c>
      <c r="BW39" s="59">
        <v>12</v>
      </c>
      <c r="BX39" s="16" t="s">
        <v>364</v>
      </c>
    </row>
    <row r="40" spans="1:76" x14ac:dyDescent="0.25">
      <c r="A40" s="62"/>
      <c r="D40" s="63" t="s">
        <v>365</v>
      </c>
      <c r="E40" s="63"/>
      <c r="G40" s="64">
        <v>22.3</v>
      </c>
      <c r="M40" s="65"/>
    </row>
    <row r="41" spans="1:76" ht="15" customHeight="1" x14ac:dyDescent="0.25">
      <c r="A41" s="58" t="s">
        <v>172</v>
      </c>
      <c r="B41" s="18" t="s">
        <v>514</v>
      </c>
      <c r="C41" s="18" t="s">
        <v>366</v>
      </c>
      <c r="D41" s="8" t="s">
        <v>367</v>
      </c>
      <c r="E41" s="8"/>
      <c r="F41" s="18" t="s">
        <v>114</v>
      </c>
      <c r="G41" s="59">
        <f>'Stavební rozpočet'!G556</f>
        <v>5.61</v>
      </c>
      <c r="H41" s="59">
        <f>'Stavební rozpočet'!H556</f>
        <v>0</v>
      </c>
      <c r="I41" s="59">
        <f>ROUND(G41*H41,2)</f>
        <v>0</v>
      </c>
      <c r="J41" s="59">
        <f>'Stavební rozpočet'!J556</f>
        <v>1.4080000000000001E-2</v>
      </c>
      <c r="K41" s="59">
        <f>'Stavební rozpočet'!K556</f>
        <v>1.4080000000000001E-2</v>
      </c>
      <c r="L41" s="59">
        <f>G41*K41</f>
        <v>7.8988800000000012E-2</v>
      </c>
      <c r="M41" s="60" t="s">
        <v>115</v>
      </c>
      <c r="Z41" s="59">
        <f>ROUND(IF(AQ41="5",BJ41,0),2)</f>
        <v>0</v>
      </c>
      <c r="AB41" s="59">
        <f>ROUND(IF(AQ41="1",BH41,0),2)</f>
        <v>0</v>
      </c>
      <c r="AC41" s="59">
        <f>ROUND(IF(AQ41="1",BI41,0),2)</f>
        <v>0</v>
      </c>
      <c r="AD41" s="59">
        <f>ROUND(IF(AQ41="7",BH41,0),2)</f>
        <v>0</v>
      </c>
      <c r="AE41" s="59">
        <f>ROUND(IF(AQ41="7",BI41,0),2)</f>
        <v>0</v>
      </c>
      <c r="AF41" s="59">
        <f>ROUND(IF(AQ41="2",BH41,0),2)</f>
        <v>0</v>
      </c>
      <c r="AG41" s="59">
        <f>ROUND(IF(AQ41="2",BI41,0),2)</f>
        <v>0</v>
      </c>
      <c r="AH41" s="59">
        <f>ROUND(IF(AQ41="0",BJ41,0),2)</f>
        <v>0</v>
      </c>
      <c r="AI41" s="46" t="s">
        <v>514</v>
      </c>
      <c r="AJ41" s="59">
        <f>IF(AN41=0,I41,0)</f>
        <v>0</v>
      </c>
      <c r="AK41" s="59">
        <f>IF(AN41=12,I41,0)</f>
        <v>0</v>
      </c>
      <c r="AL41" s="59">
        <f>IF(AN41=21,I41,0)</f>
        <v>0</v>
      </c>
      <c r="AN41" s="59">
        <v>12</v>
      </c>
      <c r="AO41" s="59">
        <f>H41*0.434931647</f>
        <v>0</v>
      </c>
      <c r="AP41" s="59">
        <f>H41*(1-0.434931647)</f>
        <v>0</v>
      </c>
      <c r="AQ41" s="61" t="s">
        <v>111</v>
      </c>
      <c r="AV41" s="59">
        <f>ROUND(AW41+AX41,2)</f>
        <v>0</v>
      </c>
      <c r="AW41" s="59">
        <f>ROUND(G41*AO41,2)</f>
        <v>0</v>
      </c>
      <c r="AX41" s="59">
        <f>ROUND(G41*AP41,2)</f>
        <v>0</v>
      </c>
      <c r="AY41" s="61" t="s">
        <v>361</v>
      </c>
      <c r="AZ41" s="61" t="s">
        <v>516</v>
      </c>
      <c r="BA41" s="46" t="s">
        <v>517</v>
      </c>
      <c r="BC41" s="59">
        <f>AW41+AX41</f>
        <v>0</v>
      </c>
      <c r="BD41" s="59">
        <f>H41/(100-BE41)*100</f>
        <v>0</v>
      </c>
      <c r="BE41" s="59">
        <v>0</v>
      </c>
      <c r="BF41" s="59">
        <f>L41</f>
        <v>7.8988800000000012E-2</v>
      </c>
      <c r="BH41" s="59">
        <f>G41*AO41</f>
        <v>0</v>
      </c>
      <c r="BI41" s="59">
        <f>G41*AP41</f>
        <v>0</v>
      </c>
      <c r="BJ41" s="59">
        <f>G41*H41</f>
        <v>0</v>
      </c>
      <c r="BK41" s="59"/>
      <c r="BL41" s="59">
        <v>63</v>
      </c>
      <c r="BW41" s="59">
        <v>12</v>
      </c>
      <c r="BX41" s="16" t="s">
        <v>367</v>
      </c>
    </row>
    <row r="42" spans="1:76" x14ac:dyDescent="0.25">
      <c r="A42" s="62"/>
      <c r="D42" s="63" t="s">
        <v>368</v>
      </c>
      <c r="E42" s="63"/>
      <c r="G42" s="64">
        <v>5.61</v>
      </c>
      <c r="M42" s="65"/>
    </row>
    <row r="43" spans="1:76" ht="15" customHeight="1" x14ac:dyDescent="0.25">
      <c r="A43" s="58" t="s">
        <v>176</v>
      </c>
      <c r="B43" s="18" t="s">
        <v>514</v>
      </c>
      <c r="C43" s="18" t="s">
        <v>369</v>
      </c>
      <c r="D43" s="8" t="s">
        <v>370</v>
      </c>
      <c r="E43" s="8"/>
      <c r="F43" s="18" t="s">
        <v>114</v>
      </c>
      <c r="G43" s="59">
        <f>'Stavební rozpočet'!G558</f>
        <v>5.61</v>
      </c>
      <c r="H43" s="59">
        <f>'Stavební rozpočet'!H558</f>
        <v>0</v>
      </c>
      <c r="I43" s="59">
        <f>ROUND(G43*H43,2)</f>
        <v>0</v>
      </c>
      <c r="J43" s="59">
        <f>'Stavební rozpočet'!J558</f>
        <v>0</v>
      </c>
      <c r="K43" s="59">
        <f>'Stavební rozpočet'!K558</f>
        <v>0</v>
      </c>
      <c r="L43" s="59">
        <f>G43*K43</f>
        <v>0</v>
      </c>
      <c r="M43" s="60" t="s">
        <v>115</v>
      </c>
      <c r="Z43" s="59">
        <f>ROUND(IF(AQ43="5",BJ43,0),2)</f>
        <v>0</v>
      </c>
      <c r="AB43" s="59">
        <f>ROUND(IF(AQ43="1",BH43,0),2)</f>
        <v>0</v>
      </c>
      <c r="AC43" s="59">
        <f>ROUND(IF(AQ43="1",BI43,0),2)</f>
        <v>0</v>
      </c>
      <c r="AD43" s="59">
        <f>ROUND(IF(AQ43="7",BH43,0),2)</f>
        <v>0</v>
      </c>
      <c r="AE43" s="59">
        <f>ROUND(IF(AQ43="7",BI43,0),2)</f>
        <v>0</v>
      </c>
      <c r="AF43" s="59">
        <f>ROUND(IF(AQ43="2",BH43,0),2)</f>
        <v>0</v>
      </c>
      <c r="AG43" s="59">
        <f>ROUND(IF(AQ43="2",BI43,0),2)</f>
        <v>0</v>
      </c>
      <c r="AH43" s="59">
        <f>ROUND(IF(AQ43="0",BJ43,0),2)</f>
        <v>0</v>
      </c>
      <c r="AI43" s="46" t="s">
        <v>514</v>
      </c>
      <c r="AJ43" s="59">
        <f>IF(AN43=0,I43,0)</f>
        <v>0</v>
      </c>
      <c r="AK43" s="59">
        <f>IF(AN43=12,I43,0)</f>
        <v>0</v>
      </c>
      <c r="AL43" s="59">
        <f>IF(AN43=21,I43,0)</f>
        <v>0</v>
      </c>
      <c r="AN43" s="59">
        <v>12</v>
      </c>
      <c r="AO43" s="59">
        <f>H43*0</f>
        <v>0</v>
      </c>
      <c r="AP43" s="59">
        <f>H43*(1-0)</f>
        <v>0</v>
      </c>
      <c r="AQ43" s="61" t="s">
        <v>111</v>
      </c>
      <c r="AV43" s="59">
        <f>ROUND(AW43+AX43,2)</f>
        <v>0</v>
      </c>
      <c r="AW43" s="59">
        <f>ROUND(G43*AO43,2)</f>
        <v>0</v>
      </c>
      <c r="AX43" s="59">
        <f>ROUND(G43*AP43,2)</f>
        <v>0</v>
      </c>
      <c r="AY43" s="61" t="s">
        <v>361</v>
      </c>
      <c r="AZ43" s="61" t="s">
        <v>516</v>
      </c>
      <c r="BA43" s="46" t="s">
        <v>517</v>
      </c>
      <c r="BC43" s="59">
        <f>AW43+AX43</f>
        <v>0</v>
      </c>
      <c r="BD43" s="59">
        <f>H43/(100-BE43)*100</f>
        <v>0</v>
      </c>
      <c r="BE43" s="59">
        <v>0</v>
      </c>
      <c r="BF43" s="59">
        <f>L43</f>
        <v>0</v>
      </c>
      <c r="BH43" s="59">
        <f>G43*AO43</f>
        <v>0</v>
      </c>
      <c r="BI43" s="59">
        <f>G43*AP43</f>
        <v>0</v>
      </c>
      <c r="BJ43" s="59">
        <f>G43*H43</f>
        <v>0</v>
      </c>
      <c r="BK43" s="59"/>
      <c r="BL43" s="59">
        <v>63</v>
      </c>
      <c r="BW43" s="59">
        <v>12</v>
      </c>
      <c r="BX43" s="16" t="s">
        <v>370</v>
      </c>
    </row>
    <row r="44" spans="1:76" x14ac:dyDescent="0.25">
      <c r="A44" s="62"/>
      <c r="D44" s="63" t="s">
        <v>371</v>
      </c>
      <c r="E44" s="63"/>
      <c r="G44" s="64">
        <v>5.61</v>
      </c>
      <c r="M44" s="65"/>
    </row>
    <row r="45" spans="1:76" ht="15" customHeight="1" x14ac:dyDescent="0.25">
      <c r="A45" s="54"/>
      <c r="B45" s="55" t="s">
        <v>514</v>
      </c>
      <c r="C45" s="55" t="s">
        <v>157</v>
      </c>
      <c r="D45" s="104" t="s">
        <v>158</v>
      </c>
      <c r="E45" s="104"/>
      <c r="F45" s="56" t="s">
        <v>88</v>
      </c>
      <c r="G45" s="56" t="s">
        <v>88</v>
      </c>
      <c r="H45" s="56" t="s">
        <v>88</v>
      </c>
      <c r="I45" s="39">
        <f>SUM(I46)</f>
        <v>0</v>
      </c>
      <c r="J45" s="46"/>
      <c r="K45" s="46"/>
      <c r="L45" s="39">
        <f>SUM(L46)</f>
        <v>0.15338399999999999</v>
      </c>
      <c r="M45" s="57"/>
      <c r="AI45" s="46" t="s">
        <v>514</v>
      </c>
      <c r="AS45" s="39">
        <f>SUM(AJ46)</f>
        <v>0</v>
      </c>
      <c r="AT45" s="39">
        <f>SUM(AK46)</f>
        <v>0</v>
      </c>
      <c r="AU45" s="39">
        <f>SUM(AL46)</f>
        <v>0</v>
      </c>
    </row>
    <row r="46" spans="1:76" ht="15" customHeight="1" x14ac:dyDescent="0.25">
      <c r="A46" s="58" t="s">
        <v>183</v>
      </c>
      <c r="B46" s="18" t="s">
        <v>514</v>
      </c>
      <c r="C46" s="18" t="s">
        <v>160</v>
      </c>
      <c r="D46" s="8" t="s">
        <v>161</v>
      </c>
      <c r="E46" s="8"/>
      <c r="F46" s="18" t="s">
        <v>140</v>
      </c>
      <c r="G46" s="59">
        <f>'Stavební rozpočet'!G561</f>
        <v>24.9</v>
      </c>
      <c r="H46" s="59">
        <f>'Stavební rozpočet'!H561</f>
        <v>0</v>
      </c>
      <c r="I46" s="59">
        <f>ROUND(G46*H46,2)</f>
        <v>0</v>
      </c>
      <c r="J46" s="59">
        <f>'Stavební rozpočet'!J561</f>
        <v>6.1599999999999997E-3</v>
      </c>
      <c r="K46" s="59">
        <f>'Stavební rozpočet'!K561</f>
        <v>6.1599999999999997E-3</v>
      </c>
      <c r="L46" s="59">
        <f>G46*K46</f>
        <v>0.15338399999999999</v>
      </c>
      <c r="M46" s="60" t="s">
        <v>115</v>
      </c>
      <c r="Z46" s="59">
        <f>ROUND(IF(AQ46="5",BJ46,0),2)</f>
        <v>0</v>
      </c>
      <c r="AB46" s="59">
        <f>ROUND(IF(AQ46="1",BH46,0),2)</f>
        <v>0</v>
      </c>
      <c r="AC46" s="59">
        <f>ROUND(IF(AQ46="1",BI46,0),2)</f>
        <v>0</v>
      </c>
      <c r="AD46" s="59">
        <f>ROUND(IF(AQ46="7",BH46,0),2)</f>
        <v>0</v>
      </c>
      <c r="AE46" s="59">
        <f>ROUND(IF(AQ46="7",BI46,0),2)</f>
        <v>0</v>
      </c>
      <c r="AF46" s="59">
        <f>ROUND(IF(AQ46="2",BH46,0),2)</f>
        <v>0</v>
      </c>
      <c r="AG46" s="59">
        <f>ROUND(IF(AQ46="2",BI46,0),2)</f>
        <v>0</v>
      </c>
      <c r="AH46" s="59">
        <f>ROUND(IF(AQ46="0",BJ46,0),2)</f>
        <v>0</v>
      </c>
      <c r="AI46" s="46" t="s">
        <v>514</v>
      </c>
      <c r="AJ46" s="59">
        <f>IF(AN46=0,I46,0)</f>
        <v>0</v>
      </c>
      <c r="AK46" s="59">
        <f>IF(AN46=12,I46,0)</f>
        <v>0</v>
      </c>
      <c r="AL46" s="59">
        <f>IF(AN46=21,I46,0)</f>
        <v>0</v>
      </c>
      <c r="AN46" s="59">
        <v>12</v>
      </c>
      <c r="AO46" s="59">
        <f>H46*0.526177858</f>
        <v>0</v>
      </c>
      <c r="AP46" s="59">
        <f>H46*(1-0.526177858)</f>
        <v>0</v>
      </c>
      <c r="AQ46" s="61" t="s">
        <v>111</v>
      </c>
      <c r="AV46" s="59">
        <f>ROUND(AW46+AX46,2)</f>
        <v>0</v>
      </c>
      <c r="AW46" s="59">
        <f>ROUND(G46*AO46,2)</f>
        <v>0</v>
      </c>
      <c r="AX46" s="59">
        <f>ROUND(G46*AP46,2)</f>
        <v>0</v>
      </c>
      <c r="AY46" s="61" t="s">
        <v>162</v>
      </c>
      <c r="AZ46" s="61" t="s">
        <v>516</v>
      </c>
      <c r="BA46" s="46" t="s">
        <v>517</v>
      </c>
      <c r="BC46" s="59">
        <f>AW46+AX46</f>
        <v>0</v>
      </c>
      <c r="BD46" s="59">
        <f>H46/(100-BE46)*100</f>
        <v>0</v>
      </c>
      <c r="BE46" s="59">
        <v>0</v>
      </c>
      <c r="BF46" s="59">
        <f>L46</f>
        <v>0.15338399999999999</v>
      </c>
      <c r="BH46" s="59">
        <f>G46*AO46</f>
        <v>0</v>
      </c>
      <c r="BI46" s="59">
        <f>G46*AP46</f>
        <v>0</v>
      </c>
      <c r="BJ46" s="59">
        <f>G46*H46</f>
        <v>0</v>
      </c>
      <c r="BK46" s="59"/>
      <c r="BL46" s="59">
        <v>64</v>
      </c>
      <c r="BW46" s="59">
        <v>12</v>
      </c>
      <c r="BX46" s="16" t="s">
        <v>161</v>
      </c>
    </row>
    <row r="47" spans="1:76" ht="13.5" customHeight="1" x14ac:dyDescent="0.25">
      <c r="A47" s="62"/>
      <c r="D47" s="105" t="s">
        <v>163</v>
      </c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76" x14ac:dyDescent="0.25">
      <c r="A48" s="62"/>
      <c r="D48" s="63" t="s">
        <v>372</v>
      </c>
      <c r="E48" s="63"/>
      <c r="G48" s="64">
        <v>24.9</v>
      </c>
      <c r="M48" s="65"/>
    </row>
    <row r="49" spans="1:76" ht="15" customHeight="1" x14ac:dyDescent="0.25">
      <c r="A49" s="54"/>
      <c r="B49" s="55" t="s">
        <v>514</v>
      </c>
      <c r="C49" s="55" t="s">
        <v>373</v>
      </c>
      <c r="D49" s="104" t="s">
        <v>374</v>
      </c>
      <c r="E49" s="104"/>
      <c r="F49" s="56" t="s">
        <v>88</v>
      </c>
      <c r="G49" s="56" t="s">
        <v>88</v>
      </c>
      <c r="H49" s="56" t="s">
        <v>88</v>
      </c>
      <c r="I49" s="39">
        <f>SUM(I50:I54)</f>
        <v>0</v>
      </c>
      <c r="J49" s="46"/>
      <c r="K49" s="46"/>
      <c r="L49" s="39">
        <f>SUM(L50:L54)</f>
        <v>0.31602040000000003</v>
      </c>
      <c r="M49" s="57"/>
      <c r="AI49" s="46" t="s">
        <v>514</v>
      </c>
      <c r="AS49" s="39">
        <f>SUM(AJ50:AJ54)</f>
        <v>0</v>
      </c>
      <c r="AT49" s="39">
        <f>SUM(AK50:AK54)</f>
        <v>0</v>
      </c>
      <c r="AU49" s="39">
        <f>SUM(AL50:AL54)</f>
        <v>0</v>
      </c>
    </row>
    <row r="50" spans="1:76" ht="15" customHeight="1" x14ac:dyDescent="0.25">
      <c r="A50" s="58" t="s">
        <v>190</v>
      </c>
      <c r="B50" s="18" t="s">
        <v>514</v>
      </c>
      <c r="C50" s="18" t="s">
        <v>375</v>
      </c>
      <c r="D50" s="8" t="s">
        <v>376</v>
      </c>
      <c r="E50" s="8"/>
      <c r="F50" s="18" t="s">
        <v>114</v>
      </c>
      <c r="G50" s="59">
        <f>'Stavební rozpočet'!G564</f>
        <v>22.3</v>
      </c>
      <c r="H50" s="59">
        <f>'Stavební rozpočet'!H564</f>
        <v>0</v>
      </c>
      <c r="I50" s="59">
        <f>ROUND(G50*H50,2)</f>
        <v>0</v>
      </c>
      <c r="J50" s="59">
        <f>'Stavební rozpočet'!J564</f>
        <v>0</v>
      </c>
      <c r="K50" s="59">
        <f>'Stavební rozpočet'!K564</f>
        <v>9.7400000000000004E-3</v>
      </c>
      <c r="L50" s="59">
        <f>G50*K50</f>
        <v>0.21720200000000001</v>
      </c>
      <c r="M50" s="60" t="s">
        <v>115</v>
      </c>
      <c r="Z50" s="59">
        <f>ROUND(IF(AQ50="5",BJ50,0),2)</f>
        <v>0</v>
      </c>
      <c r="AB50" s="59">
        <f>ROUND(IF(AQ50="1",BH50,0),2)</f>
        <v>0</v>
      </c>
      <c r="AC50" s="59">
        <f>ROUND(IF(AQ50="1",BI50,0),2)</f>
        <v>0</v>
      </c>
      <c r="AD50" s="59">
        <f>ROUND(IF(AQ50="7",BH50,0),2)</f>
        <v>0</v>
      </c>
      <c r="AE50" s="59">
        <f>ROUND(IF(AQ50="7",BI50,0),2)</f>
        <v>0</v>
      </c>
      <c r="AF50" s="59">
        <f>ROUND(IF(AQ50="2",BH50,0),2)</f>
        <v>0</v>
      </c>
      <c r="AG50" s="59">
        <f>ROUND(IF(AQ50="2",BI50,0),2)</f>
        <v>0</v>
      </c>
      <c r="AH50" s="59">
        <f>ROUND(IF(AQ50="0",BJ50,0),2)</f>
        <v>0</v>
      </c>
      <c r="AI50" s="46" t="s">
        <v>514</v>
      </c>
      <c r="AJ50" s="59">
        <f>IF(AN50=0,I50,0)</f>
        <v>0</v>
      </c>
      <c r="AK50" s="59">
        <f>IF(AN50=12,I50,0)</f>
        <v>0</v>
      </c>
      <c r="AL50" s="59">
        <f>IF(AN50=21,I50,0)</f>
        <v>0</v>
      </c>
      <c r="AN50" s="59">
        <v>12</v>
      </c>
      <c r="AO50" s="59">
        <f>H50*0</f>
        <v>0</v>
      </c>
      <c r="AP50" s="59">
        <f>H50*(1-0)</f>
        <v>0</v>
      </c>
      <c r="AQ50" s="61" t="s">
        <v>150</v>
      </c>
      <c r="AV50" s="59">
        <f>ROUND(AW50+AX50,2)</f>
        <v>0</v>
      </c>
      <c r="AW50" s="59">
        <f>ROUND(G50*AO50,2)</f>
        <v>0</v>
      </c>
      <c r="AX50" s="59">
        <f>ROUND(G50*AP50,2)</f>
        <v>0</v>
      </c>
      <c r="AY50" s="61" t="s">
        <v>377</v>
      </c>
      <c r="AZ50" s="61" t="s">
        <v>518</v>
      </c>
      <c r="BA50" s="46" t="s">
        <v>517</v>
      </c>
      <c r="BC50" s="59">
        <f>AW50+AX50</f>
        <v>0</v>
      </c>
      <c r="BD50" s="59">
        <f>H50/(100-BE50)*100</f>
        <v>0</v>
      </c>
      <c r="BE50" s="59">
        <v>0</v>
      </c>
      <c r="BF50" s="59">
        <f>L50</f>
        <v>0.21720200000000001</v>
      </c>
      <c r="BH50" s="59">
        <f>G50*AO50</f>
        <v>0</v>
      </c>
      <c r="BI50" s="59">
        <f>G50*AP50</f>
        <v>0</v>
      </c>
      <c r="BJ50" s="59">
        <f>G50*H50</f>
        <v>0</v>
      </c>
      <c r="BK50" s="59"/>
      <c r="BL50" s="59">
        <v>711</v>
      </c>
      <c r="BW50" s="59">
        <v>12</v>
      </c>
      <c r="BX50" s="16" t="s">
        <v>376</v>
      </c>
    </row>
    <row r="51" spans="1:76" x14ac:dyDescent="0.25">
      <c r="A51" s="62"/>
      <c r="D51" s="63" t="s">
        <v>379</v>
      </c>
      <c r="E51" s="63"/>
      <c r="G51" s="64">
        <v>22.3</v>
      </c>
      <c r="M51" s="65"/>
    </row>
    <row r="52" spans="1:76" ht="15" customHeight="1" x14ac:dyDescent="0.25">
      <c r="A52" s="58" t="s">
        <v>201</v>
      </c>
      <c r="B52" s="18" t="s">
        <v>514</v>
      </c>
      <c r="C52" s="18" t="s">
        <v>380</v>
      </c>
      <c r="D52" s="8" t="s">
        <v>381</v>
      </c>
      <c r="E52" s="8"/>
      <c r="F52" s="18" t="s">
        <v>114</v>
      </c>
      <c r="G52" s="59">
        <f>'Stavební rozpočet'!G566</f>
        <v>24.37</v>
      </c>
      <c r="H52" s="59">
        <f>'Stavební rozpočet'!H566</f>
        <v>0</v>
      </c>
      <c r="I52" s="59">
        <f>ROUND(G52*H52,2)</f>
        <v>0</v>
      </c>
      <c r="J52" s="59">
        <f>'Stavební rozpočet'!J566</f>
        <v>3.47E-3</v>
      </c>
      <c r="K52" s="59">
        <f>'Stavební rozpočet'!K566</f>
        <v>3.47E-3</v>
      </c>
      <c r="L52" s="59">
        <f>G52*K52</f>
        <v>8.4563899999999997E-2</v>
      </c>
      <c r="M52" s="60" t="s">
        <v>115</v>
      </c>
      <c r="Z52" s="59">
        <f>ROUND(IF(AQ52="5",BJ52,0),2)</f>
        <v>0</v>
      </c>
      <c r="AB52" s="59">
        <f>ROUND(IF(AQ52="1",BH52,0),2)</f>
        <v>0</v>
      </c>
      <c r="AC52" s="59">
        <f>ROUND(IF(AQ52="1",BI52,0),2)</f>
        <v>0</v>
      </c>
      <c r="AD52" s="59">
        <f>ROUND(IF(AQ52="7",BH52,0),2)</f>
        <v>0</v>
      </c>
      <c r="AE52" s="59">
        <f>ROUND(IF(AQ52="7",BI52,0),2)</f>
        <v>0</v>
      </c>
      <c r="AF52" s="59">
        <f>ROUND(IF(AQ52="2",BH52,0),2)</f>
        <v>0</v>
      </c>
      <c r="AG52" s="59">
        <f>ROUND(IF(AQ52="2",BI52,0),2)</f>
        <v>0</v>
      </c>
      <c r="AH52" s="59">
        <f>ROUND(IF(AQ52="0",BJ52,0),2)</f>
        <v>0</v>
      </c>
      <c r="AI52" s="46" t="s">
        <v>514</v>
      </c>
      <c r="AJ52" s="59">
        <f>IF(AN52=0,I52,0)</f>
        <v>0</v>
      </c>
      <c r="AK52" s="59">
        <f>IF(AN52=12,I52,0)</f>
        <v>0</v>
      </c>
      <c r="AL52" s="59">
        <f>IF(AN52=21,I52,0)</f>
        <v>0</v>
      </c>
      <c r="AN52" s="59">
        <v>12</v>
      </c>
      <c r="AO52" s="59">
        <f>H52*0.729088049</f>
        <v>0</v>
      </c>
      <c r="AP52" s="59">
        <f>H52*(1-0.729088049)</f>
        <v>0</v>
      </c>
      <c r="AQ52" s="61" t="s">
        <v>150</v>
      </c>
      <c r="AV52" s="59">
        <f>ROUND(AW52+AX52,2)</f>
        <v>0</v>
      </c>
      <c r="AW52" s="59">
        <f>ROUND(G52*AO52,2)</f>
        <v>0</v>
      </c>
      <c r="AX52" s="59">
        <f>ROUND(G52*AP52,2)</f>
        <v>0</v>
      </c>
      <c r="AY52" s="61" t="s">
        <v>377</v>
      </c>
      <c r="AZ52" s="61" t="s">
        <v>518</v>
      </c>
      <c r="BA52" s="46" t="s">
        <v>517</v>
      </c>
      <c r="BC52" s="59">
        <f>AW52+AX52</f>
        <v>0</v>
      </c>
      <c r="BD52" s="59">
        <f>H52/(100-BE52)*100</f>
        <v>0</v>
      </c>
      <c r="BE52" s="59">
        <v>0</v>
      </c>
      <c r="BF52" s="59">
        <f>L52</f>
        <v>8.4563899999999997E-2</v>
      </c>
      <c r="BH52" s="59">
        <f>G52*AO52</f>
        <v>0</v>
      </c>
      <c r="BI52" s="59">
        <f>G52*AP52</f>
        <v>0</v>
      </c>
      <c r="BJ52" s="59">
        <f>G52*H52</f>
        <v>0</v>
      </c>
      <c r="BK52" s="59"/>
      <c r="BL52" s="59">
        <v>711</v>
      </c>
      <c r="BW52" s="59">
        <v>12</v>
      </c>
      <c r="BX52" s="16" t="s">
        <v>381</v>
      </c>
    </row>
    <row r="53" spans="1:76" x14ac:dyDescent="0.25">
      <c r="A53" s="62"/>
      <c r="D53" s="63" t="s">
        <v>382</v>
      </c>
      <c r="E53" s="63"/>
      <c r="G53" s="64">
        <v>24.37</v>
      </c>
      <c r="M53" s="65"/>
    </row>
    <row r="54" spans="1:76" ht="15" customHeight="1" x14ac:dyDescent="0.25">
      <c r="A54" s="58" t="s">
        <v>205</v>
      </c>
      <c r="B54" s="18" t="s">
        <v>514</v>
      </c>
      <c r="C54" s="18" t="s">
        <v>383</v>
      </c>
      <c r="D54" s="8" t="s">
        <v>384</v>
      </c>
      <c r="E54" s="8"/>
      <c r="F54" s="18" t="s">
        <v>140</v>
      </c>
      <c r="G54" s="59">
        <f>'Stavební rozpočet'!G568</f>
        <v>33.15</v>
      </c>
      <c r="H54" s="59">
        <f>'Stavební rozpočet'!H568</f>
        <v>0</v>
      </c>
      <c r="I54" s="59">
        <f>ROUND(G54*H54,2)</f>
        <v>0</v>
      </c>
      <c r="J54" s="59">
        <f>'Stavební rozpočet'!J568</f>
        <v>4.2999999999999999E-4</v>
      </c>
      <c r="K54" s="59">
        <f>'Stavební rozpočet'!K568</f>
        <v>4.2999999999999999E-4</v>
      </c>
      <c r="L54" s="59">
        <f>G54*K54</f>
        <v>1.42545E-2</v>
      </c>
      <c r="M54" s="60" t="s">
        <v>115</v>
      </c>
      <c r="Z54" s="59">
        <f>ROUND(IF(AQ54="5",BJ54,0),2)</f>
        <v>0</v>
      </c>
      <c r="AB54" s="59">
        <f>ROUND(IF(AQ54="1",BH54,0),2)</f>
        <v>0</v>
      </c>
      <c r="AC54" s="59">
        <f>ROUND(IF(AQ54="1",BI54,0),2)</f>
        <v>0</v>
      </c>
      <c r="AD54" s="59">
        <f>ROUND(IF(AQ54="7",BH54,0),2)</f>
        <v>0</v>
      </c>
      <c r="AE54" s="59">
        <f>ROUND(IF(AQ54="7",BI54,0),2)</f>
        <v>0</v>
      </c>
      <c r="AF54" s="59">
        <f>ROUND(IF(AQ54="2",BH54,0),2)</f>
        <v>0</v>
      </c>
      <c r="AG54" s="59">
        <f>ROUND(IF(AQ54="2",BI54,0),2)</f>
        <v>0</v>
      </c>
      <c r="AH54" s="59">
        <f>ROUND(IF(AQ54="0",BJ54,0),2)</f>
        <v>0</v>
      </c>
      <c r="AI54" s="46" t="s">
        <v>514</v>
      </c>
      <c r="AJ54" s="59">
        <f>IF(AN54=0,I54,0)</f>
        <v>0</v>
      </c>
      <c r="AK54" s="59">
        <f>IF(AN54=12,I54,0)</f>
        <v>0</v>
      </c>
      <c r="AL54" s="59">
        <f>IF(AN54=21,I54,0)</f>
        <v>0</v>
      </c>
      <c r="AN54" s="59">
        <v>12</v>
      </c>
      <c r="AO54" s="59">
        <f>H54*0.767483743</f>
        <v>0</v>
      </c>
      <c r="AP54" s="59">
        <f>H54*(1-0.767483743)</f>
        <v>0</v>
      </c>
      <c r="AQ54" s="61" t="s">
        <v>150</v>
      </c>
      <c r="AV54" s="59">
        <f>ROUND(AW54+AX54,2)</f>
        <v>0</v>
      </c>
      <c r="AW54" s="59">
        <f>ROUND(G54*AO54,2)</f>
        <v>0</v>
      </c>
      <c r="AX54" s="59">
        <f>ROUND(G54*AP54,2)</f>
        <v>0</v>
      </c>
      <c r="AY54" s="61" t="s">
        <v>377</v>
      </c>
      <c r="AZ54" s="61" t="s">
        <v>518</v>
      </c>
      <c r="BA54" s="46" t="s">
        <v>517</v>
      </c>
      <c r="BC54" s="59">
        <f>AW54+AX54</f>
        <v>0</v>
      </c>
      <c r="BD54" s="59">
        <f>H54/(100-BE54)*100</f>
        <v>0</v>
      </c>
      <c r="BE54" s="59">
        <v>0</v>
      </c>
      <c r="BF54" s="59">
        <f>L54</f>
        <v>1.42545E-2</v>
      </c>
      <c r="BH54" s="59">
        <f>G54*AO54</f>
        <v>0</v>
      </c>
      <c r="BI54" s="59">
        <f>G54*AP54</f>
        <v>0</v>
      </c>
      <c r="BJ54" s="59">
        <f>G54*H54</f>
        <v>0</v>
      </c>
      <c r="BK54" s="59"/>
      <c r="BL54" s="59">
        <v>711</v>
      </c>
      <c r="BW54" s="59">
        <v>12</v>
      </c>
      <c r="BX54" s="16" t="s">
        <v>384</v>
      </c>
    </row>
    <row r="55" spans="1:76" x14ac:dyDescent="0.25">
      <c r="A55" s="62"/>
      <c r="D55" s="63" t="s">
        <v>385</v>
      </c>
      <c r="E55" s="63"/>
      <c r="G55" s="64">
        <v>33.15</v>
      </c>
      <c r="M55" s="65"/>
    </row>
    <row r="56" spans="1:76" ht="15" customHeight="1" x14ac:dyDescent="0.25">
      <c r="A56" s="54"/>
      <c r="B56" s="55" t="s">
        <v>514</v>
      </c>
      <c r="C56" s="55" t="s">
        <v>165</v>
      </c>
      <c r="D56" s="104" t="s">
        <v>166</v>
      </c>
      <c r="E56" s="104"/>
      <c r="F56" s="56" t="s">
        <v>88</v>
      </c>
      <c r="G56" s="56" t="s">
        <v>88</v>
      </c>
      <c r="H56" s="56" t="s">
        <v>88</v>
      </c>
      <c r="I56" s="39">
        <f>SUM(I57:I65)</f>
        <v>0</v>
      </c>
      <c r="J56" s="46"/>
      <c r="K56" s="46"/>
      <c r="L56" s="39">
        <f>SUM(L57:L65)</f>
        <v>9.1239999999999988E-2</v>
      </c>
      <c r="M56" s="57"/>
      <c r="AI56" s="46" t="s">
        <v>514</v>
      </c>
      <c r="AS56" s="39">
        <f>SUM(AJ57:AJ65)</f>
        <v>0</v>
      </c>
      <c r="AT56" s="39">
        <f>SUM(AK57:AK65)</f>
        <v>0</v>
      </c>
      <c r="AU56" s="39">
        <f>SUM(AL57:AL65)</f>
        <v>0</v>
      </c>
    </row>
    <row r="57" spans="1:76" ht="15" customHeight="1" x14ac:dyDescent="0.25">
      <c r="A57" s="58" t="s">
        <v>210</v>
      </c>
      <c r="B57" s="18" t="s">
        <v>514</v>
      </c>
      <c r="C57" s="18" t="s">
        <v>168</v>
      </c>
      <c r="D57" s="8" t="s">
        <v>169</v>
      </c>
      <c r="E57" s="8"/>
      <c r="F57" s="18" t="s">
        <v>140</v>
      </c>
      <c r="G57" s="59">
        <f>'Stavební rozpočet'!G571</f>
        <v>6</v>
      </c>
      <c r="H57" s="59">
        <f>'Stavební rozpočet'!H571</f>
        <v>0</v>
      </c>
      <c r="I57" s="59">
        <f>ROUND(G57*H57,2)</f>
        <v>0</v>
      </c>
      <c r="J57" s="59">
        <f>'Stavební rozpočet'!J571</f>
        <v>0</v>
      </c>
      <c r="K57" s="59">
        <f>'Stavební rozpočet'!K571</f>
        <v>1.3500000000000001E-3</v>
      </c>
      <c r="L57" s="59">
        <f>G57*K57</f>
        <v>8.0999999999999996E-3</v>
      </c>
      <c r="M57" s="60" t="s">
        <v>115</v>
      </c>
      <c r="Z57" s="59">
        <f>ROUND(IF(AQ57="5",BJ57,0),2)</f>
        <v>0</v>
      </c>
      <c r="AB57" s="59">
        <f>ROUND(IF(AQ57="1",BH57,0),2)</f>
        <v>0</v>
      </c>
      <c r="AC57" s="59">
        <f>ROUND(IF(AQ57="1",BI57,0),2)</f>
        <v>0</v>
      </c>
      <c r="AD57" s="59">
        <f>ROUND(IF(AQ57="7",BH57,0),2)</f>
        <v>0</v>
      </c>
      <c r="AE57" s="59">
        <f>ROUND(IF(AQ57="7",BI57,0),2)</f>
        <v>0</v>
      </c>
      <c r="AF57" s="59">
        <f>ROUND(IF(AQ57="2",BH57,0),2)</f>
        <v>0</v>
      </c>
      <c r="AG57" s="59">
        <f>ROUND(IF(AQ57="2",BI57,0),2)</f>
        <v>0</v>
      </c>
      <c r="AH57" s="59">
        <f>ROUND(IF(AQ57="0",BJ57,0),2)</f>
        <v>0</v>
      </c>
      <c r="AI57" s="46" t="s">
        <v>514</v>
      </c>
      <c r="AJ57" s="59">
        <f>IF(AN57=0,I57,0)</f>
        <v>0</v>
      </c>
      <c r="AK57" s="59">
        <f>IF(AN57=12,I57,0)</f>
        <v>0</v>
      </c>
      <c r="AL57" s="59">
        <f>IF(AN57=21,I57,0)</f>
        <v>0</v>
      </c>
      <c r="AN57" s="59">
        <v>12</v>
      </c>
      <c r="AO57" s="59">
        <f>H57*0</f>
        <v>0</v>
      </c>
      <c r="AP57" s="59">
        <f>H57*(1-0)</f>
        <v>0</v>
      </c>
      <c r="AQ57" s="61" t="s">
        <v>150</v>
      </c>
      <c r="AV57" s="59">
        <f>ROUND(AW57+AX57,2)</f>
        <v>0</v>
      </c>
      <c r="AW57" s="59">
        <f>ROUND(G57*AO57,2)</f>
        <v>0</v>
      </c>
      <c r="AX57" s="59">
        <f>ROUND(G57*AP57,2)</f>
        <v>0</v>
      </c>
      <c r="AY57" s="61" t="s">
        <v>170</v>
      </c>
      <c r="AZ57" s="61" t="s">
        <v>519</v>
      </c>
      <c r="BA57" s="46" t="s">
        <v>517</v>
      </c>
      <c r="BC57" s="59">
        <f>AW57+AX57</f>
        <v>0</v>
      </c>
      <c r="BD57" s="59">
        <f>H57/(100-BE57)*100</f>
        <v>0</v>
      </c>
      <c r="BE57" s="59">
        <v>0</v>
      </c>
      <c r="BF57" s="59">
        <f>L57</f>
        <v>8.0999999999999996E-3</v>
      </c>
      <c r="BH57" s="59">
        <f>G57*AO57</f>
        <v>0</v>
      </c>
      <c r="BI57" s="59">
        <f>G57*AP57</f>
        <v>0</v>
      </c>
      <c r="BJ57" s="59">
        <f>G57*H57</f>
        <v>0</v>
      </c>
      <c r="BK57" s="59"/>
      <c r="BL57" s="59">
        <v>764</v>
      </c>
      <c r="BW57" s="59">
        <v>12</v>
      </c>
      <c r="BX57" s="16" t="s">
        <v>169</v>
      </c>
    </row>
    <row r="58" spans="1:76" x14ac:dyDescent="0.25">
      <c r="A58" s="62"/>
      <c r="D58" s="63" t="s">
        <v>145</v>
      </c>
      <c r="E58" s="63"/>
      <c r="G58" s="64">
        <v>6</v>
      </c>
      <c r="M58" s="65"/>
    </row>
    <row r="59" spans="1:76" ht="15" customHeight="1" x14ac:dyDescent="0.25">
      <c r="A59" s="58" t="s">
        <v>215</v>
      </c>
      <c r="B59" s="18" t="s">
        <v>514</v>
      </c>
      <c r="C59" s="18" t="s">
        <v>173</v>
      </c>
      <c r="D59" s="8" t="s">
        <v>174</v>
      </c>
      <c r="E59" s="8"/>
      <c r="F59" s="18" t="s">
        <v>140</v>
      </c>
      <c r="G59" s="59">
        <f>'Stavební rozpočet'!G573</f>
        <v>6</v>
      </c>
      <c r="H59" s="59">
        <f>'Stavební rozpočet'!H573</f>
        <v>0</v>
      </c>
      <c r="I59" s="59">
        <f>ROUND(G59*H59,2)</f>
        <v>0</v>
      </c>
      <c r="J59" s="59">
        <f>'Stavební rozpočet'!J573</f>
        <v>3.9500000000000004E-3</v>
      </c>
      <c r="K59" s="59">
        <f>'Stavební rozpočet'!K573</f>
        <v>3.9500000000000004E-3</v>
      </c>
      <c r="L59" s="59">
        <f>G59*K59</f>
        <v>2.3700000000000002E-2</v>
      </c>
      <c r="M59" s="60" t="s">
        <v>115</v>
      </c>
      <c r="Z59" s="59">
        <f>ROUND(IF(AQ59="5",BJ59,0),2)</f>
        <v>0</v>
      </c>
      <c r="AB59" s="59">
        <f>ROUND(IF(AQ59="1",BH59,0),2)</f>
        <v>0</v>
      </c>
      <c r="AC59" s="59">
        <f>ROUND(IF(AQ59="1",BI59,0),2)</f>
        <v>0</v>
      </c>
      <c r="AD59" s="59">
        <f>ROUND(IF(AQ59="7",BH59,0),2)</f>
        <v>0</v>
      </c>
      <c r="AE59" s="59">
        <f>ROUND(IF(AQ59="7",BI59,0),2)</f>
        <v>0</v>
      </c>
      <c r="AF59" s="59">
        <f>ROUND(IF(AQ59="2",BH59,0),2)</f>
        <v>0</v>
      </c>
      <c r="AG59" s="59">
        <f>ROUND(IF(AQ59="2",BI59,0),2)</f>
        <v>0</v>
      </c>
      <c r="AH59" s="59">
        <f>ROUND(IF(AQ59="0",BJ59,0),2)</f>
        <v>0</v>
      </c>
      <c r="AI59" s="46" t="s">
        <v>514</v>
      </c>
      <c r="AJ59" s="59">
        <f>IF(AN59=0,I59,0)</f>
        <v>0</v>
      </c>
      <c r="AK59" s="59">
        <f>IF(AN59=12,I59,0)</f>
        <v>0</v>
      </c>
      <c r="AL59" s="59">
        <f>IF(AN59=21,I59,0)</f>
        <v>0</v>
      </c>
      <c r="AN59" s="59">
        <v>12</v>
      </c>
      <c r="AO59" s="59">
        <f>H59*0.565634409</f>
        <v>0</v>
      </c>
      <c r="AP59" s="59">
        <f>H59*(1-0.565634409)</f>
        <v>0</v>
      </c>
      <c r="AQ59" s="61" t="s">
        <v>150</v>
      </c>
      <c r="AV59" s="59">
        <f>ROUND(AW59+AX59,2)</f>
        <v>0</v>
      </c>
      <c r="AW59" s="59">
        <f>ROUND(G59*AO59,2)</f>
        <v>0</v>
      </c>
      <c r="AX59" s="59">
        <f>ROUND(G59*AP59,2)</f>
        <v>0</v>
      </c>
      <c r="AY59" s="61" t="s">
        <v>170</v>
      </c>
      <c r="AZ59" s="61" t="s">
        <v>519</v>
      </c>
      <c r="BA59" s="46" t="s">
        <v>517</v>
      </c>
      <c r="BC59" s="59">
        <f>AW59+AX59</f>
        <v>0</v>
      </c>
      <c r="BD59" s="59">
        <f>H59/(100-BE59)*100</f>
        <v>0</v>
      </c>
      <c r="BE59" s="59">
        <v>0</v>
      </c>
      <c r="BF59" s="59">
        <f>L59</f>
        <v>2.3700000000000002E-2</v>
      </c>
      <c r="BH59" s="59">
        <f>G59*AO59</f>
        <v>0</v>
      </c>
      <c r="BI59" s="59">
        <f>G59*AP59</f>
        <v>0</v>
      </c>
      <c r="BJ59" s="59">
        <f>G59*H59</f>
        <v>0</v>
      </c>
      <c r="BK59" s="59"/>
      <c r="BL59" s="59">
        <v>764</v>
      </c>
      <c r="BW59" s="59">
        <v>12</v>
      </c>
      <c r="BX59" s="16" t="s">
        <v>174</v>
      </c>
    </row>
    <row r="60" spans="1:76" ht="13.5" customHeight="1" x14ac:dyDescent="0.25">
      <c r="A60" s="62"/>
      <c r="D60" s="105" t="s">
        <v>175</v>
      </c>
      <c r="E60" s="105"/>
      <c r="F60" s="105"/>
      <c r="G60" s="105"/>
      <c r="H60" s="105"/>
      <c r="I60" s="105"/>
      <c r="J60" s="105"/>
      <c r="K60" s="105"/>
      <c r="L60" s="105"/>
      <c r="M60" s="105"/>
    </row>
    <row r="61" spans="1:76" x14ac:dyDescent="0.25">
      <c r="A61" s="62"/>
      <c r="D61" s="63" t="s">
        <v>145</v>
      </c>
      <c r="E61" s="63"/>
      <c r="G61" s="64">
        <v>6</v>
      </c>
      <c r="M61" s="65"/>
    </row>
    <row r="62" spans="1:76" ht="15" customHeight="1" x14ac:dyDescent="0.25">
      <c r="A62" s="58" t="s">
        <v>221</v>
      </c>
      <c r="B62" s="18" t="s">
        <v>514</v>
      </c>
      <c r="C62" s="18" t="s">
        <v>177</v>
      </c>
      <c r="D62" s="8" t="s">
        <v>178</v>
      </c>
      <c r="E62" s="8"/>
      <c r="F62" s="18" t="s">
        <v>140</v>
      </c>
      <c r="G62" s="59">
        <f>'Stavební rozpočet'!G575</f>
        <v>24.9</v>
      </c>
      <c r="H62" s="59">
        <f>'Stavební rozpočet'!H575</f>
        <v>0</v>
      </c>
      <c r="I62" s="59">
        <f>ROUND(G62*H62,2)</f>
        <v>0</v>
      </c>
      <c r="J62" s="59">
        <f>'Stavební rozpočet'!J575</f>
        <v>1.4599999999999999E-3</v>
      </c>
      <c r="K62" s="59">
        <f>'Stavební rozpočet'!K575</f>
        <v>1.4599999999999999E-3</v>
      </c>
      <c r="L62" s="59">
        <f>G62*K62</f>
        <v>3.6353999999999997E-2</v>
      </c>
      <c r="M62" s="60" t="s">
        <v>115</v>
      </c>
      <c r="Z62" s="59">
        <f>ROUND(IF(AQ62="5",BJ62,0),2)</f>
        <v>0</v>
      </c>
      <c r="AB62" s="59">
        <f>ROUND(IF(AQ62="1",BH62,0),2)</f>
        <v>0</v>
      </c>
      <c r="AC62" s="59">
        <f>ROUND(IF(AQ62="1",BI62,0),2)</f>
        <v>0</v>
      </c>
      <c r="AD62" s="59">
        <f>ROUND(IF(AQ62="7",BH62,0),2)</f>
        <v>0</v>
      </c>
      <c r="AE62" s="59">
        <f>ROUND(IF(AQ62="7",BI62,0),2)</f>
        <v>0</v>
      </c>
      <c r="AF62" s="59">
        <f>ROUND(IF(AQ62="2",BH62,0),2)</f>
        <v>0</v>
      </c>
      <c r="AG62" s="59">
        <f>ROUND(IF(AQ62="2",BI62,0),2)</f>
        <v>0</v>
      </c>
      <c r="AH62" s="59">
        <f>ROUND(IF(AQ62="0",BJ62,0),2)</f>
        <v>0</v>
      </c>
      <c r="AI62" s="46" t="s">
        <v>514</v>
      </c>
      <c r="AJ62" s="59">
        <f>IF(AN62=0,I62,0)</f>
        <v>0</v>
      </c>
      <c r="AK62" s="59">
        <f>IF(AN62=12,I62,0)</f>
        <v>0</v>
      </c>
      <c r="AL62" s="59">
        <f>IF(AN62=21,I62,0)</f>
        <v>0</v>
      </c>
      <c r="AN62" s="59">
        <v>12</v>
      </c>
      <c r="AO62" s="59">
        <f>H62*0.113898183</f>
        <v>0</v>
      </c>
      <c r="AP62" s="59">
        <f>H62*(1-0.113898183)</f>
        <v>0</v>
      </c>
      <c r="AQ62" s="61" t="s">
        <v>150</v>
      </c>
      <c r="AV62" s="59">
        <f>ROUND(AW62+AX62,2)</f>
        <v>0</v>
      </c>
      <c r="AW62" s="59">
        <f>ROUND(G62*AO62,2)</f>
        <v>0</v>
      </c>
      <c r="AX62" s="59">
        <f>ROUND(G62*AP62,2)</f>
        <v>0</v>
      </c>
      <c r="AY62" s="61" t="s">
        <v>170</v>
      </c>
      <c r="AZ62" s="61" t="s">
        <v>519</v>
      </c>
      <c r="BA62" s="46" t="s">
        <v>517</v>
      </c>
      <c r="BC62" s="59">
        <f>AW62+AX62</f>
        <v>0</v>
      </c>
      <c r="BD62" s="59">
        <f>H62/(100-BE62)*100</f>
        <v>0</v>
      </c>
      <c r="BE62" s="59">
        <v>0</v>
      </c>
      <c r="BF62" s="59">
        <f>L62</f>
        <v>3.6353999999999997E-2</v>
      </c>
      <c r="BH62" s="59">
        <f>G62*AO62</f>
        <v>0</v>
      </c>
      <c r="BI62" s="59">
        <f>G62*AP62</f>
        <v>0</v>
      </c>
      <c r="BJ62" s="59">
        <f>G62*H62</f>
        <v>0</v>
      </c>
      <c r="BK62" s="59"/>
      <c r="BL62" s="59">
        <v>764</v>
      </c>
      <c r="BW62" s="59">
        <v>12</v>
      </c>
      <c r="BX62" s="16" t="s">
        <v>178</v>
      </c>
    </row>
    <row r="63" spans="1:76" ht="13.5" customHeight="1" x14ac:dyDescent="0.25">
      <c r="A63" s="62"/>
      <c r="D63" s="105" t="s">
        <v>179</v>
      </c>
      <c r="E63" s="105"/>
      <c r="F63" s="105"/>
      <c r="G63" s="105"/>
      <c r="H63" s="105"/>
      <c r="I63" s="105"/>
      <c r="J63" s="105"/>
      <c r="K63" s="105"/>
      <c r="L63" s="105"/>
      <c r="M63" s="105"/>
    </row>
    <row r="64" spans="1:76" x14ac:dyDescent="0.25">
      <c r="A64" s="62"/>
      <c r="D64" s="63" t="s">
        <v>520</v>
      </c>
      <c r="E64" s="63"/>
      <c r="G64" s="64">
        <v>24.9</v>
      </c>
      <c r="M64" s="65"/>
    </row>
    <row r="65" spans="1:76" ht="15" customHeight="1" x14ac:dyDescent="0.25">
      <c r="A65" s="58" t="s">
        <v>227</v>
      </c>
      <c r="B65" s="18" t="s">
        <v>514</v>
      </c>
      <c r="C65" s="18" t="s">
        <v>388</v>
      </c>
      <c r="D65" s="8" t="s">
        <v>389</v>
      </c>
      <c r="E65" s="8"/>
      <c r="F65" s="18" t="s">
        <v>140</v>
      </c>
      <c r="G65" s="59">
        <f>'Stavební rozpočet'!G577</f>
        <v>19.399999999999999</v>
      </c>
      <c r="H65" s="59">
        <f>'Stavební rozpočet'!H577</f>
        <v>0</v>
      </c>
      <c r="I65" s="59">
        <f>ROUND(G65*H65,2)</f>
        <v>0</v>
      </c>
      <c r="J65" s="59">
        <f>'Stavební rozpočet'!J577</f>
        <v>1.1900000000000001E-3</v>
      </c>
      <c r="K65" s="59">
        <f>'Stavební rozpočet'!K577</f>
        <v>1.1900000000000001E-3</v>
      </c>
      <c r="L65" s="59">
        <f>G65*K65</f>
        <v>2.3085999999999999E-2</v>
      </c>
      <c r="M65" s="60" t="s">
        <v>115</v>
      </c>
      <c r="Z65" s="59">
        <f>ROUND(IF(AQ65="5",BJ65,0),2)</f>
        <v>0</v>
      </c>
      <c r="AB65" s="59">
        <f>ROUND(IF(AQ65="1",BH65,0),2)</f>
        <v>0</v>
      </c>
      <c r="AC65" s="59">
        <f>ROUND(IF(AQ65="1",BI65,0),2)</f>
        <v>0</v>
      </c>
      <c r="AD65" s="59">
        <f>ROUND(IF(AQ65="7",BH65,0),2)</f>
        <v>0</v>
      </c>
      <c r="AE65" s="59">
        <f>ROUND(IF(AQ65="7",BI65,0),2)</f>
        <v>0</v>
      </c>
      <c r="AF65" s="59">
        <f>ROUND(IF(AQ65="2",BH65,0),2)</f>
        <v>0</v>
      </c>
      <c r="AG65" s="59">
        <f>ROUND(IF(AQ65="2",BI65,0),2)</f>
        <v>0</v>
      </c>
      <c r="AH65" s="59">
        <f>ROUND(IF(AQ65="0",BJ65,0),2)</f>
        <v>0</v>
      </c>
      <c r="AI65" s="46" t="s">
        <v>514</v>
      </c>
      <c r="AJ65" s="59">
        <f>IF(AN65=0,I65,0)</f>
        <v>0</v>
      </c>
      <c r="AK65" s="59">
        <f>IF(AN65=12,I65,0)</f>
        <v>0</v>
      </c>
      <c r="AL65" s="59">
        <f>IF(AN65=21,I65,0)</f>
        <v>0</v>
      </c>
      <c r="AN65" s="59">
        <v>12</v>
      </c>
      <c r="AO65" s="59">
        <f>H65*0.381899982</f>
        <v>0</v>
      </c>
      <c r="AP65" s="59">
        <f>H65*(1-0.381899982)</f>
        <v>0</v>
      </c>
      <c r="AQ65" s="61" t="s">
        <v>150</v>
      </c>
      <c r="AV65" s="59">
        <f>ROUND(AW65+AX65,2)</f>
        <v>0</v>
      </c>
      <c r="AW65" s="59">
        <f>ROUND(G65*AO65,2)</f>
        <v>0</v>
      </c>
      <c r="AX65" s="59">
        <f>ROUND(G65*AP65,2)</f>
        <v>0</v>
      </c>
      <c r="AY65" s="61" t="s">
        <v>170</v>
      </c>
      <c r="AZ65" s="61" t="s">
        <v>519</v>
      </c>
      <c r="BA65" s="46" t="s">
        <v>517</v>
      </c>
      <c r="BC65" s="59">
        <f>AW65+AX65</f>
        <v>0</v>
      </c>
      <c r="BD65" s="59">
        <f>H65/(100-BE65)*100</f>
        <v>0</v>
      </c>
      <c r="BE65" s="59">
        <v>0</v>
      </c>
      <c r="BF65" s="59">
        <f>L65</f>
        <v>2.3085999999999999E-2</v>
      </c>
      <c r="BH65" s="59">
        <f>G65*AO65</f>
        <v>0</v>
      </c>
      <c r="BI65" s="59">
        <f>G65*AP65</f>
        <v>0</v>
      </c>
      <c r="BJ65" s="59">
        <f>G65*H65</f>
        <v>0</v>
      </c>
      <c r="BK65" s="59"/>
      <c r="BL65" s="59">
        <v>764</v>
      </c>
      <c r="BW65" s="59">
        <v>12</v>
      </c>
      <c r="BX65" s="16" t="s">
        <v>389</v>
      </c>
    </row>
    <row r="66" spans="1:76" x14ac:dyDescent="0.25">
      <c r="A66" s="62"/>
      <c r="D66" s="63" t="s">
        <v>390</v>
      </c>
      <c r="E66" s="63"/>
      <c r="G66" s="64">
        <v>19.399999999999999</v>
      </c>
      <c r="M66" s="65"/>
    </row>
    <row r="67" spans="1:76" ht="15" customHeight="1" x14ac:dyDescent="0.25">
      <c r="A67" s="54"/>
      <c r="B67" s="55" t="s">
        <v>514</v>
      </c>
      <c r="C67" s="55" t="s">
        <v>181</v>
      </c>
      <c r="D67" s="104" t="s">
        <v>182</v>
      </c>
      <c r="E67" s="104"/>
      <c r="F67" s="56" t="s">
        <v>88</v>
      </c>
      <c r="G67" s="56" t="s">
        <v>88</v>
      </c>
      <c r="H67" s="56" t="s">
        <v>88</v>
      </c>
      <c r="I67" s="39">
        <f>SUM(I68:I84)</f>
        <v>0</v>
      </c>
      <c r="J67" s="46"/>
      <c r="K67" s="46"/>
      <c r="L67" s="39">
        <f>SUM(L68:L84)</f>
        <v>2.4318280000000003</v>
      </c>
      <c r="M67" s="57"/>
      <c r="AI67" s="46" t="s">
        <v>514</v>
      </c>
      <c r="AS67" s="39">
        <f>SUM(AJ68:AJ84)</f>
        <v>0</v>
      </c>
      <c r="AT67" s="39">
        <f>SUM(AK68:AK84)</f>
        <v>0</v>
      </c>
      <c r="AU67" s="39">
        <f>SUM(AL68:AL84)</f>
        <v>0</v>
      </c>
    </row>
    <row r="68" spans="1:76" ht="15" customHeight="1" x14ac:dyDescent="0.25">
      <c r="A68" s="58" t="s">
        <v>234</v>
      </c>
      <c r="B68" s="18" t="s">
        <v>514</v>
      </c>
      <c r="C68" s="18" t="s">
        <v>191</v>
      </c>
      <c r="D68" s="8" t="s">
        <v>192</v>
      </c>
      <c r="E68" s="8"/>
      <c r="F68" s="18" t="s">
        <v>114</v>
      </c>
      <c r="G68" s="59">
        <f>'Stavební rozpočet'!G580</f>
        <v>60</v>
      </c>
      <c r="H68" s="59">
        <f>'Stavební rozpočet'!H580</f>
        <v>0</v>
      </c>
      <c r="I68" s="59">
        <f>ROUND(G68*H68,2)</f>
        <v>0</v>
      </c>
      <c r="J68" s="59">
        <f>'Stavební rozpočet'!J580</f>
        <v>4.0370000000000003E-2</v>
      </c>
      <c r="K68" s="59">
        <f>'Stavební rozpočet'!K580</f>
        <v>4.0370000000000003E-2</v>
      </c>
      <c r="L68" s="59">
        <f>G68*K68</f>
        <v>2.4222000000000001</v>
      </c>
      <c r="M68" s="60" t="s">
        <v>115</v>
      </c>
      <c r="Z68" s="59">
        <f>ROUND(IF(AQ68="5",BJ68,0),2)</f>
        <v>0</v>
      </c>
      <c r="AB68" s="59">
        <f>ROUND(IF(AQ68="1",BH68,0),2)</f>
        <v>0</v>
      </c>
      <c r="AC68" s="59">
        <f>ROUND(IF(AQ68="1",BI68,0),2)</f>
        <v>0</v>
      </c>
      <c r="AD68" s="59">
        <f>ROUND(IF(AQ68="7",BH68,0),2)</f>
        <v>0</v>
      </c>
      <c r="AE68" s="59">
        <f>ROUND(IF(AQ68="7",BI68,0),2)</f>
        <v>0</v>
      </c>
      <c r="AF68" s="59">
        <f>ROUND(IF(AQ68="2",BH68,0),2)</f>
        <v>0</v>
      </c>
      <c r="AG68" s="59">
        <f>ROUND(IF(AQ68="2",BI68,0),2)</f>
        <v>0</v>
      </c>
      <c r="AH68" s="59">
        <f>ROUND(IF(AQ68="0",BJ68,0),2)</f>
        <v>0</v>
      </c>
      <c r="AI68" s="46" t="s">
        <v>514</v>
      </c>
      <c r="AJ68" s="59">
        <f>IF(AN68=0,I68,0)</f>
        <v>0</v>
      </c>
      <c r="AK68" s="59">
        <f>IF(AN68=12,I68,0)</f>
        <v>0</v>
      </c>
      <c r="AL68" s="59">
        <f>IF(AN68=21,I68,0)</f>
        <v>0</v>
      </c>
      <c r="AN68" s="59">
        <v>12</v>
      </c>
      <c r="AO68" s="59">
        <f>H68*0.920036753</f>
        <v>0</v>
      </c>
      <c r="AP68" s="59">
        <f>H68*(1-0.920036753)</f>
        <v>0</v>
      </c>
      <c r="AQ68" s="61" t="s">
        <v>150</v>
      </c>
      <c r="AV68" s="59">
        <f>ROUND(AW68+AX68,2)</f>
        <v>0</v>
      </c>
      <c r="AW68" s="59">
        <f>ROUND(G68*AO68,2)</f>
        <v>0</v>
      </c>
      <c r="AX68" s="59">
        <f>ROUND(G68*AP68,2)</f>
        <v>0</v>
      </c>
      <c r="AY68" s="61" t="s">
        <v>187</v>
      </c>
      <c r="AZ68" s="61" t="s">
        <v>519</v>
      </c>
      <c r="BA68" s="46" t="s">
        <v>517</v>
      </c>
      <c r="BC68" s="59">
        <f>AW68+AX68</f>
        <v>0</v>
      </c>
      <c r="BD68" s="59">
        <f>H68/(100-BE68)*100</f>
        <v>0</v>
      </c>
      <c r="BE68" s="59">
        <v>0</v>
      </c>
      <c r="BF68" s="59">
        <f>L68</f>
        <v>2.4222000000000001</v>
      </c>
      <c r="BH68" s="59">
        <f>G68*AO68</f>
        <v>0</v>
      </c>
      <c r="BI68" s="59">
        <f>G68*AP68</f>
        <v>0</v>
      </c>
      <c r="BJ68" s="59">
        <f>G68*H68</f>
        <v>0</v>
      </c>
      <c r="BK68" s="59"/>
      <c r="BL68" s="59">
        <v>766</v>
      </c>
      <c r="BW68" s="59">
        <v>12</v>
      </c>
      <c r="BX68" s="16" t="s">
        <v>192</v>
      </c>
    </row>
    <row r="69" spans="1:76" ht="13.5" customHeight="1" x14ac:dyDescent="0.25">
      <c r="A69" s="62"/>
      <c r="D69" s="105" t="s">
        <v>193</v>
      </c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76" x14ac:dyDescent="0.25">
      <c r="A70" s="62"/>
      <c r="D70" s="63" t="s">
        <v>391</v>
      </c>
      <c r="E70" s="63"/>
      <c r="G70" s="64">
        <v>9</v>
      </c>
      <c r="M70" s="65"/>
    </row>
    <row r="71" spans="1:76" x14ac:dyDescent="0.25">
      <c r="A71" s="62"/>
      <c r="D71" s="63" t="s">
        <v>392</v>
      </c>
      <c r="E71" s="63"/>
      <c r="G71" s="64">
        <v>5.4</v>
      </c>
      <c r="M71" s="65"/>
    </row>
    <row r="72" spans="1:76" x14ac:dyDescent="0.25">
      <c r="A72" s="62"/>
      <c r="D72" s="63" t="s">
        <v>393</v>
      </c>
      <c r="E72" s="63"/>
      <c r="G72" s="64">
        <v>21.6</v>
      </c>
      <c r="M72" s="65"/>
    </row>
    <row r="73" spans="1:76" x14ac:dyDescent="0.25">
      <c r="A73" s="62"/>
      <c r="D73" s="63" t="s">
        <v>394</v>
      </c>
      <c r="E73" s="63"/>
      <c r="G73" s="64">
        <v>14.4</v>
      </c>
      <c r="M73" s="65"/>
    </row>
    <row r="74" spans="1:76" x14ac:dyDescent="0.25">
      <c r="A74" s="62"/>
      <c r="D74" s="63" t="s">
        <v>497</v>
      </c>
      <c r="E74" s="63"/>
      <c r="G74" s="64">
        <v>9.6</v>
      </c>
      <c r="M74" s="65"/>
    </row>
    <row r="75" spans="1:76" ht="15" customHeight="1" x14ac:dyDescent="0.25">
      <c r="A75" s="58" t="s">
        <v>241</v>
      </c>
      <c r="B75" s="18" t="s">
        <v>514</v>
      </c>
      <c r="C75" s="18" t="s">
        <v>206</v>
      </c>
      <c r="D75" s="8" t="s">
        <v>207</v>
      </c>
      <c r="E75" s="8"/>
      <c r="F75" s="18" t="s">
        <v>140</v>
      </c>
      <c r="G75" s="59">
        <f>'Stavební rozpočet'!G586</f>
        <v>136</v>
      </c>
      <c r="H75" s="59">
        <f>'Stavební rozpočet'!H586</f>
        <v>0</v>
      </c>
      <c r="I75" s="59">
        <f>ROUND(G75*H75,2)</f>
        <v>0</v>
      </c>
      <c r="J75" s="59">
        <f>'Stavební rozpočet'!J586</f>
        <v>4.0000000000000003E-5</v>
      </c>
      <c r="K75" s="59">
        <f>'Stavební rozpočet'!K586</f>
        <v>4.0000000000000003E-5</v>
      </c>
      <c r="L75" s="59">
        <f>G75*K75</f>
        <v>5.4400000000000004E-3</v>
      </c>
      <c r="M75" s="60" t="s">
        <v>115</v>
      </c>
      <c r="Z75" s="59">
        <f>ROUND(IF(AQ75="5",BJ75,0),2)</f>
        <v>0</v>
      </c>
      <c r="AB75" s="59">
        <f>ROUND(IF(AQ75="1",BH75,0),2)</f>
        <v>0</v>
      </c>
      <c r="AC75" s="59">
        <f>ROUND(IF(AQ75="1",BI75,0),2)</f>
        <v>0</v>
      </c>
      <c r="AD75" s="59">
        <f>ROUND(IF(AQ75="7",BH75,0),2)</f>
        <v>0</v>
      </c>
      <c r="AE75" s="59">
        <f>ROUND(IF(AQ75="7",BI75,0),2)</f>
        <v>0</v>
      </c>
      <c r="AF75" s="59">
        <f>ROUND(IF(AQ75="2",BH75,0),2)</f>
        <v>0</v>
      </c>
      <c r="AG75" s="59">
        <f>ROUND(IF(AQ75="2",BI75,0),2)</f>
        <v>0</v>
      </c>
      <c r="AH75" s="59">
        <f>ROUND(IF(AQ75="0",BJ75,0),2)</f>
        <v>0</v>
      </c>
      <c r="AI75" s="46" t="s">
        <v>514</v>
      </c>
      <c r="AJ75" s="59">
        <f>IF(AN75=0,I75,0)</f>
        <v>0</v>
      </c>
      <c r="AK75" s="59">
        <f>IF(AN75=12,I75,0)</f>
        <v>0</v>
      </c>
      <c r="AL75" s="59">
        <f>IF(AN75=21,I75,0)</f>
        <v>0</v>
      </c>
      <c r="AN75" s="59">
        <v>12</v>
      </c>
      <c r="AO75" s="59">
        <f>H75*0.412553191</f>
        <v>0</v>
      </c>
      <c r="AP75" s="59">
        <f>H75*(1-0.412553191)</f>
        <v>0</v>
      </c>
      <c r="AQ75" s="61" t="s">
        <v>150</v>
      </c>
      <c r="AV75" s="59">
        <f>ROUND(AW75+AX75,2)</f>
        <v>0</v>
      </c>
      <c r="AW75" s="59">
        <f>ROUND(G75*AO75,2)</f>
        <v>0</v>
      </c>
      <c r="AX75" s="59">
        <f>ROUND(G75*AP75,2)</f>
        <v>0</v>
      </c>
      <c r="AY75" s="61" t="s">
        <v>187</v>
      </c>
      <c r="AZ75" s="61" t="s">
        <v>519</v>
      </c>
      <c r="BA75" s="46" t="s">
        <v>517</v>
      </c>
      <c r="BC75" s="59">
        <f>AW75+AX75</f>
        <v>0</v>
      </c>
      <c r="BD75" s="59">
        <f>H75/(100-BE75)*100</f>
        <v>0</v>
      </c>
      <c r="BE75" s="59">
        <v>0</v>
      </c>
      <c r="BF75" s="59">
        <f>L75</f>
        <v>5.4400000000000004E-3</v>
      </c>
      <c r="BH75" s="59">
        <f>G75*AO75</f>
        <v>0</v>
      </c>
      <c r="BI75" s="59">
        <f>G75*AP75</f>
        <v>0</v>
      </c>
      <c r="BJ75" s="59">
        <f>G75*H75</f>
        <v>0</v>
      </c>
      <c r="BK75" s="59"/>
      <c r="BL75" s="59">
        <v>766</v>
      </c>
      <c r="BW75" s="59">
        <v>12</v>
      </c>
      <c r="BX75" s="16" t="s">
        <v>207</v>
      </c>
    </row>
    <row r="76" spans="1:76" ht="13.5" customHeight="1" x14ac:dyDescent="0.25">
      <c r="A76" s="62"/>
      <c r="D76" s="105" t="s">
        <v>208</v>
      </c>
      <c r="E76" s="105"/>
      <c r="F76" s="105"/>
      <c r="G76" s="105"/>
      <c r="H76" s="105"/>
      <c r="I76" s="105"/>
      <c r="J76" s="105"/>
      <c r="K76" s="105"/>
      <c r="L76" s="105"/>
      <c r="M76" s="105"/>
    </row>
    <row r="77" spans="1:76" x14ac:dyDescent="0.25">
      <c r="A77" s="62"/>
      <c r="D77" s="63" t="s">
        <v>498</v>
      </c>
      <c r="E77" s="63"/>
      <c r="G77" s="64">
        <v>136</v>
      </c>
      <c r="M77" s="65"/>
    </row>
    <row r="78" spans="1:76" ht="15" customHeight="1" x14ac:dyDescent="0.25">
      <c r="A78" s="58" t="s">
        <v>248</v>
      </c>
      <c r="B78" s="18" t="s">
        <v>514</v>
      </c>
      <c r="C78" s="18" t="s">
        <v>211</v>
      </c>
      <c r="D78" s="8" t="s">
        <v>212</v>
      </c>
      <c r="E78" s="8"/>
      <c r="F78" s="18" t="s">
        <v>140</v>
      </c>
      <c r="G78" s="59">
        <f>'Stavební rozpočet'!G588</f>
        <v>34.9</v>
      </c>
      <c r="H78" s="59">
        <f>'Stavební rozpočet'!H588</f>
        <v>0</v>
      </c>
      <c r="I78" s="59">
        <f>ROUND(G78*H78,2)</f>
        <v>0</v>
      </c>
      <c r="J78" s="59">
        <f>'Stavební rozpočet'!J588</f>
        <v>1.2E-4</v>
      </c>
      <c r="K78" s="59">
        <f>'Stavební rozpočet'!K588</f>
        <v>1.2E-4</v>
      </c>
      <c r="L78" s="59">
        <f>G78*K78</f>
        <v>4.1879999999999999E-3</v>
      </c>
      <c r="M78" s="60" t="s">
        <v>115</v>
      </c>
      <c r="Z78" s="59">
        <f>ROUND(IF(AQ78="5",BJ78,0),2)</f>
        <v>0</v>
      </c>
      <c r="AB78" s="59">
        <f>ROUND(IF(AQ78="1",BH78,0),2)</f>
        <v>0</v>
      </c>
      <c r="AC78" s="59">
        <f>ROUND(IF(AQ78="1",BI78,0),2)</f>
        <v>0</v>
      </c>
      <c r="AD78" s="59">
        <f>ROUND(IF(AQ78="7",BH78,0),2)</f>
        <v>0</v>
      </c>
      <c r="AE78" s="59">
        <f>ROUND(IF(AQ78="7",BI78,0),2)</f>
        <v>0</v>
      </c>
      <c r="AF78" s="59">
        <f>ROUND(IF(AQ78="2",BH78,0),2)</f>
        <v>0</v>
      </c>
      <c r="AG78" s="59">
        <f>ROUND(IF(AQ78="2",BI78,0),2)</f>
        <v>0</v>
      </c>
      <c r="AH78" s="59">
        <f>ROUND(IF(AQ78="0",BJ78,0),2)</f>
        <v>0</v>
      </c>
      <c r="AI78" s="46" t="s">
        <v>514</v>
      </c>
      <c r="AJ78" s="59">
        <f>IF(AN78=0,I78,0)</f>
        <v>0</v>
      </c>
      <c r="AK78" s="59">
        <f>IF(AN78=12,I78,0)</f>
        <v>0</v>
      </c>
      <c r="AL78" s="59">
        <f>IF(AN78=21,I78,0)</f>
        <v>0</v>
      </c>
      <c r="AN78" s="59">
        <v>12</v>
      </c>
      <c r="AO78" s="59">
        <f>H78*0.319457335</f>
        <v>0</v>
      </c>
      <c r="AP78" s="59">
        <f>H78*(1-0.319457335)</f>
        <v>0</v>
      </c>
      <c r="AQ78" s="61" t="s">
        <v>150</v>
      </c>
      <c r="AV78" s="59">
        <f>ROUND(AW78+AX78,2)</f>
        <v>0</v>
      </c>
      <c r="AW78" s="59">
        <f>ROUND(G78*AO78,2)</f>
        <v>0</v>
      </c>
      <c r="AX78" s="59">
        <f>ROUND(G78*AP78,2)</f>
        <v>0</v>
      </c>
      <c r="AY78" s="61" t="s">
        <v>187</v>
      </c>
      <c r="AZ78" s="61" t="s">
        <v>519</v>
      </c>
      <c r="BA78" s="46" t="s">
        <v>517</v>
      </c>
      <c r="BC78" s="59">
        <f>AW78+AX78</f>
        <v>0</v>
      </c>
      <c r="BD78" s="59">
        <f>H78/(100-BE78)*100</f>
        <v>0</v>
      </c>
      <c r="BE78" s="59">
        <v>0</v>
      </c>
      <c r="BF78" s="59">
        <f>L78</f>
        <v>4.1879999999999999E-3</v>
      </c>
      <c r="BH78" s="59">
        <f>G78*AO78</f>
        <v>0</v>
      </c>
      <c r="BI78" s="59">
        <f>G78*AP78</f>
        <v>0</v>
      </c>
      <c r="BJ78" s="59">
        <f>G78*H78</f>
        <v>0</v>
      </c>
      <c r="BK78" s="59"/>
      <c r="BL78" s="59">
        <v>766</v>
      </c>
      <c r="BW78" s="59">
        <v>12</v>
      </c>
      <c r="BX78" s="16" t="s">
        <v>212</v>
      </c>
    </row>
    <row r="79" spans="1:76" ht="13.5" customHeight="1" x14ac:dyDescent="0.25">
      <c r="A79" s="62"/>
      <c r="D79" s="105" t="s">
        <v>213</v>
      </c>
      <c r="E79" s="105"/>
      <c r="F79" s="105"/>
      <c r="G79" s="105"/>
      <c r="H79" s="105"/>
      <c r="I79" s="105"/>
      <c r="J79" s="105"/>
      <c r="K79" s="105"/>
      <c r="L79" s="105"/>
      <c r="M79" s="105"/>
    </row>
    <row r="80" spans="1:76" x14ac:dyDescent="0.25">
      <c r="A80" s="62"/>
      <c r="D80" s="63" t="s">
        <v>499</v>
      </c>
      <c r="E80" s="63"/>
      <c r="G80" s="64">
        <v>34.9</v>
      </c>
      <c r="M80" s="65"/>
    </row>
    <row r="81" spans="1:76" ht="15" customHeight="1" x14ac:dyDescent="0.25">
      <c r="A81" s="58" t="s">
        <v>253</v>
      </c>
      <c r="B81" s="18" t="s">
        <v>514</v>
      </c>
      <c r="C81" s="18" t="s">
        <v>216</v>
      </c>
      <c r="D81" s="8" t="s">
        <v>217</v>
      </c>
      <c r="E81" s="8"/>
      <c r="F81" s="18" t="s">
        <v>218</v>
      </c>
      <c r="G81" s="59">
        <f>'Stavební rozpočet'!G590</f>
        <v>12</v>
      </c>
      <c r="H81" s="59">
        <f>'Stavební rozpočet'!H590</f>
        <v>0</v>
      </c>
      <c r="I81" s="59">
        <f>ROUND(G81*H81,2)</f>
        <v>0</v>
      </c>
      <c r="J81" s="59">
        <f>'Stavební rozpočet'!J590</f>
        <v>0</v>
      </c>
      <c r="K81" s="59">
        <f>'Stavební rozpočet'!K590</f>
        <v>0</v>
      </c>
      <c r="L81" s="59">
        <f>G81*K81</f>
        <v>0</v>
      </c>
      <c r="M81" s="60"/>
      <c r="Z81" s="59">
        <f>ROUND(IF(AQ81="5",BJ81,0),2)</f>
        <v>0</v>
      </c>
      <c r="AB81" s="59">
        <f>ROUND(IF(AQ81="1",BH81,0),2)</f>
        <v>0</v>
      </c>
      <c r="AC81" s="59">
        <f>ROUND(IF(AQ81="1",BI81,0),2)</f>
        <v>0</v>
      </c>
      <c r="AD81" s="59">
        <f>ROUND(IF(AQ81="7",BH81,0),2)</f>
        <v>0</v>
      </c>
      <c r="AE81" s="59">
        <f>ROUND(IF(AQ81="7",BI81,0),2)</f>
        <v>0</v>
      </c>
      <c r="AF81" s="59">
        <f>ROUND(IF(AQ81="2",BH81,0),2)</f>
        <v>0</v>
      </c>
      <c r="AG81" s="59">
        <f>ROUND(IF(AQ81="2",BI81,0),2)</f>
        <v>0</v>
      </c>
      <c r="AH81" s="59">
        <f>ROUND(IF(AQ81="0",BJ81,0),2)</f>
        <v>0</v>
      </c>
      <c r="AI81" s="46" t="s">
        <v>514</v>
      </c>
      <c r="AJ81" s="59">
        <f>IF(AN81=0,I81,0)</f>
        <v>0</v>
      </c>
      <c r="AK81" s="59">
        <f>IF(AN81=12,I81,0)</f>
        <v>0</v>
      </c>
      <c r="AL81" s="59">
        <f>IF(AN81=21,I81,0)</f>
        <v>0</v>
      </c>
      <c r="AN81" s="59">
        <v>12</v>
      </c>
      <c r="AO81" s="59">
        <f>H81*0</f>
        <v>0</v>
      </c>
      <c r="AP81" s="59">
        <f>H81*(1-0)</f>
        <v>0</v>
      </c>
      <c r="AQ81" s="61" t="s">
        <v>150</v>
      </c>
      <c r="AV81" s="59">
        <f>ROUND(AW81+AX81,2)</f>
        <v>0</v>
      </c>
      <c r="AW81" s="59">
        <f>ROUND(G81*AO81,2)</f>
        <v>0</v>
      </c>
      <c r="AX81" s="59">
        <f>ROUND(G81*AP81,2)</f>
        <v>0</v>
      </c>
      <c r="AY81" s="61" t="s">
        <v>187</v>
      </c>
      <c r="AZ81" s="61" t="s">
        <v>519</v>
      </c>
      <c r="BA81" s="46" t="s">
        <v>517</v>
      </c>
      <c r="BC81" s="59">
        <f>AW81+AX81</f>
        <v>0</v>
      </c>
      <c r="BD81" s="59">
        <f>H81/(100-BE81)*100</f>
        <v>0</v>
      </c>
      <c r="BE81" s="59">
        <v>0</v>
      </c>
      <c r="BF81" s="59">
        <f>L81</f>
        <v>0</v>
      </c>
      <c r="BH81" s="59">
        <f>G81*AO81</f>
        <v>0</v>
      </c>
      <c r="BI81" s="59">
        <f>G81*AP81</f>
        <v>0</v>
      </c>
      <c r="BJ81" s="59">
        <f>G81*H81</f>
        <v>0</v>
      </c>
      <c r="BK81" s="59"/>
      <c r="BL81" s="59">
        <v>766</v>
      </c>
      <c r="BW81" s="59">
        <v>12</v>
      </c>
      <c r="BX81" s="16" t="s">
        <v>217</v>
      </c>
    </row>
    <row r="82" spans="1:76" ht="13.5" customHeight="1" x14ac:dyDescent="0.25">
      <c r="A82" s="62"/>
      <c r="D82" s="105" t="s">
        <v>219</v>
      </c>
      <c r="E82" s="105"/>
      <c r="F82" s="105"/>
      <c r="G82" s="105"/>
      <c r="H82" s="105"/>
      <c r="I82" s="105"/>
      <c r="J82" s="105"/>
      <c r="K82" s="105"/>
      <c r="L82" s="105"/>
      <c r="M82" s="105"/>
    </row>
    <row r="83" spans="1:76" x14ac:dyDescent="0.25">
      <c r="A83" s="62"/>
      <c r="D83" s="63" t="s">
        <v>176</v>
      </c>
      <c r="E83" s="63"/>
      <c r="G83" s="64">
        <v>12</v>
      </c>
      <c r="M83" s="65"/>
    </row>
    <row r="84" spans="1:76" ht="15" customHeight="1" x14ac:dyDescent="0.25">
      <c r="A84" s="58" t="s">
        <v>261</v>
      </c>
      <c r="B84" s="18" t="s">
        <v>514</v>
      </c>
      <c r="C84" s="18" t="s">
        <v>222</v>
      </c>
      <c r="D84" s="8" t="s">
        <v>223</v>
      </c>
      <c r="E84" s="8"/>
      <c r="F84" s="18" t="s">
        <v>224</v>
      </c>
      <c r="G84" s="59">
        <f>'Stavební rozpočet'!G592</f>
        <v>1.859</v>
      </c>
      <c r="H84" s="59">
        <f>'Stavební rozpočet'!H592</f>
        <v>0</v>
      </c>
      <c r="I84" s="59">
        <f>ROUND(G84*H84,2)</f>
        <v>0</v>
      </c>
      <c r="J84" s="59">
        <f>'Stavební rozpočet'!J592</f>
        <v>0</v>
      </c>
      <c r="K84" s="59">
        <f>'Stavební rozpočet'!K592</f>
        <v>0</v>
      </c>
      <c r="L84" s="59">
        <f>G84*K84</f>
        <v>0</v>
      </c>
      <c r="M84" s="60" t="s">
        <v>115</v>
      </c>
      <c r="Z84" s="59">
        <f>ROUND(IF(AQ84="5",BJ84,0),2)</f>
        <v>0</v>
      </c>
      <c r="AB84" s="59">
        <f>ROUND(IF(AQ84="1",BH84,0),2)</f>
        <v>0</v>
      </c>
      <c r="AC84" s="59">
        <f>ROUND(IF(AQ84="1",BI84,0),2)</f>
        <v>0</v>
      </c>
      <c r="AD84" s="59">
        <f>ROUND(IF(AQ84="7",BH84,0),2)</f>
        <v>0</v>
      </c>
      <c r="AE84" s="59">
        <f>ROUND(IF(AQ84="7",BI84,0),2)</f>
        <v>0</v>
      </c>
      <c r="AF84" s="59">
        <f>ROUND(IF(AQ84="2",BH84,0),2)</f>
        <v>0</v>
      </c>
      <c r="AG84" s="59">
        <f>ROUND(IF(AQ84="2",BI84,0),2)</f>
        <v>0</v>
      </c>
      <c r="AH84" s="59">
        <f>ROUND(IF(AQ84="0",BJ84,0),2)</f>
        <v>0</v>
      </c>
      <c r="AI84" s="46" t="s">
        <v>514</v>
      </c>
      <c r="AJ84" s="59">
        <f>IF(AN84=0,I84,0)</f>
        <v>0</v>
      </c>
      <c r="AK84" s="59">
        <f>IF(AN84=12,I84,0)</f>
        <v>0</v>
      </c>
      <c r="AL84" s="59">
        <f>IF(AN84=21,I84,0)</f>
        <v>0</v>
      </c>
      <c r="AN84" s="59">
        <v>12</v>
      </c>
      <c r="AO84" s="59">
        <f>H84*0</f>
        <v>0</v>
      </c>
      <c r="AP84" s="59">
        <f>H84*(1-0)</f>
        <v>0</v>
      </c>
      <c r="AQ84" s="61" t="s">
        <v>137</v>
      </c>
      <c r="AV84" s="59">
        <f>ROUND(AW84+AX84,2)</f>
        <v>0</v>
      </c>
      <c r="AW84" s="59">
        <f>ROUND(G84*AO84,2)</f>
        <v>0</v>
      </c>
      <c r="AX84" s="59">
        <f>ROUND(G84*AP84,2)</f>
        <v>0</v>
      </c>
      <c r="AY84" s="61" t="s">
        <v>187</v>
      </c>
      <c r="AZ84" s="61" t="s">
        <v>519</v>
      </c>
      <c r="BA84" s="46" t="s">
        <v>517</v>
      </c>
      <c r="BC84" s="59">
        <f>AW84+AX84</f>
        <v>0</v>
      </c>
      <c r="BD84" s="59">
        <f>H84/(100-BE84)*100</f>
        <v>0</v>
      </c>
      <c r="BE84" s="59">
        <v>0</v>
      </c>
      <c r="BF84" s="59">
        <f>L84</f>
        <v>0</v>
      </c>
      <c r="BH84" s="59">
        <f>G84*AO84</f>
        <v>0</v>
      </c>
      <c r="BI84" s="59">
        <f>G84*AP84</f>
        <v>0</v>
      </c>
      <c r="BJ84" s="59">
        <f>G84*H84</f>
        <v>0</v>
      </c>
      <c r="BK84" s="59"/>
      <c r="BL84" s="59">
        <v>766</v>
      </c>
      <c r="BW84" s="59">
        <v>12</v>
      </c>
      <c r="BX84" s="16" t="s">
        <v>223</v>
      </c>
    </row>
    <row r="85" spans="1:76" ht="15" customHeight="1" x14ac:dyDescent="0.25">
      <c r="A85" s="54"/>
      <c r="B85" s="55" t="s">
        <v>514</v>
      </c>
      <c r="C85" s="55" t="s">
        <v>397</v>
      </c>
      <c r="D85" s="104" t="s">
        <v>398</v>
      </c>
      <c r="E85" s="104"/>
      <c r="F85" s="56" t="s">
        <v>88</v>
      </c>
      <c r="G85" s="56" t="s">
        <v>88</v>
      </c>
      <c r="H85" s="56" t="s">
        <v>88</v>
      </c>
      <c r="I85" s="39">
        <f>SUM(I86)</f>
        <v>0</v>
      </c>
      <c r="J85" s="46"/>
      <c r="K85" s="46"/>
      <c r="L85" s="39">
        <f>SUM(L86)</f>
        <v>0.261324</v>
      </c>
      <c r="M85" s="57"/>
      <c r="AI85" s="46" t="s">
        <v>514</v>
      </c>
      <c r="AS85" s="39">
        <f>SUM(AJ86)</f>
        <v>0</v>
      </c>
      <c r="AT85" s="39">
        <f>SUM(AK86)</f>
        <v>0</v>
      </c>
      <c r="AU85" s="39">
        <f>SUM(AL86)</f>
        <v>0</v>
      </c>
    </row>
    <row r="86" spans="1:76" ht="15" customHeight="1" x14ac:dyDescent="0.25">
      <c r="A86" s="58" t="s">
        <v>269</v>
      </c>
      <c r="B86" s="18" t="s">
        <v>514</v>
      </c>
      <c r="C86" s="18" t="s">
        <v>399</v>
      </c>
      <c r="D86" s="8" t="s">
        <v>400</v>
      </c>
      <c r="E86" s="8"/>
      <c r="F86" s="18" t="s">
        <v>114</v>
      </c>
      <c r="G86" s="59">
        <f>'Stavební rozpočet'!G594</f>
        <v>24.4</v>
      </c>
      <c r="H86" s="59">
        <f>'Stavební rozpočet'!H594</f>
        <v>0</v>
      </c>
      <c r="I86" s="59">
        <f>ROUND(G86*H86,2)</f>
        <v>0</v>
      </c>
      <c r="J86" s="59">
        <f>'Stavební rozpočet'!J594</f>
        <v>1.0710000000000001E-2</v>
      </c>
      <c r="K86" s="59">
        <f>'Stavební rozpočet'!K594</f>
        <v>1.0710000000000001E-2</v>
      </c>
      <c r="L86" s="59">
        <f>G86*K86</f>
        <v>0.261324</v>
      </c>
      <c r="M86" s="60" t="s">
        <v>115</v>
      </c>
      <c r="Z86" s="59">
        <f>ROUND(IF(AQ86="5",BJ86,0),2)</f>
        <v>0</v>
      </c>
      <c r="AB86" s="59">
        <f>ROUND(IF(AQ86="1",BH86,0),2)</f>
        <v>0</v>
      </c>
      <c r="AC86" s="59">
        <f>ROUND(IF(AQ86="1",BI86,0),2)</f>
        <v>0</v>
      </c>
      <c r="AD86" s="59">
        <f>ROUND(IF(AQ86="7",BH86,0),2)</f>
        <v>0</v>
      </c>
      <c r="AE86" s="59">
        <f>ROUND(IF(AQ86="7",BI86,0),2)</f>
        <v>0</v>
      </c>
      <c r="AF86" s="59">
        <f>ROUND(IF(AQ86="2",BH86,0),2)</f>
        <v>0</v>
      </c>
      <c r="AG86" s="59">
        <f>ROUND(IF(AQ86="2",BI86,0),2)</f>
        <v>0</v>
      </c>
      <c r="AH86" s="59">
        <f>ROUND(IF(AQ86="0",BJ86,0),2)</f>
        <v>0</v>
      </c>
      <c r="AI86" s="46" t="s">
        <v>514</v>
      </c>
      <c r="AJ86" s="59">
        <f>IF(AN86=0,I86,0)</f>
        <v>0</v>
      </c>
      <c r="AK86" s="59">
        <f>IF(AN86=12,I86,0)</f>
        <v>0</v>
      </c>
      <c r="AL86" s="59">
        <f>IF(AN86=21,I86,0)</f>
        <v>0</v>
      </c>
      <c r="AN86" s="59">
        <v>12</v>
      </c>
      <c r="AO86" s="59">
        <f>H86*0.791824982</f>
        <v>0</v>
      </c>
      <c r="AP86" s="59">
        <f>H86*(1-0.791824982)</f>
        <v>0</v>
      </c>
      <c r="AQ86" s="61" t="s">
        <v>150</v>
      </c>
      <c r="AV86" s="59">
        <f>ROUND(AW86+AX86,2)</f>
        <v>0</v>
      </c>
      <c r="AW86" s="59">
        <f>ROUND(G86*AO86,2)</f>
        <v>0</v>
      </c>
      <c r="AX86" s="59">
        <f>ROUND(G86*AP86,2)</f>
        <v>0</v>
      </c>
      <c r="AY86" s="61" t="s">
        <v>401</v>
      </c>
      <c r="AZ86" s="61" t="s">
        <v>521</v>
      </c>
      <c r="BA86" s="46" t="s">
        <v>517</v>
      </c>
      <c r="BC86" s="59">
        <f>AW86+AX86</f>
        <v>0</v>
      </c>
      <c r="BD86" s="59">
        <f>H86/(100-BE86)*100</f>
        <v>0</v>
      </c>
      <c r="BE86" s="59">
        <v>0</v>
      </c>
      <c r="BF86" s="59">
        <f>L86</f>
        <v>0.261324</v>
      </c>
      <c r="BH86" s="59">
        <f>G86*AO86</f>
        <v>0</v>
      </c>
      <c r="BI86" s="59">
        <f>G86*AP86</f>
        <v>0</v>
      </c>
      <c r="BJ86" s="59">
        <f>G86*H86</f>
        <v>0</v>
      </c>
      <c r="BK86" s="59"/>
      <c r="BL86" s="59">
        <v>777</v>
      </c>
      <c r="BW86" s="59">
        <v>12</v>
      </c>
      <c r="BX86" s="16" t="s">
        <v>400</v>
      </c>
    </row>
    <row r="87" spans="1:76" x14ac:dyDescent="0.25">
      <c r="A87" s="62"/>
      <c r="D87" s="63" t="s">
        <v>403</v>
      </c>
      <c r="E87" s="63"/>
      <c r="G87" s="64">
        <v>24.4</v>
      </c>
      <c r="M87" s="65"/>
    </row>
    <row r="88" spans="1:76" ht="15" customHeight="1" x14ac:dyDescent="0.25">
      <c r="A88" s="54"/>
      <c r="B88" s="55" t="s">
        <v>514</v>
      </c>
      <c r="C88" s="55" t="s">
        <v>225</v>
      </c>
      <c r="D88" s="104" t="s">
        <v>226</v>
      </c>
      <c r="E88" s="104"/>
      <c r="F88" s="56" t="s">
        <v>88</v>
      </c>
      <c r="G88" s="56" t="s">
        <v>88</v>
      </c>
      <c r="H88" s="56" t="s">
        <v>88</v>
      </c>
      <c r="I88" s="39">
        <f>SUM(I89:I101)</f>
        <v>0</v>
      </c>
      <c r="J88" s="46"/>
      <c r="K88" s="46"/>
      <c r="L88" s="39">
        <f>SUM(L89:L101)</f>
        <v>1.6551630000000001E-2</v>
      </c>
      <c r="M88" s="57"/>
      <c r="AI88" s="46" t="s">
        <v>514</v>
      </c>
      <c r="AS88" s="39">
        <f>SUM(AJ89:AJ101)</f>
        <v>0</v>
      </c>
      <c r="AT88" s="39">
        <f>SUM(AK89:AK101)</f>
        <v>0</v>
      </c>
      <c r="AU88" s="39">
        <f>SUM(AL89:AL101)</f>
        <v>0</v>
      </c>
    </row>
    <row r="89" spans="1:76" ht="15" customHeight="1" x14ac:dyDescent="0.25">
      <c r="A89" s="58" t="s">
        <v>279</v>
      </c>
      <c r="B89" s="18" t="s">
        <v>514</v>
      </c>
      <c r="C89" s="18" t="s">
        <v>228</v>
      </c>
      <c r="D89" s="8" t="s">
        <v>229</v>
      </c>
      <c r="E89" s="8"/>
      <c r="F89" s="18" t="s">
        <v>114</v>
      </c>
      <c r="G89" s="59">
        <f>'Stavební rozpočet'!G597</f>
        <v>3.077</v>
      </c>
      <c r="H89" s="59">
        <f>'Stavební rozpočet'!H597</f>
        <v>0</v>
      </c>
      <c r="I89" s="59">
        <f>ROUND(G89*H89,2)</f>
        <v>0</v>
      </c>
      <c r="J89" s="59">
        <f>'Stavební rozpočet'!J597</f>
        <v>2.9E-4</v>
      </c>
      <c r="K89" s="59">
        <f>'Stavební rozpočet'!K597</f>
        <v>2.9E-4</v>
      </c>
      <c r="L89" s="59">
        <f>G89*K89</f>
        <v>8.9232999999999999E-4</v>
      </c>
      <c r="M89" s="60" t="s">
        <v>115</v>
      </c>
      <c r="Z89" s="59">
        <f>ROUND(IF(AQ89="5",BJ89,0),2)</f>
        <v>0</v>
      </c>
      <c r="AB89" s="59">
        <f>ROUND(IF(AQ89="1",BH89,0),2)</f>
        <v>0</v>
      </c>
      <c r="AC89" s="59">
        <f>ROUND(IF(AQ89="1",BI89,0),2)</f>
        <v>0</v>
      </c>
      <c r="AD89" s="59">
        <f>ROUND(IF(AQ89="7",BH89,0),2)</f>
        <v>0</v>
      </c>
      <c r="AE89" s="59">
        <f>ROUND(IF(AQ89="7",BI89,0),2)</f>
        <v>0</v>
      </c>
      <c r="AF89" s="59">
        <f>ROUND(IF(AQ89="2",BH89,0),2)</f>
        <v>0</v>
      </c>
      <c r="AG89" s="59">
        <f>ROUND(IF(AQ89="2",BI89,0),2)</f>
        <v>0</v>
      </c>
      <c r="AH89" s="59">
        <f>ROUND(IF(AQ89="0",BJ89,0),2)</f>
        <v>0</v>
      </c>
      <c r="AI89" s="46" t="s">
        <v>514</v>
      </c>
      <c r="AJ89" s="59">
        <f>IF(AN89=0,I89,0)</f>
        <v>0</v>
      </c>
      <c r="AK89" s="59">
        <f>IF(AN89=12,I89,0)</f>
        <v>0</v>
      </c>
      <c r="AL89" s="59">
        <f>IF(AN89=21,I89,0)</f>
        <v>0</v>
      </c>
      <c r="AN89" s="59">
        <v>12</v>
      </c>
      <c r="AO89" s="59">
        <f>H89*0.178146593</f>
        <v>0</v>
      </c>
      <c r="AP89" s="59">
        <f>H89*(1-0.178146593)</f>
        <v>0</v>
      </c>
      <c r="AQ89" s="61" t="s">
        <v>150</v>
      </c>
      <c r="AV89" s="59">
        <f>ROUND(AW89+AX89,2)</f>
        <v>0</v>
      </c>
      <c r="AW89" s="59">
        <f>ROUND(G89*AO89,2)</f>
        <v>0</v>
      </c>
      <c r="AX89" s="59">
        <f>ROUND(G89*AP89,2)</f>
        <v>0</v>
      </c>
      <c r="AY89" s="61" t="s">
        <v>230</v>
      </c>
      <c r="AZ89" s="61" t="s">
        <v>522</v>
      </c>
      <c r="BA89" s="46" t="s">
        <v>517</v>
      </c>
      <c r="BC89" s="59">
        <f>AW89+AX89</f>
        <v>0</v>
      </c>
      <c r="BD89" s="59">
        <f>H89/(100-BE89)*100</f>
        <v>0</v>
      </c>
      <c r="BE89" s="59">
        <v>0</v>
      </c>
      <c r="BF89" s="59">
        <f>L89</f>
        <v>8.9232999999999999E-4</v>
      </c>
      <c r="BH89" s="59">
        <f>G89*AO89</f>
        <v>0</v>
      </c>
      <c r="BI89" s="59">
        <f>G89*AP89</f>
        <v>0</v>
      </c>
      <c r="BJ89" s="59">
        <f>G89*H89</f>
        <v>0</v>
      </c>
      <c r="BK89" s="59"/>
      <c r="BL89" s="59">
        <v>783</v>
      </c>
      <c r="BW89" s="59">
        <v>12</v>
      </c>
      <c r="BX89" s="16" t="s">
        <v>229</v>
      </c>
    </row>
    <row r="90" spans="1:76" ht="13.5" customHeight="1" x14ac:dyDescent="0.25">
      <c r="A90" s="62"/>
      <c r="D90" s="105" t="s">
        <v>232</v>
      </c>
      <c r="E90" s="105"/>
      <c r="F90" s="105"/>
      <c r="G90" s="105"/>
      <c r="H90" s="105"/>
      <c r="I90" s="105"/>
      <c r="J90" s="105"/>
      <c r="K90" s="105"/>
      <c r="L90" s="105"/>
      <c r="M90" s="105"/>
    </row>
    <row r="91" spans="1:76" x14ac:dyDescent="0.25">
      <c r="A91" s="62"/>
      <c r="D91" s="63" t="s">
        <v>233</v>
      </c>
      <c r="E91" s="63"/>
      <c r="G91" s="64">
        <v>3.077</v>
      </c>
      <c r="M91" s="65"/>
    </row>
    <row r="92" spans="1:76" ht="15" customHeight="1" x14ac:dyDescent="0.25">
      <c r="A92" s="58" t="s">
        <v>286</v>
      </c>
      <c r="B92" s="18" t="s">
        <v>514</v>
      </c>
      <c r="C92" s="18" t="s">
        <v>235</v>
      </c>
      <c r="D92" s="8" t="s">
        <v>236</v>
      </c>
      <c r="E92" s="8"/>
      <c r="F92" s="18" t="s">
        <v>114</v>
      </c>
      <c r="G92" s="59">
        <f>'Stavební rozpočet'!G599</f>
        <v>8.75</v>
      </c>
      <c r="H92" s="59">
        <f>'Stavební rozpočet'!H599</f>
        <v>0</v>
      </c>
      <c r="I92" s="59">
        <f>ROUND(G92*H92,2)</f>
        <v>0</v>
      </c>
      <c r="J92" s="59">
        <f>'Stavební rozpočet'!J599</f>
        <v>2.7E-4</v>
      </c>
      <c r="K92" s="59">
        <f>'Stavební rozpočet'!K599</f>
        <v>2.7E-4</v>
      </c>
      <c r="L92" s="59">
        <f>G92*K92</f>
        <v>2.3625E-3</v>
      </c>
      <c r="M92" s="60" t="s">
        <v>115</v>
      </c>
      <c r="Z92" s="59">
        <f>ROUND(IF(AQ92="5",BJ92,0),2)</f>
        <v>0</v>
      </c>
      <c r="AB92" s="59">
        <f>ROUND(IF(AQ92="1",BH92,0),2)</f>
        <v>0</v>
      </c>
      <c r="AC92" s="59">
        <f>ROUND(IF(AQ92="1",BI92,0),2)</f>
        <v>0</v>
      </c>
      <c r="AD92" s="59">
        <f>ROUND(IF(AQ92="7",BH92,0),2)</f>
        <v>0</v>
      </c>
      <c r="AE92" s="59">
        <f>ROUND(IF(AQ92="7",BI92,0),2)</f>
        <v>0</v>
      </c>
      <c r="AF92" s="59">
        <f>ROUND(IF(AQ92="2",BH92,0),2)</f>
        <v>0</v>
      </c>
      <c r="AG92" s="59">
        <f>ROUND(IF(AQ92="2",BI92,0),2)</f>
        <v>0</v>
      </c>
      <c r="AH92" s="59">
        <f>ROUND(IF(AQ92="0",BJ92,0),2)</f>
        <v>0</v>
      </c>
      <c r="AI92" s="46" t="s">
        <v>514</v>
      </c>
      <c r="AJ92" s="59">
        <f>IF(AN92=0,I92,0)</f>
        <v>0</v>
      </c>
      <c r="AK92" s="59">
        <f>IF(AN92=12,I92,0)</f>
        <v>0</v>
      </c>
      <c r="AL92" s="59">
        <f>IF(AN92=21,I92,0)</f>
        <v>0</v>
      </c>
      <c r="AN92" s="59">
        <v>12</v>
      </c>
      <c r="AO92" s="59">
        <f>H92*0.140415743</f>
        <v>0</v>
      </c>
      <c r="AP92" s="59">
        <f>H92*(1-0.140415743)</f>
        <v>0</v>
      </c>
      <c r="AQ92" s="61" t="s">
        <v>150</v>
      </c>
      <c r="AV92" s="59">
        <f>ROUND(AW92+AX92,2)</f>
        <v>0</v>
      </c>
      <c r="AW92" s="59">
        <f>ROUND(G92*AO92,2)</f>
        <v>0</v>
      </c>
      <c r="AX92" s="59">
        <f>ROUND(G92*AP92,2)</f>
        <v>0</v>
      </c>
      <c r="AY92" s="61" t="s">
        <v>230</v>
      </c>
      <c r="AZ92" s="61" t="s">
        <v>522</v>
      </c>
      <c r="BA92" s="46" t="s">
        <v>517</v>
      </c>
      <c r="BC92" s="59">
        <f>AW92+AX92</f>
        <v>0</v>
      </c>
      <c r="BD92" s="59">
        <f>H92/(100-BE92)*100</f>
        <v>0</v>
      </c>
      <c r="BE92" s="59">
        <v>0</v>
      </c>
      <c r="BF92" s="59">
        <f>L92</f>
        <v>2.3625E-3</v>
      </c>
      <c r="BH92" s="59">
        <f>G92*AO92</f>
        <v>0</v>
      </c>
      <c r="BI92" s="59">
        <f>G92*AP92</f>
        <v>0</v>
      </c>
      <c r="BJ92" s="59">
        <f>G92*H92</f>
        <v>0</v>
      </c>
      <c r="BK92" s="59"/>
      <c r="BL92" s="59">
        <v>783</v>
      </c>
      <c r="BW92" s="59">
        <v>12</v>
      </c>
      <c r="BX92" s="16" t="s">
        <v>236</v>
      </c>
    </row>
    <row r="93" spans="1:76" ht="13.5" customHeight="1" x14ac:dyDescent="0.25">
      <c r="A93" s="62"/>
      <c r="D93" s="105" t="s">
        <v>237</v>
      </c>
      <c r="E93" s="105"/>
      <c r="F93" s="105"/>
      <c r="G93" s="105"/>
      <c r="H93" s="105"/>
      <c r="I93" s="105"/>
      <c r="J93" s="105"/>
      <c r="K93" s="105"/>
      <c r="L93" s="105"/>
      <c r="M93" s="105"/>
    </row>
    <row r="94" spans="1:76" x14ac:dyDescent="0.25">
      <c r="A94" s="62"/>
      <c r="D94" s="63" t="s">
        <v>406</v>
      </c>
      <c r="E94" s="63"/>
      <c r="G94" s="64">
        <v>8.75</v>
      </c>
      <c r="M94" s="65"/>
    </row>
    <row r="95" spans="1:76" ht="15" customHeight="1" x14ac:dyDescent="0.25">
      <c r="A95" s="58" t="s">
        <v>292</v>
      </c>
      <c r="B95" s="18" t="s">
        <v>514</v>
      </c>
      <c r="C95" s="18" t="s">
        <v>407</v>
      </c>
      <c r="D95" s="8" t="s">
        <v>408</v>
      </c>
      <c r="E95" s="8"/>
      <c r="F95" s="18" t="s">
        <v>114</v>
      </c>
      <c r="G95" s="59">
        <f>'Stavební rozpočet'!G601</f>
        <v>30.22</v>
      </c>
      <c r="H95" s="59">
        <f>'Stavební rozpočet'!H601</f>
        <v>0</v>
      </c>
      <c r="I95" s="59">
        <f>ROUND(G95*H95,2)</f>
        <v>0</v>
      </c>
      <c r="J95" s="59">
        <f>'Stavební rozpočet'!J601</f>
        <v>3.6000000000000002E-4</v>
      </c>
      <c r="K95" s="59">
        <f>'Stavební rozpočet'!K601</f>
        <v>3.6000000000000002E-4</v>
      </c>
      <c r="L95" s="59">
        <f>G95*K95</f>
        <v>1.08792E-2</v>
      </c>
      <c r="M95" s="60" t="s">
        <v>115</v>
      </c>
      <c r="Z95" s="59">
        <f>ROUND(IF(AQ95="5",BJ95,0),2)</f>
        <v>0</v>
      </c>
      <c r="AB95" s="59">
        <f>ROUND(IF(AQ95="1",BH95,0),2)</f>
        <v>0</v>
      </c>
      <c r="AC95" s="59">
        <f>ROUND(IF(AQ95="1",BI95,0),2)</f>
        <v>0</v>
      </c>
      <c r="AD95" s="59">
        <f>ROUND(IF(AQ95="7",BH95,0),2)</f>
        <v>0</v>
      </c>
      <c r="AE95" s="59">
        <f>ROUND(IF(AQ95="7",BI95,0),2)</f>
        <v>0</v>
      </c>
      <c r="AF95" s="59">
        <f>ROUND(IF(AQ95="2",BH95,0),2)</f>
        <v>0</v>
      </c>
      <c r="AG95" s="59">
        <f>ROUND(IF(AQ95="2",BI95,0),2)</f>
        <v>0</v>
      </c>
      <c r="AH95" s="59">
        <f>ROUND(IF(AQ95="0",BJ95,0),2)</f>
        <v>0</v>
      </c>
      <c r="AI95" s="46" t="s">
        <v>514</v>
      </c>
      <c r="AJ95" s="59">
        <f>IF(AN95=0,I95,0)</f>
        <v>0</v>
      </c>
      <c r="AK95" s="59">
        <f>IF(AN95=12,I95,0)</f>
        <v>0</v>
      </c>
      <c r="AL95" s="59">
        <f>IF(AN95=21,I95,0)</f>
        <v>0</v>
      </c>
      <c r="AN95" s="59">
        <v>12</v>
      </c>
      <c r="AO95" s="59">
        <f>H95*0.23711537</f>
        <v>0</v>
      </c>
      <c r="AP95" s="59">
        <f>H95*(1-0.23711537)</f>
        <v>0</v>
      </c>
      <c r="AQ95" s="61" t="s">
        <v>150</v>
      </c>
      <c r="AV95" s="59">
        <f>ROUND(AW95+AX95,2)</f>
        <v>0</v>
      </c>
      <c r="AW95" s="59">
        <f>ROUND(G95*AO95,2)</f>
        <v>0</v>
      </c>
      <c r="AX95" s="59">
        <f>ROUND(G95*AP95,2)</f>
        <v>0</v>
      </c>
      <c r="AY95" s="61" t="s">
        <v>230</v>
      </c>
      <c r="AZ95" s="61" t="s">
        <v>522</v>
      </c>
      <c r="BA95" s="46" t="s">
        <v>517</v>
      </c>
      <c r="BC95" s="59">
        <f>AW95+AX95</f>
        <v>0</v>
      </c>
      <c r="BD95" s="59">
        <f>H95/(100-BE95)*100</f>
        <v>0</v>
      </c>
      <c r="BE95" s="59">
        <v>0</v>
      </c>
      <c r="BF95" s="59">
        <f>L95</f>
        <v>1.08792E-2</v>
      </c>
      <c r="BH95" s="59">
        <f>G95*AO95</f>
        <v>0</v>
      </c>
      <c r="BI95" s="59">
        <f>G95*AP95</f>
        <v>0</v>
      </c>
      <c r="BJ95" s="59">
        <f>G95*H95</f>
        <v>0</v>
      </c>
      <c r="BK95" s="59"/>
      <c r="BL95" s="59">
        <v>783</v>
      </c>
      <c r="BW95" s="59">
        <v>12</v>
      </c>
      <c r="BX95" s="16" t="s">
        <v>408</v>
      </c>
    </row>
    <row r="96" spans="1:76" ht="13.5" customHeight="1" x14ac:dyDescent="0.25">
      <c r="A96" s="62"/>
      <c r="D96" s="105" t="s">
        <v>409</v>
      </c>
      <c r="E96" s="105"/>
      <c r="F96" s="105"/>
      <c r="G96" s="105"/>
      <c r="H96" s="105"/>
      <c r="I96" s="105"/>
      <c r="J96" s="105"/>
      <c r="K96" s="105"/>
      <c r="L96" s="105"/>
      <c r="M96" s="105"/>
    </row>
    <row r="97" spans="1:76" x14ac:dyDescent="0.25">
      <c r="A97" s="62"/>
      <c r="D97" s="63" t="s">
        <v>410</v>
      </c>
      <c r="E97" s="63"/>
      <c r="G97" s="64">
        <v>30.22</v>
      </c>
      <c r="M97" s="65"/>
    </row>
    <row r="98" spans="1:76" ht="15" customHeight="1" x14ac:dyDescent="0.25">
      <c r="A98" s="58" t="s">
        <v>296</v>
      </c>
      <c r="B98" s="18" t="s">
        <v>514</v>
      </c>
      <c r="C98" s="18" t="s">
        <v>411</v>
      </c>
      <c r="D98" s="8" t="s">
        <v>412</v>
      </c>
      <c r="E98" s="8"/>
      <c r="F98" s="18" t="s">
        <v>114</v>
      </c>
      <c r="G98" s="59">
        <f>'Stavební rozpočet'!G603</f>
        <v>30.22</v>
      </c>
      <c r="H98" s="59">
        <f>'Stavební rozpočet'!H603</f>
        <v>0</v>
      </c>
      <c r="I98" s="59">
        <f>ROUND(G98*H98,2)</f>
        <v>0</v>
      </c>
      <c r="J98" s="59">
        <f>'Stavební rozpočet'!J603</f>
        <v>1.0000000000000001E-5</v>
      </c>
      <c r="K98" s="59">
        <f>'Stavební rozpočet'!K603</f>
        <v>1.0000000000000001E-5</v>
      </c>
      <c r="L98" s="59">
        <f>G98*K98</f>
        <v>3.0220000000000003E-4</v>
      </c>
      <c r="M98" s="60" t="s">
        <v>115</v>
      </c>
      <c r="Z98" s="59">
        <f>ROUND(IF(AQ98="5",BJ98,0),2)</f>
        <v>0</v>
      </c>
      <c r="AB98" s="59">
        <f>ROUND(IF(AQ98="1",BH98,0),2)</f>
        <v>0</v>
      </c>
      <c r="AC98" s="59">
        <f>ROUND(IF(AQ98="1",BI98,0),2)</f>
        <v>0</v>
      </c>
      <c r="AD98" s="59">
        <f>ROUND(IF(AQ98="7",BH98,0),2)</f>
        <v>0</v>
      </c>
      <c r="AE98" s="59">
        <f>ROUND(IF(AQ98="7",BI98,0),2)</f>
        <v>0</v>
      </c>
      <c r="AF98" s="59">
        <f>ROUND(IF(AQ98="2",BH98,0),2)</f>
        <v>0</v>
      </c>
      <c r="AG98" s="59">
        <f>ROUND(IF(AQ98="2",BI98,0),2)</f>
        <v>0</v>
      </c>
      <c r="AH98" s="59">
        <f>ROUND(IF(AQ98="0",BJ98,0),2)</f>
        <v>0</v>
      </c>
      <c r="AI98" s="46" t="s">
        <v>514</v>
      </c>
      <c r="AJ98" s="59">
        <f>IF(AN98=0,I98,0)</f>
        <v>0</v>
      </c>
      <c r="AK98" s="59">
        <f>IF(AN98=12,I98,0)</f>
        <v>0</v>
      </c>
      <c r="AL98" s="59">
        <f>IF(AN98=21,I98,0)</f>
        <v>0</v>
      </c>
      <c r="AN98" s="59">
        <v>12</v>
      </c>
      <c r="AO98" s="59">
        <f>H98*0.06128009</f>
        <v>0</v>
      </c>
      <c r="AP98" s="59">
        <f>H98*(1-0.06128009)</f>
        <v>0</v>
      </c>
      <c r="AQ98" s="61" t="s">
        <v>150</v>
      </c>
      <c r="AV98" s="59">
        <f>ROUND(AW98+AX98,2)</f>
        <v>0</v>
      </c>
      <c r="AW98" s="59">
        <f>ROUND(G98*AO98,2)</f>
        <v>0</v>
      </c>
      <c r="AX98" s="59">
        <f>ROUND(G98*AP98,2)</f>
        <v>0</v>
      </c>
      <c r="AY98" s="61" t="s">
        <v>230</v>
      </c>
      <c r="AZ98" s="61" t="s">
        <v>522</v>
      </c>
      <c r="BA98" s="46" t="s">
        <v>517</v>
      </c>
      <c r="BC98" s="59">
        <f>AW98+AX98</f>
        <v>0</v>
      </c>
      <c r="BD98" s="59">
        <f>H98/(100-BE98)*100</f>
        <v>0</v>
      </c>
      <c r="BE98" s="59">
        <v>0</v>
      </c>
      <c r="BF98" s="59">
        <f>L98</f>
        <v>3.0220000000000003E-4</v>
      </c>
      <c r="BH98" s="59">
        <f>G98*AO98</f>
        <v>0</v>
      </c>
      <c r="BI98" s="59">
        <f>G98*AP98</f>
        <v>0</v>
      </c>
      <c r="BJ98" s="59">
        <f>G98*H98</f>
        <v>0</v>
      </c>
      <c r="BK98" s="59"/>
      <c r="BL98" s="59">
        <v>783</v>
      </c>
      <c r="BW98" s="59">
        <v>12</v>
      </c>
      <c r="BX98" s="16" t="s">
        <v>412</v>
      </c>
    </row>
    <row r="99" spans="1:76" ht="13.5" customHeight="1" x14ac:dyDescent="0.25">
      <c r="A99" s="62"/>
      <c r="D99" s="105" t="s">
        <v>413</v>
      </c>
      <c r="E99" s="105"/>
      <c r="F99" s="105"/>
      <c r="G99" s="105"/>
      <c r="H99" s="105"/>
      <c r="I99" s="105"/>
      <c r="J99" s="105"/>
      <c r="K99" s="105"/>
      <c r="L99" s="105"/>
      <c r="M99" s="105"/>
    </row>
    <row r="100" spans="1:76" x14ac:dyDescent="0.25">
      <c r="A100" s="62"/>
      <c r="D100" s="63" t="s">
        <v>410</v>
      </c>
      <c r="E100" s="63"/>
      <c r="G100" s="64">
        <v>30.22</v>
      </c>
      <c r="M100" s="65"/>
    </row>
    <row r="101" spans="1:76" ht="15" customHeight="1" x14ac:dyDescent="0.25">
      <c r="A101" s="58" t="s">
        <v>301</v>
      </c>
      <c r="B101" s="18" t="s">
        <v>514</v>
      </c>
      <c r="C101" s="18" t="s">
        <v>414</v>
      </c>
      <c r="D101" s="8" t="s">
        <v>412</v>
      </c>
      <c r="E101" s="8"/>
      <c r="F101" s="18" t="s">
        <v>114</v>
      </c>
      <c r="G101" s="59">
        <f>'Stavební rozpočet'!G605</f>
        <v>30.22</v>
      </c>
      <c r="H101" s="59">
        <f>'Stavební rozpočet'!H605</f>
        <v>0</v>
      </c>
      <c r="I101" s="59">
        <f>ROUND(G101*H101,2)</f>
        <v>0</v>
      </c>
      <c r="J101" s="59">
        <f>'Stavební rozpočet'!J605</f>
        <v>6.9999999999999994E-5</v>
      </c>
      <c r="K101" s="59">
        <f>'Stavební rozpočet'!K605</f>
        <v>6.9999999999999994E-5</v>
      </c>
      <c r="L101" s="59">
        <f>G101*K101</f>
        <v>2.1153999999999999E-3</v>
      </c>
      <c r="M101" s="60" t="s">
        <v>115</v>
      </c>
      <c r="Z101" s="59">
        <f>ROUND(IF(AQ101="5",BJ101,0),2)</f>
        <v>0</v>
      </c>
      <c r="AB101" s="59">
        <f>ROUND(IF(AQ101="1",BH101,0),2)</f>
        <v>0</v>
      </c>
      <c r="AC101" s="59">
        <f>ROUND(IF(AQ101="1",BI101,0),2)</f>
        <v>0</v>
      </c>
      <c r="AD101" s="59">
        <f>ROUND(IF(AQ101="7",BH101,0),2)</f>
        <v>0</v>
      </c>
      <c r="AE101" s="59">
        <f>ROUND(IF(AQ101="7",BI101,0),2)</f>
        <v>0</v>
      </c>
      <c r="AF101" s="59">
        <f>ROUND(IF(AQ101="2",BH101,0),2)</f>
        <v>0</v>
      </c>
      <c r="AG101" s="59">
        <f>ROUND(IF(AQ101="2",BI101,0),2)</f>
        <v>0</v>
      </c>
      <c r="AH101" s="59">
        <f>ROUND(IF(AQ101="0",BJ101,0),2)</f>
        <v>0</v>
      </c>
      <c r="AI101" s="46" t="s">
        <v>514</v>
      </c>
      <c r="AJ101" s="59">
        <f>IF(AN101=0,I101,0)</f>
        <v>0</v>
      </c>
      <c r="AK101" s="59">
        <f>IF(AN101=12,I101,0)</f>
        <v>0</v>
      </c>
      <c r="AL101" s="59">
        <f>IF(AN101=21,I101,0)</f>
        <v>0</v>
      </c>
      <c r="AN101" s="59">
        <v>12</v>
      </c>
      <c r="AO101" s="59">
        <f>H101*0.091915035</f>
        <v>0</v>
      </c>
      <c r="AP101" s="59">
        <f>H101*(1-0.091915035)</f>
        <v>0</v>
      </c>
      <c r="AQ101" s="61" t="s">
        <v>150</v>
      </c>
      <c r="AV101" s="59">
        <f>ROUND(AW101+AX101,2)</f>
        <v>0</v>
      </c>
      <c r="AW101" s="59">
        <f>ROUND(G101*AO101,2)</f>
        <v>0</v>
      </c>
      <c r="AX101" s="59">
        <f>ROUND(G101*AP101,2)</f>
        <v>0</v>
      </c>
      <c r="AY101" s="61" t="s">
        <v>230</v>
      </c>
      <c r="AZ101" s="61" t="s">
        <v>522</v>
      </c>
      <c r="BA101" s="46" t="s">
        <v>517</v>
      </c>
      <c r="BC101" s="59">
        <f>AW101+AX101</f>
        <v>0</v>
      </c>
      <c r="BD101" s="59">
        <f>H101/(100-BE101)*100</f>
        <v>0</v>
      </c>
      <c r="BE101" s="59">
        <v>0</v>
      </c>
      <c r="BF101" s="59">
        <f>L101</f>
        <v>2.1153999999999999E-3</v>
      </c>
      <c r="BH101" s="59">
        <f>G101*AO101</f>
        <v>0</v>
      </c>
      <c r="BI101" s="59">
        <f>G101*AP101</f>
        <v>0</v>
      </c>
      <c r="BJ101" s="59">
        <f>G101*H101</f>
        <v>0</v>
      </c>
      <c r="BK101" s="59"/>
      <c r="BL101" s="59">
        <v>783</v>
      </c>
      <c r="BW101" s="59">
        <v>12</v>
      </c>
      <c r="BX101" s="16" t="s">
        <v>412</v>
      </c>
    </row>
    <row r="102" spans="1:76" ht="13.5" customHeight="1" x14ac:dyDescent="0.25">
      <c r="A102" s="62"/>
      <c r="D102" s="105" t="s">
        <v>415</v>
      </c>
      <c r="E102" s="105"/>
      <c r="F102" s="105"/>
      <c r="G102" s="105"/>
      <c r="H102" s="105"/>
      <c r="I102" s="105"/>
      <c r="J102" s="105"/>
      <c r="K102" s="105"/>
      <c r="L102" s="105"/>
      <c r="M102" s="105"/>
    </row>
    <row r="103" spans="1:76" x14ac:dyDescent="0.25">
      <c r="A103" s="62"/>
      <c r="D103" s="63" t="s">
        <v>410</v>
      </c>
      <c r="E103" s="63"/>
      <c r="G103" s="64">
        <v>30.22</v>
      </c>
      <c r="M103" s="65"/>
    </row>
    <row r="104" spans="1:76" ht="15" customHeight="1" x14ac:dyDescent="0.25">
      <c r="A104" s="54"/>
      <c r="B104" s="55" t="s">
        <v>514</v>
      </c>
      <c r="C104" s="55" t="s">
        <v>239</v>
      </c>
      <c r="D104" s="104" t="s">
        <v>240</v>
      </c>
      <c r="E104" s="104"/>
      <c r="F104" s="56" t="s">
        <v>88</v>
      </c>
      <c r="G104" s="56" t="s">
        <v>88</v>
      </c>
      <c r="H104" s="56" t="s">
        <v>88</v>
      </c>
      <c r="I104" s="39">
        <f>SUM(I105:I111)</f>
        <v>0</v>
      </c>
      <c r="J104" s="46"/>
      <c r="K104" s="46"/>
      <c r="L104" s="39">
        <f>SUM(L105:L111)</f>
        <v>0.11591559999999999</v>
      </c>
      <c r="M104" s="57"/>
      <c r="AI104" s="46" t="s">
        <v>514</v>
      </c>
      <c r="AS104" s="39">
        <f>SUM(AJ105:AJ111)</f>
        <v>0</v>
      </c>
      <c r="AT104" s="39">
        <f>SUM(AK105:AK111)</f>
        <v>0</v>
      </c>
      <c r="AU104" s="39">
        <f>SUM(AL105:AL111)</f>
        <v>0</v>
      </c>
    </row>
    <row r="105" spans="1:76" ht="15" customHeight="1" x14ac:dyDescent="0.25">
      <c r="A105" s="58" t="s">
        <v>305</v>
      </c>
      <c r="B105" s="18" t="s">
        <v>514</v>
      </c>
      <c r="C105" s="18" t="s">
        <v>242</v>
      </c>
      <c r="D105" s="8" t="s">
        <v>243</v>
      </c>
      <c r="E105" s="8"/>
      <c r="F105" s="18" t="s">
        <v>114</v>
      </c>
      <c r="G105" s="59">
        <f>'Stavební rozpočet'!G608</f>
        <v>256.68</v>
      </c>
      <c r="H105" s="59">
        <f>'Stavební rozpočet'!H608</f>
        <v>0</v>
      </c>
      <c r="I105" s="59">
        <f>ROUND(G105*H105,2)</f>
        <v>0</v>
      </c>
      <c r="J105" s="59">
        <f>'Stavební rozpočet'!J608</f>
        <v>3.5E-4</v>
      </c>
      <c r="K105" s="59">
        <f>'Stavební rozpočet'!K608</f>
        <v>3.5E-4</v>
      </c>
      <c r="L105" s="59">
        <f>G105*K105</f>
        <v>8.9838000000000001E-2</v>
      </c>
      <c r="M105" s="60" t="s">
        <v>115</v>
      </c>
      <c r="Z105" s="59">
        <f>ROUND(IF(AQ105="5",BJ105,0),2)</f>
        <v>0</v>
      </c>
      <c r="AB105" s="59">
        <f>ROUND(IF(AQ105="1",BH105,0),2)</f>
        <v>0</v>
      </c>
      <c r="AC105" s="59">
        <f>ROUND(IF(AQ105="1",BI105,0),2)</f>
        <v>0</v>
      </c>
      <c r="AD105" s="59">
        <f>ROUND(IF(AQ105="7",BH105,0),2)</f>
        <v>0</v>
      </c>
      <c r="AE105" s="59">
        <f>ROUND(IF(AQ105="7",BI105,0),2)</f>
        <v>0</v>
      </c>
      <c r="AF105" s="59">
        <f>ROUND(IF(AQ105="2",BH105,0),2)</f>
        <v>0</v>
      </c>
      <c r="AG105" s="59">
        <f>ROUND(IF(AQ105="2",BI105,0),2)</f>
        <v>0</v>
      </c>
      <c r="AH105" s="59">
        <f>ROUND(IF(AQ105="0",BJ105,0),2)</f>
        <v>0</v>
      </c>
      <c r="AI105" s="46" t="s">
        <v>514</v>
      </c>
      <c r="AJ105" s="59">
        <f>IF(AN105=0,I105,0)</f>
        <v>0</v>
      </c>
      <c r="AK105" s="59">
        <f>IF(AN105=12,I105,0)</f>
        <v>0</v>
      </c>
      <c r="AL105" s="59">
        <f>IF(AN105=21,I105,0)</f>
        <v>0</v>
      </c>
      <c r="AN105" s="59">
        <v>12</v>
      </c>
      <c r="AO105" s="59">
        <f>H105*0.577223798</f>
        <v>0</v>
      </c>
      <c r="AP105" s="59">
        <f>H105*(1-0.577223798)</f>
        <v>0</v>
      </c>
      <c r="AQ105" s="61" t="s">
        <v>150</v>
      </c>
      <c r="AV105" s="59">
        <f>ROUND(AW105+AX105,2)</f>
        <v>0</v>
      </c>
      <c r="AW105" s="59">
        <f>ROUND(G105*AO105,2)</f>
        <v>0</v>
      </c>
      <c r="AX105" s="59">
        <f>ROUND(G105*AP105,2)</f>
        <v>0</v>
      </c>
      <c r="AY105" s="61" t="s">
        <v>244</v>
      </c>
      <c r="AZ105" s="61" t="s">
        <v>522</v>
      </c>
      <c r="BA105" s="46" t="s">
        <v>517</v>
      </c>
      <c r="BC105" s="59">
        <f>AW105+AX105</f>
        <v>0</v>
      </c>
      <c r="BD105" s="59">
        <f>H105/(100-BE105)*100</f>
        <v>0</v>
      </c>
      <c r="BE105" s="59">
        <v>0</v>
      </c>
      <c r="BF105" s="59">
        <f>L105</f>
        <v>8.9838000000000001E-2</v>
      </c>
      <c r="BH105" s="59">
        <f>G105*AO105</f>
        <v>0</v>
      </c>
      <c r="BI105" s="59">
        <f>G105*AP105</f>
        <v>0</v>
      </c>
      <c r="BJ105" s="59">
        <f>G105*H105</f>
        <v>0</v>
      </c>
      <c r="BK105" s="59"/>
      <c r="BL105" s="59">
        <v>784</v>
      </c>
      <c r="BW105" s="59">
        <v>12</v>
      </c>
      <c r="BX105" s="16" t="s">
        <v>243</v>
      </c>
    </row>
    <row r="106" spans="1:76" ht="13.5" customHeight="1" x14ac:dyDescent="0.25">
      <c r="A106" s="62"/>
      <c r="D106" s="105" t="s">
        <v>245</v>
      </c>
      <c r="E106" s="105"/>
      <c r="F106" s="105"/>
      <c r="G106" s="105"/>
      <c r="H106" s="105"/>
      <c r="I106" s="105"/>
      <c r="J106" s="105"/>
      <c r="K106" s="105"/>
      <c r="L106" s="105"/>
      <c r="M106" s="105"/>
    </row>
    <row r="107" spans="1:76" x14ac:dyDescent="0.25">
      <c r="A107" s="62"/>
      <c r="D107" s="63" t="s">
        <v>416</v>
      </c>
      <c r="E107" s="63"/>
      <c r="G107" s="64">
        <v>256.68</v>
      </c>
      <c r="M107" s="65"/>
    </row>
    <row r="108" spans="1:76" ht="15" customHeight="1" x14ac:dyDescent="0.25">
      <c r="A108" s="58" t="s">
        <v>308</v>
      </c>
      <c r="B108" s="18" t="s">
        <v>514</v>
      </c>
      <c r="C108" s="18" t="s">
        <v>249</v>
      </c>
      <c r="D108" s="8" t="s">
        <v>250</v>
      </c>
      <c r="E108" s="8"/>
      <c r="F108" s="18" t="s">
        <v>114</v>
      </c>
      <c r="G108" s="59">
        <f>'Stavební rozpočet'!G610</f>
        <v>27.2</v>
      </c>
      <c r="H108" s="59">
        <f>'Stavební rozpočet'!H610</f>
        <v>0</v>
      </c>
      <c r="I108" s="59">
        <f>ROUND(G108*H108,2)</f>
        <v>0</v>
      </c>
      <c r="J108" s="59">
        <f>'Stavební rozpočet'!J610</f>
        <v>7.6999999999999996E-4</v>
      </c>
      <c r="K108" s="59">
        <f>'Stavební rozpočet'!K610</f>
        <v>7.6999999999999996E-4</v>
      </c>
      <c r="L108" s="59">
        <f>G108*K108</f>
        <v>2.0943999999999997E-2</v>
      </c>
      <c r="M108" s="60" t="s">
        <v>115</v>
      </c>
      <c r="Z108" s="59">
        <f>ROUND(IF(AQ108="5",BJ108,0),2)</f>
        <v>0</v>
      </c>
      <c r="AB108" s="59">
        <f>ROUND(IF(AQ108="1",BH108,0),2)</f>
        <v>0</v>
      </c>
      <c r="AC108" s="59">
        <f>ROUND(IF(AQ108="1",BI108,0),2)</f>
        <v>0</v>
      </c>
      <c r="AD108" s="59">
        <f>ROUND(IF(AQ108="7",BH108,0),2)</f>
        <v>0</v>
      </c>
      <c r="AE108" s="59">
        <f>ROUND(IF(AQ108="7",BI108,0),2)</f>
        <v>0</v>
      </c>
      <c r="AF108" s="59">
        <f>ROUND(IF(AQ108="2",BH108,0),2)</f>
        <v>0</v>
      </c>
      <c r="AG108" s="59">
        <f>ROUND(IF(AQ108="2",BI108,0),2)</f>
        <v>0</v>
      </c>
      <c r="AH108" s="59">
        <f>ROUND(IF(AQ108="0",BJ108,0),2)</f>
        <v>0</v>
      </c>
      <c r="AI108" s="46" t="s">
        <v>514</v>
      </c>
      <c r="AJ108" s="59">
        <f>IF(AN108=0,I108,0)</f>
        <v>0</v>
      </c>
      <c r="AK108" s="59">
        <f>IF(AN108=12,I108,0)</f>
        <v>0</v>
      </c>
      <c r="AL108" s="59">
        <f>IF(AN108=21,I108,0)</f>
        <v>0</v>
      </c>
      <c r="AN108" s="59">
        <v>12</v>
      </c>
      <c r="AO108" s="59">
        <f>H108*0.248888305</f>
        <v>0</v>
      </c>
      <c r="AP108" s="59">
        <f>H108*(1-0.248888305)</f>
        <v>0</v>
      </c>
      <c r="AQ108" s="61" t="s">
        <v>150</v>
      </c>
      <c r="AV108" s="59">
        <f>ROUND(AW108+AX108,2)</f>
        <v>0</v>
      </c>
      <c r="AW108" s="59">
        <f>ROUND(G108*AO108,2)</f>
        <v>0</v>
      </c>
      <c r="AX108" s="59">
        <f>ROUND(G108*AP108,2)</f>
        <v>0</v>
      </c>
      <c r="AY108" s="61" t="s">
        <v>244</v>
      </c>
      <c r="AZ108" s="61" t="s">
        <v>522</v>
      </c>
      <c r="BA108" s="46" t="s">
        <v>517</v>
      </c>
      <c r="BC108" s="59">
        <f>AW108+AX108</f>
        <v>0</v>
      </c>
      <c r="BD108" s="59">
        <f>H108/(100-BE108)*100</f>
        <v>0</v>
      </c>
      <c r="BE108" s="59">
        <v>0</v>
      </c>
      <c r="BF108" s="59">
        <f>L108</f>
        <v>2.0943999999999997E-2</v>
      </c>
      <c r="BH108" s="59">
        <f>G108*AO108</f>
        <v>0</v>
      </c>
      <c r="BI108" s="59">
        <f>G108*AP108</f>
        <v>0</v>
      </c>
      <c r="BJ108" s="59">
        <f>G108*H108</f>
        <v>0</v>
      </c>
      <c r="BK108" s="59"/>
      <c r="BL108" s="59">
        <v>784</v>
      </c>
      <c r="BW108" s="59">
        <v>12</v>
      </c>
      <c r="BX108" s="16" t="s">
        <v>250</v>
      </c>
    </row>
    <row r="109" spans="1:76" ht="13.5" customHeight="1" x14ac:dyDescent="0.25">
      <c r="A109" s="62"/>
      <c r="D109" s="105" t="s">
        <v>251</v>
      </c>
      <c r="E109" s="105"/>
      <c r="F109" s="105"/>
      <c r="G109" s="105"/>
      <c r="H109" s="105"/>
      <c r="I109" s="105"/>
      <c r="J109" s="105"/>
      <c r="K109" s="105"/>
      <c r="L109" s="105"/>
      <c r="M109" s="105"/>
    </row>
    <row r="110" spans="1:76" x14ac:dyDescent="0.25">
      <c r="A110" s="62"/>
      <c r="D110" s="63" t="s">
        <v>502</v>
      </c>
      <c r="E110" s="63"/>
      <c r="G110" s="64">
        <v>27.2</v>
      </c>
      <c r="M110" s="65"/>
    </row>
    <row r="111" spans="1:76" ht="15" customHeight="1" x14ac:dyDescent="0.25">
      <c r="A111" s="58" t="s">
        <v>314</v>
      </c>
      <c r="B111" s="18" t="s">
        <v>514</v>
      </c>
      <c r="C111" s="18" t="s">
        <v>254</v>
      </c>
      <c r="D111" s="8" t="s">
        <v>255</v>
      </c>
      <c r="E111" s="8"/>
      <c r="F111" s="18" t="s">
        <v>114</v>
      </c>
      <c r="G111" s="59">
        <f>'Stavební rozpočet'!G612</f>
        <v>513.36</v>
      </c>
      <c r="H111" s="59">
        <f>'Stavební rozpočet'!H612</f>
        <v>0</v>
      </c>
      <c r="I111" s="59">
        <f>ROUND(G111*H111,2)</f>
        <v>0</v>
      </c>
      <c r="J111" s="59">
        <f>'Stavební rozpočet'!J612</f>
        <v>1.0000000000000001E-5</v>
      </c>
      <c r="K111" s="59">
        <f>'Stavební rozpočet'!K612</f>
        <v>1.0000000000000001E-5</v>
      </c>
      <c r="L111" s="59">
        <f>G111*K111</f>
        <v>5.1336000000000003E-3</v>
      </c>
      <c r="M111" s="60" t="s">
        <v>115</v>
      </c>
      <c r="Z111" s="59">
        <f>ROUND(IF(AQ111="5",BJ111,0),2)</f>
        <v>0</v>
      </c>
      <c r="AB111" s="59">
        <f>ROUND(IF(AQ111="1",BH111,0),2)</f>
        <v>0</v>
      </c>
      <c r="AC111" s="59">
        <f>ROUND(IF(AQ111="1",BI111,0),2)</f>
        <v>0</v>
      </c>
      <c r="AD111" s="59">
        <f>ROUND(IF(AQ111="7",BH111,0),2)</f>
        <v>0</v>
      </c>
      <c r="AE111" s="59">
        <f>ROUND(IF(AQ111="7",BI111,0),2)</f>
        <v>0</v>
      </c>
      <c r="AF111" s="59">
        <f>ROUND(IF(AQ111="2",BH111,0),2)</f>
        <v>0</v>
      </c>
      <c r="AG111" s="59">
        <f>ROUND(IF(AQ111="2",BI111,0),2)</f>
        <v>0</v>
      </c>
      <c r="AH111" s="59">
        <f>ROUND(IF(AQ111="0",BJ111,0),2)</f>
        <v>0</v>
      </c>
      <c r="AI111" s="46" t="s">
        <v>514</v>
      </c>
      <c r="AJ111" s="59">
        <f>IF(AN111=0,I111,0)</f>
        <v>0</v>
      </c>
      <c r="AK111" s="59">
        <f>IF(AN111=12,I111,0)</f>
        <v>0</v>
      </c>
      <c r="AL111" s="59">
        <f>IF(AN111=21,I111,0)</f>
        <v>0</v>
      </c>
      <c r="AN111" s="59">
        <v>12</v>
      </c>
      <c r="AO111" s="59">
        <f>H111*0.236832231</f>
        <v>0</v>
      </c>
      <c r="AP111" s="59">
        <f>H111*(1-0.236832231)</f>
        <v>0</v>
      </c>
      <c r="AQ111" s="61" t="s">
        <v>150</v>
      </c>
      <c r="AV111" s="59">
        <f>ROUND(AW111+AX111,2)</f>
        <v>0</v>
      </c>
      <c r="AW111" s="59">
        <f>ROUND(G111*AO111,2)</f>
        <v>0</v>
      </c>
      <c r="AX111" s="59">
        <f>ROUND(G111*AP111,2)</f>
        <v>0</v>
      </c>
      <c r="AY111" s="61" t="s">
        <v>244</v>
      </c>
      <c r="AZ111" s="61" t="s">
        <v>522</v>
      </c>
      <c r="BA111" s="46" t="s">
        <v>517</v>
      </c>
      <c r="BC111" s="59">
        <f>AW111+AX111</f>
        <v>0</v>
      </c>
      <c r="BD111" s="59">
        <f>H111/(100-BE111)*100</f>
        <v>0</v>
      </c>
      <c r="BE111" s="59">
        <v>0</v>
      </c>
      <c r="BF111" s="59">
        <f>L111</f>
        <v>5.1336000000000003E-3</v>
      </c>
      <c r="BH111" s="59">
        <f>G111*AO111</f>
        <v>0</v>
      </c>
      <c r="BI111" s="59">
        <f>G111*AP111</f>
        <v>0</v>
      </c>
      <c r="BJ111" s="59">
        <f>G111*H111</f>
        <v>0</v>
      </c>
      <c r="BK111" s="59"/>
      <c r="BL111" s="59">
        <v>784</v>
      </c>
      <c r="BW111" s="59">
        <v>12</v>
      </c>
      <c r="BX111" s="16" t="s">
        <v>255</v>
      </c>
    </row>
    <row r="112" spans="1:76" ht="13.5" customHeight="1" x14ac:dyDescent="0.25">
      <c r="A112" s="62"/>
      <c r="D112" s="105" t="s">
        <v>256</v>
      </c>
      <c r="E112" s="105"/>
      <c r="F112" s="105"/>
      <c r="G112" s="105"/>
      <c r="H112" s="105"/>
      <c r="I112" s="105"/>
      <c r="J112" s="105"/>
      <c r="K112" s="105"/>
      <c r="L112" s="105"/>
      <c r="M112" s="105"/>
    </row>
    <row r="113" spans="1:76" x14ac:dyDescent="0.25">
      <c r="A113" s="62"/>
      <c r="D113" s="63" t="s">
        <v>418</v>
      </c>
      <c r="E113" s="63"/>
      <c r="G113" s="64">
        <v>513.36</v>
      </c>
      <c r="M113" s="65"/>
    </row>
    <row r="114" spans="1:76" ht="15" customHeight="1" x14ac:dyDescent="0.25">
      <c r="A114" s="54"/>
      <c r="B114" s="55" t="s">
        <v>514</v>
      </c>
      <c r="C114" s="55" t="s">
        <v>259</v>
      </c>
      <c r="D114" s="104" t="s">
        <v>260</v>
      </c>
      <c r="E114" s="104"/>
      <c r="F114" s="56" t="s">
        <v>88</v>
      </c>
      <c r="G114" s="56" t="s">
        <v>88</v>
      </c>
      <c r="H114" s="56" t="s">
        <v>88</v>
      </c>
      <c r="I114" s="39">
        <f>SUM(I115)</f>
        <v>0</v>
      </c>
      <c r="J114" s="46"/>
      <c r="K114" s="46"/>
      <c r="L114" s="39">
        <f>SUM(L115)</f>
        <v>8.2512000000000002E-2</v>
      </c>
      <c r="M114" s="57"/>
      <c r="AI114" s="46" t="s">
        <v>514</v>
      </c>
      <c r="AS114" s="39">
        <f>SUM(AJ115)</f>
        <v>0</v>
      </c>
      <c r="AT114" s="39">
        <f>SUM(AK115)</f>
        <v>0</v>
      </c>
      <c r="AU114" s="39">
        <f>SUM(AL115)</f>
        <v>0</v>
      </c>
    </row>
    <row r="115" spans="1:76" ht="15" customHeight="1" x14ac:dyDescent="0.25">
      <c r="A115" s="58" t="s">
        <v>320</v>
      </c>
      <c r="B115" s="18" t="s">
        <v>514</v>
      </c>
      <c r="C115" s="18" t="s">
        <v>262</v>
      </c>
      <c r="D115" s="8" t="s">
        <v>419</v>
      </c>
      <c r="E115" s="8"/>
      <c r="F115" s="18" t="s">
        <v>114</v>
      </c>
      <c r="G115" s="59">
        <f>'Stavební rozpočet'!G615</f>
        <v>21.6</v>
      </c>
      <c r="H115" s="59">
        <f>'Stavební rozpočet'!H615</f>
        <v>0</v>
      </c>
      <c r="I115" s="59">
        <f>ROUND(G115*H115,2)</f>
        <v>0</v>
      </c>
      <c r="J115" s="59">
        <f>'Stavební rozpočet'!J615</f>
        <v>3.82E-3</v>
      </c>
      <c r="K115" s="59">
        <f>'Stavební rozpočet'!K615</f>
        <v>3.82E-3</v>
      </c>
      <c r="L115" s="59">
        <f>G115*K115</f>
        <v>8.2512000000000002E-2</v>
      </c>
      <c r="M115" s="60" t="s">
        <v>115</v>
      </c>
      <c r="Z115" s="59">
        <f>ROUND(IF(AQ115="5",BJ115,0),2)</f>
        <v>0</v>
      </c>
      <c r="AB115" s="59">
        <f>ROUND(IF(AQ115="1",BH115,0),2)</f>
        <v>0</v>
      </c>
      <c r="AC115" s="59">
        <f>ROUND(IF(AQ115="1",BI115,0),2)</f>
        <v>0</v>
      </c>
      <c r="AD115" s="59">
        <f>ROUND(IF(AQ115="7",BH115,0),2)</f>
        <v>0</v>
      </c>
      <c r="AE115" s="59">
        <f>ROUND(IF(AQ115="7",BI115,0),2)</f>
        <v>0</v>
      </c>
      <c r="AF115" s="59">
        <f>ROUND(IF(AQ115="2",BH115,0),2)</f>
        <v>0</v>
      </c>
      <c r="AG115" s="59">
        <f>ROUND(IF(AQ115="2",BI115,0),2)</f>
        <v>0</v>
      </c>
      <c r="AH115" s="59">
        <f>ROUND(IF(AQ115="0",BJ115,0),2)</f>
        <v>0</v>
      </c>
      <c r="AI115" s="46" t="s">
        <v>514</v>
      </c>
      <c r="AJ115" s="59">
        <f>IF(AN115=0,I115,0)</f>
        <v>0</v>
      </c>
      <c r="AK115" s="59">
        <f>IF(AN115=12,I115,0)</f>
        <v>0</v>
      </c>
      <c r="AL115" s="59">
        <f>IF(AN115=21,I115,0)</f>
        <v>0</v>
      </c>
      <c r="AN115" s="59">
        <v>12</v>
      </c>
      <c r="AO115" s="59">
        <f>H115*0.657241014</f>
        <v>0</v>
      </c>
      <c r="AP115" s="59">
        <f>H115*(1-0.657241014)</f>
        <v>0</v>
      </c>
      <c r="AQ115" s="61" t="s">
        <v>150</v>
      </c>
      <c r="AV115" s="59">
        <f>ROUND(AW115+AX115,2)</f>
        <v>0</v>
      </c>
      <c r="AW115" s="59">
        <f>ROUND(G115*AO115,2)</f>
        <v>0</v>
      </c>
      <c r="AX115" s="59">
        <f>ROUND(G115*AP115,2)</f>
        <v>0</v>
      </c>
      <c r="AY115" s="61" t="s">
        <v>264</v>
      </c>
      <c r="AZ115" s="61" t="s">
        <v>522</v>
      </c>
      <c r="BA115" s="46" t="s">
        <v>517</v>
      </c>
      <c r="BC115" s="59">
        <f>AW115+AX115</f>
        <v>0</v>
      </c>
      <c r="BD115" s="59">
        <f>H115/(100-BE115)*100</f>
        <v>0</v>
      </c>
      <c r="BE115" s="59">
        <v>0</v>
      </c>
      <c r="BF115" s="59">
        <f>L115</f>
        <v>8.2512000000000002E-2</v>
      </c>
      <c r="BH115" s="59">
        <f>G115*AO115</f>
        <v>0</v>
      </c>
      <c r="BI115" s="59">
        <f>G115*AP115</f>
        <v>0</v>
      </c>
      <c r="BJ115" s="59">
        <f>G115*H115</f>
        <v>0</v>
      </c>
      <c r="BK115" s="59"/>
      <c r="BL115" s="59">
        <v>786</v>
      </c>
      <c r="BW115" s="59">
        <v>12</v>
      </c>
      <c r="BX115" s="16" t="s">
        <v>419</v>
      </c>
    </row>
    <row r="116" spans="1:76" ht="13.5" customHeight="1" x14ac:dyDescent="0.25">
      <c r="A116" s="62"/>
      <c r="D116" s="105" t="s">
        <v>265</v>
      </c>
      <c r="E116" s="105"/>
      <c r="F116" s="105"/>
      <c r="G116" s="105"/>
      <c r="H116" s="105"/>
      <c r="I116" s="105"/>
      <c r="J116" s="105"/>
      <c r="K116" s="105"/>
      <c r="L116" s="105"/>
      <c r="M116" s="105"/>
    </row>
    <row r="117" spans="1:76" x14ac:dyDescent="0.25">
      <c r="A117" s="62"/>
      <c r="D117" s="63" t="s">
        <v>420</v>
      </c>
      <c r="E117" s="63"/>
      <c r="G117" s="64">
        <v>21.6</v>
      </c>
      <c r="M117" s="65"/>
    </row>
    <row r="118" spans="1:76" ht="15" customHeight="1" x14ac:dyDescent="0.25">
      <c r="A118" s="54"/>
      <c r="B118" s="55" t="s">
        <v>514</v>
      </c>
      <c r="C118" s="55" t="s">
        <v>267</v>
      </c>
      <c r="D118" s="104" t="s">
        <v>268</v>
      </c>
      <c r="E118" s="104"/>
      <c r="F118" s="56" t="s">
        <v>88</v>
      </c>
      <c r="G118" s="56" t="s">
        <v>88</v>
      </c>
      <c r="H118" s="56" t="s">
        <v>88</v>
      </c>
      <c r="I118" s="39">
        <f>SUM(I119:I125)</f>
        <v>0</v>
      </c>
      <c r="J118" s="46"/>
      <c r="K118" s="46"/>
      <c r="L118" s="39">
        <f>SUM(L119:L125)</f>
        <v>0</v>
      </c>
      <c r="M118" s="57"/>
      <c r="AI118" s="46" t="s">
        <v>514</v>
      </c>
      <c r="AS118" s="39">
        <f>SUM(AJ119:AJ125)</f>
        <v>0</v>
      </c>
      <c r="AT118" s="39">
        <f>SUM(AK119:AK125)</f>
        <v>0</v>
      </c>
      <c r="AU118" s="39">
        <f>SUM(AL119:AL125)</f>
        <v>0</v>
      </c>
    </row>
    <row r="119" spans="1:76" ht="15" customHeight="1" x14ac:dyDescent="0.25">
      <c r="A119" s="58" t="s">
        <v>326</v>
      </c>
      <c r="B119" s="18" t="s">
        <v>514</v>
      </c>
      <c r="C119" s="18" t="s">
        <v>270</v>
      </c>
      <c r="D119" s="8" t="s">
        <v>271</v>
      </c>
      <c r="E119" s="8"/>
      <c r="F119" s="18" t="s">
        <v>272</v>
      </c>
      <c r="G119" s="59">
        <f>'Stavební rozpočet'!G618</f>
        <v>12</v>
      </c>
      <c r="H119" s="59">
        <f>'Stavební rozpočet'!H618</f>
        <v>0</v>
      </c>
      <c r="I119" s="59">
        <f>ROUND(G119*H119,2)</f>
        <v>0</v>
      </c>
      <c r="J119" s="59">
        <f>'Stavební rozpočet'!J618</f>
        <v>0</v>
      </c>
      <c r="K119" s="59">
        <f>'Stavební rozpočet'!K618</f>
        <v>0</v>
      </c>
      <c r="L119" s="59">
        <f>G119*K119</f>
        <v>0</v>
      </c>
      <c r="M119" s="60" t="s">
        <v>115</v>
      </c>
      <c r="Z119" s="59">
        <f>ROUND(IF(AQ119="5",BJ119,0),2)</f>
        <v>0</v>
      </c>
      <c r="AB119" s="59">
        <f>ROUND(IF(AQ119="1",BH119,0),2)</f>
        <v>0</v>
      </c>
      <c r="AC119" s="59">
        <f>ROUND(IF(AQ119="1",BI119,0),2)</f>
        <v>0</v>
      </c>
      <c r="AD119" s="59">
        <f>ROUND(IF(AQ119="7",BH119,0),2)</f>
        <v>0</v>
      </c>
      <c r="AE119" s="59">
        <f>ROUND(IF(AQ119="7",BI119,0),2)</f>
        <v>0</v>
      </c>
      <c r="AF119" s="59">
        <f>ROUND(IF(AQ119="2",BH119,0),2)</f>
        <v>0</v>
      </c>
      <c r="AG119" s="59">
        <f>ROUND(IF(AQ119="2",BI119,0),2)</f>
        <v>0</v>
      </c>
      <c r="AH119" s="59">
        <f>ROUND(IF(AQ119="0",BJ119,0),2)</f>
        <v>0</v>
      </c>
      <c r="AI119" s="46" t="s">
        <v>514</v>
      </c>
      <c r="AJ119" s="59">
        <f>IF(AN119=0,I119,0)</f>
        <v>0</v>
      </c>
      <c r="AK119" s="59">
        <f>IF(AN119=12,I119,0)</f>
        <v>0</v>
      </c>
      <c r="AL119" s="59">
        <f>IF(AN119=21,I119,0)</f>
        <v>0</v>
      </c>
      <c r="AN119" s="59">
        <v>12</v>
      </c>
      <c r="AO119" s="59">
        <f>H119*0</f>
        <v>0</v>
      </c>
      <c r="AP119" s="59">
        <f>H119*(1-0)</f>
        <v>0</v>
      </c>
      <c r="AQ119" s="61" t="s">
        <v>111</v>
      </c>
      <c r="AV119" s="59">
        <f>ROUND(AW119+AX119,2)</f>
        <v>0</v>
      </c>
      <c r="AW119" s="59">
        <f>ROUND(G119*AO119,2)</f>
        <v>0</v>
      </c>
      <c r="AX119" s="59">
        <f>ROUND(G119*AP119,2)</f>
        <v>0</v>
      </c>
      <c r="AY119" s="61" t="s">
        <v>273</v>
      </c>
      <c r="AZ119" s="61" t="s">
        <v>523</v>
      </c>
      <c r="BA119" s="46" t="s">
        <v>517</v>
      </c>
      <c r="BC119" s="59">
        <f>AW119+AX119</f>
        <v>0</v>
      </c>
      <c r="BD119" s="59">
        <f>H119/(100-BE119)*100</f>
        <v>0</v>
      </c>
      <c r="BE119" s="59">
        <v>0</v>
      </c>
      <c r="BF119" s="59">
        <f>L119</f>
        <v>0</v>
      </c>
      <c r="BH119" s="59">
        <f>G119*AO119</f>
        <v>0</v>
      </c>
      <c r="BI119" s="59">
        <f>G119*AP119</f>
        <v>0</v>
      </c>
      <c r="BJ119" s="59">
        <f>G119*H119</f>
        <v>0</v>
      </c>
      <c r="BK119" s="59"/>
      <c r="BL119" s="59">
        <v>90</v>
      </c>
      <c r="BW119" s="59">
        <v>12</v>
      </c>
      <c r="BX119" s="16" t="s">
        <v>271</v>
      </c>
    </row>
    <row r="120" spans="1:76" ht="40.5" customHeight="1" x14ac:dyDescent="0.25">
      <c r="A120" s="62"/>
      <c r="D120" s="105" t="s">
        <v>481</v>
      </c>
      <c r="E120" s="105"/>
      <c r="F120" s="105"/>
      <c r="G120" s="105"/>
      <c r="H120" s="105"/>
      <c r="I120" s="105"/>
      <c r="J120" s="105"/>
      <c r="K120" s="105"/>
      <c r="L120" s="105"/>
      <c r="M120" s="105"/>
    </row>
    <row r="121" spans="1:76" x14ac:dyDescent="0.25">
      <c r="A121" s="62"/>
      <c r="D121" s="63" t="s">
        <v>176</v>
      </c>
      <c r="E121" s="63"/>
      <c r="G121" s="64">
        <v>12</v>
      </c>
      <c r="M121" s="65"/>
    </row>
    <row r="122" spans="1:76" ht="15" customHeight="1" x14ac:dyDescent="0.25">
      <c r="A122" s="58" t="s">
        <v>331</v>
      </c>
      <c r="B122" s="18" t="s">
        <v>514</v>
      </c>
      <c r="C122" s="18" t="s">
        <v>423</v>
      </c>
      <c r="D122" s="8" t="s">
        <v>271</v>
      </c>
      <c r="E122" s="8"/>
      <c r="F122" s="18" t="s">
        <v>272</v>
      </c>
      <c r="G122" s="59">
        <f>'Stavební rozpočet'!G620</f>
        <v>18</v>
      </c>
      <c r="H122" s="59">
        <f>'Stavební rozpočet'!H620</f>
        <v>0</v>
      </c>
      <c r="I122" s="59">
        <f>ROUND(G122*H122,2)</f>
        <v>0</v>
      </c>
      <c r="J122" s="59">
        <f>'Stavební rozpočet'!J620</f>
        <v>0</v>
      </c>
      <c r="K122" s="59">
        <f>'Stavební rozpočet'!K620</f>
        <v>0</v>
      </c>
      <c r="L122" s="59">
        <f>G122*K122</f>
        <v>0</v>
      </c>
      <c r="M122" s="60" t="s">
        <v>115</v>
      </c>
      <c r="Z122" s="59">
        <f>ROUND(IF(AQ122="5",BJ122,0),2)</f>
        <v>0</v>
      </c>
      <c r="AB122" s="59">
        <f>ROUND(IF(AQ122="1",BH122,0),2)</f>
        <v>0</v>
      </c>
      <c r="AC122" s="59">
        <f>ROUND(IF(AQ122="1",BI122,0),2)</f>
        <v>0</v>
      </c>
      <c r="AD122" s="59">
        <f>ROUND(IF(AQ122="7",BH122,0),2)</f>
        <v>0</v>
      </c>
      <c r="AE122" s="59">
        <f>ROUND(IF(AQ122="7",BI122,0),2)</f>
        <v>0</v>
      </c>
      <c r="AF122" s="59">
        <f>ROUND(IF(AQ122="2",BH122,0),2)</f>
        <v>0</v>
      </c>
      <c r="AG122" s="59">
        <f>ROUND(IF(AQ122="2",BI122,0),2)</f>
        <v>0</v>
      </c>
      <c r="AH122" s="59">
        <f>ROUND(IF(AQ122="0",BJ122,0),2)</f>
        <v>0</v>
      </c>
      <c r="AI122" s="46" t="s">
        <v>514</v>
      </c>
      <c r="AJ122" s="59">
        <f>IF(AN122=0,I122,0)</f>
        <v>0</v>
      </c>
      <c r="AK122" s="59">
        <f>IF(AN122=12,I122,0)</f>
        <v>0</v>
      </c>
      <c r="AL122" s="59">
        <f>IF(AN122=21,I122,0)</f>
        <v>0</v>
      </c>
      <c r="AN122" s="59">
        <v>12</v>
      </c>
      <c r="AO122" s="59">
        <f>H122*0</f>
        <v>0</v>
      </c>
      <c r="AP122" s="59">
        <f>H122*(1-0)</f>
        <v>0</v>
      </c>
      <c r="AQ122" s="61" t="s">
        <v>111</v>
      </c>
      <c r="AV122" s="59">
        <f>ROUND(AW122+AX122,2)</f>
        <v>0</v>
      </c>
      <c r="AW122" s="59">
        <f>ROUND(G122*AO122,2)</f>
        <v>0</v>
      </c>
      <c r="AX122" s="59">
        <f>ROUND(G122*AP122,2)</f>
        <v>0</v>
      </c>
      <c r="AY122" s="61" t="s">
        <v>273</v>
      </c>
      <c r="AZ122" s="61" t="s">
        <v>523</v>
      </c>
      <c r="BA122" s="46" t="s">
        <v>517</v>
      </c>
      <c r="BC122" s="59">
        <f>AW122+AX122</f>
        <v>0</v>
      </c>
      <c r="BD122" s="59">
        <f>H122/(100-BE122)*100</f>
        <v>0</v>
      </c>
      <c r="BE122" s="59">
        <v>0</v>
      </c>
      <c r="BF122" s="59">
        <f>L122</f>
        <v>0</v>
      </c>
      <c r="BH122" s="59">
        <f>G122*AO122</f>
        <v>0</v>
      </c>
      <c r="BI122" s="59">
        <f>G122*AP122</f>
        <v>0</v>
      </c>
      <c r="BJ122" s="59">
        <f>G122*H122</f>
        <v>0</v>
      </c>
      <c r="BK122" s="59"/>
      <c r="BL122" s="59">
        <v>90</v>
      </c>
      <c r="BW122" s="59">
        <v>12</v>
      </c>
      <c r="BX122" s="16" t="s">
        <v>271</v>
      </c>
    </row>
    <row r="123" spans="1:76" ht="40.5" customHeight="1" x14ac:dyDescent="0.25">
      <c r="A123" s="62"/>
      <c r="D123" s="105" t="s">
        <v>424</v>
      </c>
      <c r="E123" s="105"/>
      <c r="F123" s="105"/>
      <c r="G123" s="105"/>
      <c r="H123" s="105"/>
      <c r="I123" s="105"/>
      <c r="J123" s="105"/>
      <c r="K123" s="105"/>
      <c r="L123" s="105"/>
      <c r="M123" s="105"/>
    </row>
    <row r="124" spans="1:76" x14ac:dyDescent="0.25">
      <c r="A124" s="62"/>
      <c r="D124" s="63" t="s">
        <v>215</v>
      </c>
      <c r="E124" s="63"/>
      <c r="G124" s="64">
        <v>18</v>
      </c>
      <c r="M124" s="65"/>
    </row>
    <row r="125" spans="1:76" ht="15" customHeight="1" x14ac:dyDescent="0.25">
      <c r="A125" s="58" t="s">
        <v>335</v>
      </c>
      <c r="B125" s="18" t="s">
        <v>514</v>
      </c>
      <c r="C125" s="18" t="s">
        <v>270</v>
      </c>
      <c r="D125" s="8" t="s">
        <v>271</v>
      </c>
      <c r="E125" s="8"/>
      <c r="F125" s="18" t="s">
        <v>272</v>
      </c>
      <c r="G125" s="59">
        <f>'Stavební rozpočet'!G622</f>
        <v>30</v>
      </c>
      <c r="H125" s="59">
        <f>'Stavební rozpočet'!H622</f>
        <v>0</v>
      </c>
      <c r="I125" s="59">
        <f>ROUND(G125*H125,2)</f>
        <v>0</v>
      </c>
      <c r="J125" s="59">
        <f>'Stavební rozpočet'!J622</f>
        <v>0</v>
      </c>
      <c r="K125" s="59">
        <f>'Stavební rozpočet'!K622</f>
        <v>0</v>
      </c>
      <c r="L125" s="59">
        <f>G125*K125</f>
        <v>0</v>
      </c>
      <c r="M125" s="60" t="s">
        <v>115</v>
      </c>
      <c r="Z125" s="59">
        <f>ROUND(IF(AQ125="5",BJ125,0),2)</f>
        <v>0</v>
      </c>
      <c r="AB125" s="59">
        <f>ROUND(IF(AQ125="1",BH125,0),2)</f>
        <v>0</v>
      </c>
      <c r="AC125" s="59">
        <f>ROUND(IF(AQ125="1",BI125,0),2)</f>
        <v>0</v>
      </c>
      <c r="AD125" s="59">
        <f>ROUND(IF(AQ125="7",BH125,0),2)</f>
        <v>0</v>
      </c>
      <c r="AE125" s="59">
        <f>ROUND(IF(AQ125="7",BI125,0),2)</f>
        <v>0</v>
      </c>
      <c r="AF125" s="59">
        <f>ROUND(IF(AQ125="2",BH125,0),2)</f>
        <v>0</v>
      </c>
      <c r="AG125" s="59">
        <f>ROUND(IF(AQ125="2",BI125,0),2)</f>
        <v>0</v>
      </c>
      <c r="AH125" s="59">
        <f>ROUND(IF(AQ125="0",BJ125,0),2)</f>
        <v>0</v>
      </c>
      <c r="AI125" s="46" t="s">
        <v>514</v>
      </c>
      <c r="AJ125" s="59">
        <f>IF(AN125=0,I125,0)</f>
        <v>0</v>
      </c>
      <c r="AK125" s="59">
        <f>IF(AN125=12,I125,0)</f>
        <v>0</v>
      </c>
      <c r="AL125" s="59">
        <f>IF(AN125=21,I125,0)</f>
        <v>0</v>
      </c>
      <c r="AN125" s="59">
        <v>12</v>
      </c>
      <c r="AO125" s="59">
        <f>H125*0</f>
        <v>0</v>
      </c>
      <c r="AP125" s="59">
        <f>H125*(1-0)</f>
        <v>0</v>
      </c>
      <c r="AQ125" s="61" t="s">
        <v>111</v>
      </c>
      <c r="AV125" s="59">
        <f>ROUND(AW125+AX125,2)</f>
        <v>0</v>
      </c>
      <c r="AW125" s="59">
        <f>ROUND(G125*AO125,2)</f>
        <v>0</v>
      </c>
      <c r="AX125" s="59">
        <f>ROUND(G125*AP125,2)</f>
        <v>0</v>
      </c>
      <c r="AY125" s="61" t="s">
        <v>273</v>
      </c>
      <c r="AZ125" s="61" t="s">
        <v>523</v>
      </c>
      <c r="BA125" s="46" t="s">
        <v>517</v>
      </c>
      <c r="BC125" s="59">
        <f>AW125+AX125</f>
        <v>0</v>
      </c>
      <c r="BD125" s="59">
        <f>H125/(100-BE125)*100</f>
        <v>0</v>
      </c>
      <c r="BE125" s="59">
        <v>0</v>
      </c>
      <c r="BF125" s="59">
        <f>L125</f>
        <v>0</v>
      </c>
      <c r="BH125" s="59">
        <f>G125*AO125</f>
        <v>0</v>
      </c>
      <c r="BI125" s="59">
        <f>G125*AP125</f>
        <v>0</v>
      </c>
      <c r="BJ125" s="59">
        <f>G125*H125</f>
        <v>0</v>
      </c>
      <c r="BK125" s="59"/>
      <c r="BL125" s="59">
        <v>90</v>
      </c>
      <c r="BW125" s="59">
        <v>12</v>
      </c>
      <c r="BX125" s="16" t="s">
        <v>271</v>
      </c>
    </row>
    <row r="126" spans="1:76" ht="13.5" customHeight="1" x14ac:dyDescent="0.25">
      <c r="A126" s="62"/>
      <c r="D126" s="105" t="s">
        <v>275</v>
      </c>
      <c r="E126" s="105"/>
      <c r="F126" s="105"/>
      <c r="G126" s="105"/>
      <c r="H126" s="105"/>
      <c r="I126" s="105"/>
      <c r="J126" s="105"/>
      <c r="K126" s="105"/>
      <c r="L126" s="105"/>
      <c r="M126" s="105"/>
    </row>
    <row r="127" spans="1:76" x14ac:dyDescent="0.25">
      <c r="A127" s="62"/>
      <c r="D127" s="63" t="s">
        <v>276</v>
      </c>
      <c r="E127" s="63"/>
      <c r="G127" s="64">
        <v>30</v>
      </c>
      <c r="M127" s="65"/>
    </row>
    <row r="128" spans="1:76" ht="15" customHeight="1" x14ac:dyDescent="0.25">
      <c r="A128" s="54"/>
      <c r="B128" s="55" t="s">
        <v>514</v>
      </c>
      <c r="C128" s="55" t="s">
        <v>277</v>
      </c>
      <c r="D128" s="104" t="s">
        <v>278</v>
      </c>
      <c r="E128" s="104"/>
      <c r="F128" s="56" t="s">
        <v>88</v>
      </c>
      <c r="G128" s="56" t="s">
        <v>88</v>
      </c>
      <c r="H128" s="56" t="s">
        <v>88</v>
      </c>
      <c r="I128" s="39">
        <f>SUM(I129:I131)</f>
        <v>0</v>
      </c>
      <c r="J128" s="46"/>
      <c r="K128" s="46"/>
      <c r="L128" s="39">
        <f>SUM(L129:L131)</f>
        <v>0.10526999999999999</v>
      </c>
      <c r="M128" s="57"/>
      <c r="AI128" s="46" t="s">
        <v>514</v>
      </c>
      <c r="AS128" s="39">
        <f>SUM(AJ129:AJ131)</f>
        <v>0</v>
      </c>
      <c r="AT128" s="39">
        <f>SUM(AK129:AK131)</f>
        <v>0</v>
      </c>
      <c r="AU128" s="39">
        <f>SUM(AL129:AL131)</f>
        <v>0</v>
      </c>
    </row>
    <row r="129" spans="1:76" ht="15" customHeight="1" x14ac:dyDescent="0.25">
      <c r="A129" s="58" t="s">
        <v>338</v>
      </c>
      <c r="B129" s="18" t="s">
        <v>514</v>
      </c>
      <c r="C129" s="18" t="s">
        <v>280</v>
      </c>
      <c r="D129" s="8" t="s">
        <v>281</v>
      </c>
      <c r="E129" s="8"/>
      <c r="F129" s="18" t="s">
        <v>114</v>
      </c>
      <c r="G129" s="59">
        <f>'Stavební rozpočet'!G625</f>
        <v>87</v>
      </c>
      <c r="H129" s="59">
        <f>'Stavební rozpočet'!H625</f>
        <v>0</v>
      </c>
      <c r="I129" s="59">
        <f>ROUND(G129*H129,2)</f>
        <v>0</v>
      </c>
      <c r="J129" s="59">
        <f>'Stavební rozpočet'!J625</f>
        <v>1.2099999999999999E-3</v>
      </c>
      <c r="K129" s="59">
        <f>'Stavební rozpočet'!K625</f>
        <v>1.2099999999999999E-3</v>
      </c>
      <c r="L129" s="59">
        <f>G129*K129</f>
        <v>0.10526999999999999</v>
      </c>
      <c r="M129" s="60" t="s">
        <v>115</v>
      </c>
      <c r="Z129" s="59">
        <f>ROUND(IF(AQ129="5",BJ129,0),2)</f>
        <v>0</v>
      </c>
      <c r="AB129" s="59">
        <f>ROUND(IF(AQ129="1",BH129,0),2)</f>
        <v>0</v>
      </c>
      <c r="AC129" s="59">
        <f>ROUND(IF(AQ129="1",BI129,0),2)</f>
        <v>0</v>
      </c>
      <c r="AD129" s="59">
        <f>ROUND(IF(AQ129="7",BH129,0),2)</f>
        <v>0</v>
      </c>
      <c r="AE129" s="59">
        <f>ROUND(IF(AQ129="7",BI129,0),2)</f>
        <v>0</v>
      </c>
      <c r="AF129" s="59">
        <f>ROUND(IF(AQ129="2",BH129,0),2)</f>
        <v>0</v>
      </c>
      <c r="AG129" s="59">
        <f>ROUND(IF(AQ129="2",BI129,0),2)</f>
        <v>0</v>
      </c>
      <c r="AH129" s="59">
        <f>ROUND(IF(AQ129="0",BJ129,0),2)</f>
        <v>0</v>
      </c>
      <c r="AI129" s="46" t="s">
        <v>514</v>
      </c>
      <c r="AJ129" s="59">
        <f>IF(AN129=0,I129,0)</f>
        <v>0</v>
      </c>
      <c r="AK129" s="59">
        <f>IF(AN129=12,I129,0)</f>
        <v>0</v>
      </c>
      <c r="AL129" s="59">
        <f>IF(AN129=21,I129,0)</f>
        <v>0</v>
      </c>
      <c r="AN129" s="59">
        <v>12</v>
      </c>
      <c r="AO129" s="59">
        <f>H129*0.309860944</f>
        <v>0</v>
      </c>
      <c r="AP129" s="59">
        <f>H129*(1-0.309860944)</f>
        <v>0</v>
      </c>
      <c r="AQ129" s="61" t="s">
        <v>111</v>
      </c>
      <c r="AV129" s="59">
        <f>ROUND(AW129+AX129,2)</f>
        <v>0</v>
      </c>
      <c r="AW129" s="59">
        <f>ROUND(G129*AO129,2)</f>
        <v>0</v>
      </c>
      <c r="AX129" s="59">
        <f>ROUND(G129*AP129,2)</f>
        <v>0</v>
      </c>
      <c r="AY129" s="61" t="s">
        <v>282</v>
      </c>
      <c r="AZ129" s="61" t="s">
        <v>523</v>
      </c>
      <c r="BA129" s="46" t="s">
        <v>517</v>
      </c>
      <c r="BC129" s="59">
        <f>AW129+AX129</f>
        <v>0</v>
      </c>
      <c r="BD129" s="59">
        <f>H129/(100-BE129)*100</f>
        <v>0</v>
      </c>
      <c r="BE129" s="59">
        <v>0</v>
      </c>
      <c r="BF129" s="59">
        <f>L129</f>
        <v>0.10526999999999999</v>
      </c>
      <c r="BH129" s="59">
        <f>G129*AO129</f>
        <v>0</v>
      </c>
      <c r="BI129" s="59">
        <f>G129*AP129</f>
        <v>0</v>
      </c>
      <c r="BJ129" s="59">
        <f>G129*H129</f>
        <v>0</v>
      </c>
      <c r="BK129" s="59"/>
      <c r="BL129" s="59">
        <v>94</v>
      </c>
      <c r="BW129" s="59">
        <v>12</v>
      </c>
      <c r="BX129" s="16" t="s">
        <v>281</v>
      </c>
    </row>
    <row r="130" spans="1:76" x14ac:dyDescent="0.25">
      <c r="A130" s="62"/>
      <c r="D130" s="63" t="s">
        <v>425</v>
      </c>
      <c r="E130" s="63"/>
      <c r="G130" s="64">
        <v>87</v>
      </c>
      <c r="M130" s="65"/>
    </row>
    <row r="131" spans="1:76" ht="15" customHeight="1" x14ac:dyDescent="0.25">
      <c r="A131" s="58" t="s">
        <v>342</v>
      </c>
      <c r="B131" s="18" t="s">
        <v>514</v>
      </c>
      <c r="C131" s="18" t="s">
        <v>426</v>
      </c>
      <c r="D131" s="8" t="s">
        <v>427</v>
      </c>
      <c r="E131" s="8"/>
      <c r="F131" s="18" t="s">
        <v>272</v>
      </c>
      <c r="G131" s="59">
        <f>'Stavební rozpočet'!G627</f>
        <v>40</v>
      </c>
      <c r="H131" s="59">
        <f>'Stavební rozpočet'!H627</f>
        <v>0</v>
      </c>
      <c r="I131" s="59">
        <f>ROUND(G131*H131,2)</f>
        <v>0</v>
      </c>
      <c r="J131" s="59">
        <f>'Stavební rozpočet'!J627</f>
        <v>0</v>
      </c>
      <c r="K131" s="59">
        <f>'Stavební rozpočet'!K627</f>
        <v>0</v>
      </c>
      <c r="L131" s="59">
        <f>G131*K131</f>
        <v>0</v>
      </c>
      <c r="M131" s="60" t="s">
        <v>115</v>
      </c>
      <c r="Z131" s="59">
        <f>ROUND(IF(AQ131="5",BJ131,0),2)</f>
        <v>0</v>
      </c>
      <c r="AB131" s="59">
        <f>ROUND(IF(AQ131="1",BH131,0),2)</f>
        <v>0</v>
      </c>
      <c r="AC131" s="59">
        <f>ROUND(IF(AQ131="1",BI131,0),2)</f>
        <v>0</v>
      </c>
      <c r="AD131" s="59">
        <f>ROUND(IF(AQ131="7",BH131,0),2)</f>
        <v>0</v>
      </c>
      <c r="AE131" s="59">
        <f>ROUND(IF(AQ131="7",BI131,0),2)</f>
        <v>0</v>
      </c>
      <c r="AF131" s="59">
        <f>ROUND(IF(AQ131="2",BH131,0),2)</f>
        <v>0</v>
      </c>
      <c r="AG131" s="59">
        <f>ROUND(IF(AQ131="2",BI131,0),2)</f>
        <v>0</v>
      </c>
      <c r="AH131" s="59">
        <f>ROUND(IF(AQ131="0",BJ131,0),2)</f>
        <v>0</v>
      </c>
      <c r="AI131" s="46" t="s">
        <v>514</v>
      </c>
      <c r="AJ131" s="59">
        <f>IF(AN131=0,I131,0)</f>
        <v>0</v>
      </c>
      <c r="AK131" s="59">
        <f>IF(AN131=12,I131,0)</f>
        <v>0</v>
      </c>
      <c r="AL131" s="59">
        <f>IF(AN131=21,I131,0)</f>
        <v>0</v>
      </c>
      <c r="AN131" s="59">
        <v>12</v>
      </c>
      <c r="AO131" s="59">
        <f>H131*0</f>
        <v>0</v>
      </c>
      <c r="AP131" s="59">
        <f>H131*(1-0)</f>
        <v>0</v>
      </c>
      <c r="AQ131" s="61" t="s">
        <v>111</v>
      </c>
      <c r="AV131" s="59">
        <f>ROUND(AW131+AX131,2)</f>
        <v>0</v>
      </c>
      <c r="AW131" s="59">
        <f>ROUND(G131*AO131,2)</f>
        <v>0</v>
      </c>
      <c r="AX131" s="59">
        <f>ROUND(G131*AP131,2)</f>
        <v>0</v>
      </c>
      <c r="AY131" s="61" t="s">
        <v>282</v>
      </c>
      <c r="AZ131" s="61" t="s">
        <v>523</v>
      </c>
      <c r="BA131" s="46" t="s">
        <v>517</v>
      </c>
      <c r="BC131" s="59">
        <f>AW131+AX131</f>
        <v>0</v>
      </c>
      <c r="BD131" s="59">
        <f>H131/(100-BE131)*100</f>
        <v>0</v>
      </c>
      <c r="BE131" s="59">
        <v>0</v>
      </c>
      <c r="BF131" s="59">
        <f>L131</f>
        <v>0</v>
      </c>
      <c r="BH131" s="59">
        <f>G131*AO131</f>
        <v>0</v>
      </c>
      <c r="BI131" s="59">
        <f>G131*AP131</f>
        <v>0</v>
      </c>
      <c r="BJ131" s="59">
        <f>G131*H131</f>
        <v>0</v>
      </c>
      <c r="BK131" s="59"/>
      <c r="BL131" s="59">
        <v>94</v>
      </c>
      <c r="BW131" s="59">
        <v>12</v>
      </c>
      <c r="BX131" s="16" t="s">
        <v>427</v>
      </c>
    </row>
    <row r="132" spans="1:76" x14ac:dyDescent="0.25">
      <c r="A132" s="62"/>
      <c r="D132" s="63" t="s">
        <v>342</v>
      </c>
      <c r="E132" s="63"/>
      <c r="G132" s="64">
        <v>40</v>
      </c>
      <c r="M132" s="65"/>
    </row>
    <row r="133" spans="1:76" ht="15" customHeight="1" x14ac:dyDescent="0.25">
      <c r="A133" s="54"/>
      <c r="B133" s="55" t="s">
        <v>514</v>
      </c>
      <c r="C133" s="55" t="s">
        <v>284</v>
      </c>
      <c r="D133" s="104" t="s">
        <v>285</v>
      </c>
      <c r="E133" s="104"/>
      <c r="F133" s="56" t="s">
        <v>88</v>
      </c>
      <c r="G133" s="56" t="s">
        <v>88</v>
      </c>
      <c r="H133" s="56" t="s">
        <v>88</v>
      </c>
      <c r="I133" s="39">
        <f>SUM(I134)</f>
        <v>0</v>
      </c>
      <c r="J133" s="46"/>
      <c r="K133" s="46"/>
      <c r="L133" s="39">
        <f>SUM(L134)</f>
        <v>1.0267200000000001E-2</v>
      </c>
      <c r="M133" s="57"/>
      <c r="AI133" s="46" t="s">
        <v>514</v>
      </c>
      <c r="AS133" s="39">
        <f>SUM(AJ134)</f>
        <v>0</v>
      </c>
      <c r="AT133" s="39">
        <f>SUM(AK134)</f>
        <v>0</v>
      </c>
      <c r="AU133" s="39">
        <f>SUM(AL134)</f>
        <v>0</v>
      </c>
    </row>
    <row r="134" spans="1:76" ht="15" customHeight="1" x14ac:dyDescent="0.25">
      <c r="A134" s="58" t="s">
        <v>428</v>
      </c>
      <c r="B134" s="18" t="s">
        <v>514</v>
      </c>
      <c r="C134" s="18" t="s">
        <v>287</v>
      </c>
      <c r="D134" s="8" t="s">
        <v>288</v>
      </c>
      <c r="E134" s="8"/>
      <c r="F134" s="18" t="s">
        <v>114</v>
      </c>
      <c r="G134" s="59">
        <f>'Stavební rozpočet'!G630</f>
        <v>256.68</v>
      </c>
      <c r="H134" s="59">
        <f>'Stavební rozpočet'!H630</f>
        <v>0</v>
      </c>
      <c r="I134" s="59">
        <f>ROUND(G134*H134,2)</f>
        <v>0</v>
      </c>
      <c r="J134" s="59">
        <f>'Stavební rozpočet'!J630</f>
        <v>4.0000000000000003E-5</v>
      </c>
      <c r="K134" s="59">
        <f>'Stavební rozpočet'!K630</f>
        <v>4.0000000000000003E-5</v>
      </c>
      <c r="L134" s="59">
        <f>G134*K134</f>
        <v>1.0267200000000001E-2</v>
      </c>
      <c r="M134" s="60" t="s">
        <v>115</v>
      </c>
      <c r="Z134" s="59">
        <f>ROUND(IF(AQ134="5",BJ134,0),2)</f>
        <v>0</v>
      </c>
      <c r="AB134" s="59">
        <f>ROUND(IF(AQ134="1",BH134,0),2)</f>
        <v>0</v>
      </c>
      <c r="AC134" s="59">
        <f>ROUND(IF(AQ134="1",BI134,0),2)</f>
        <v>0</v>
      </c>
      <c r="AD134" s="59">
        <f>ROUND(IF(AQ134="7",BH134,0),2)</f>
        <v>0</v>
      </c>
      <c r="AE134" s="59">
        <f>ROUND(IF(AQ134="7",BI134,0),2)</f>
        <v>0</v>
      </c>
      <c r="AF134" s="59">
        <f>ROUND(IF(AQ134="2",BH134,0),2)</f>
        <v>0</v>
      </c>
      <c r="AG134" s="59">
        <f>ROUND(IF(AQ134="2",BI134,0),2)</f>
        <v>0</v>
      </c>
      <c r="AH134" s="59">
        <f>ROUND(IF(AQ134="0",BJ134,0),2)</f>
        <v>0</v>
      </c>
      <c r="AI134" s="46" t="s">
        <v>514</v>
      </c>
      <c r="AJ134" s="59">
        <f>IF(AN134=0,I134,0)</f>
        <v>0</v>
      </c>
      <c r="AK134" s="59">
        <f>IF(AN134=12,I134,0)</f>
        <v>0</v>
      </c>
      <c r="AL134" s="59">
        <f>IF(AN134=21,I134,0)</f>
        <v>0</v>
      </c>
      <c r="AN134" s="59">
        <v>12</v>
      </c>
      <c r="AO134" s="59">
        <f>H134*0.012649582</f>
        <v>0</v>
      </c>
      <c r="AP134" s="59">
        <f>H134*(1-0.012649582)</f>
        <v>0</v>
      </c>
      <c r="AQ134" s="61" t="s">
        <v>111</v>
      </c>
      <c r="AV134" s="59">
        <f>ROUND(AW134+AX134,2)</f>
        <v>0</v>
      </c>
      <c r="AW134" s="59">
        <f>ROUND(G134*AO134,2)</f>
        <v>0</v>
      </c>
      <c r="AX134" s="59">
        <f>ROUND(G134*AP134,2)</f>
        <v>0</v>
      </c>
      <c r="AY134" s="61" t="s">
        <v>289</v>
      </c>
      <c r="AZ134" s="61" t="s">
        <v>523</v>
      </c>
      <c r="BA134" s="46" t="s">
        <v>517</v>
      </c>
      <c r="BC134" s="59">
        <f>AW134+AX134</f>
        <v>0</v>
      </c>
      <c r="BD134" s="59">
        <f>H134/(100-BE134)*100</f>
        <v>0</v>
      </c>
      <c r="BE134" s="59">
        <v>0</v>
      </c>
      <c r="BF134" s="59">
        <f>L134</f>
        <v>1.0267200000000001E-2</v>
      </c>
      <c r="BH134" s="59">
        <f>G134*AO134</f>
        <v>0</v>
      </c>
      <c r="BI134" s="59">
        <f>G134*AP134</f>
        <v>0</v>
      </c>
      <c r="BJ134" s="59">
        <f>G134*H134</f>
        <v>0</v>
      </c>
      <c r="BK134" s="59"/>
      <c r="BL134" s="59">
        <v>95</v>
      </c>
      <c r="BW134" s="59">
        <v>12</v>
      </c>
      <c r="BX134" s="16" t="s">
        <v>288</v>
      </c>
    </row>
    <row r="135" spans="1:76" ht="45" customHeight="1" x14ac:dyDescent="0.25">
      <c r="A135" s="62"/>
      <c r="D135" s="105" t="s">
        <v>733</v>
      </c>
      <c r="E135" s="105"/>
      <c r="F135" s="105"/>
      <c r="G135" s="105"/>
      <c r="H135" s="105"/>
      <c r="I135" s="105"/>
      <c r="J135" s="105"/>
      <c r="K135" s="105"/>
      <c r="L135" s="105"/>
      <c r="M135" s="105"/>
    </row>
    <row r="136" spans="1:76" x14ac:dyDescent="0.25">
      <c r="A136" s="62"/>
      <c r="D136" s="63" t="s">
        <v>416</v>
      </c>
      <c r="E136" s="63"/>
      <c r="G136" s="64">
        <v>256.68</v>
      </c>
      <c r="M136" s="65"/>
    </row>
    <row r="137" spans="1:76" ht="15" customHeight="1" x14ac:dyDescent="0.25">
      <c r="A137" s="54"/>
      <c r="B137" s="55" t="s">
        <v>514</v>
      </c>
      <c r="C137" s="55" t="s">
        <v>290</v>
      </c>
      <c r="D137" s="104" t="s">
        <v>291</v>
      </c>
      <c r="E137" s="104"/>
      <c r="F137" s="56" t="s">
        <v>88</v>
      </c>
      <c r="G137" s="56" t="s">
        <v>88</v>
      </c>
      <c r="H137" s="56" t="s">
        <v>88</v>
      </c>
      <c r="I137" s="39">
        <f>SUM(I138:I150)</f>
        <v>0</v>
      </c>
      <c r="J137" s="46"/>
      <c r="K137" s="46"/>
      <c r="L137" s="39">
        <f>SUM(L138:L150)</f>
        <v>7.960691999999999</v>
      </c>
      <c r="M137" s="57"/>
      <c r="AI137" s="46" t="s">
        <v>514</v>
      </c>
      <c r="AS137" s="39">
        <f>SUM(AJ138:AJ150)</f>
        <v>0</v>
      </c>
      <c r="AT137" s="39">
        <f>SUM(AK138:AK150)</f>
        <v>0</v>
      </c>
      <c r="AU137" s="39">
        <f>SUM(AL138:AL150)</f>
        <v>0</v>
      </c>
    </row>
    <row r="138" spans="1:76" ht="15" customHeight="1" x14ac:dyDescent="0.25">
      <c r="A138" s="58" t="s">
        <v>429</v>
      </c>
      <c r="B138" s="18" t="s">
        <v>514</v>
      </c>
      <c r="C138" s="18" t="s">
        <v>293</v>
      </c>
      <c r="D138" s="8" t="s">
        <v>294</v>
      </c>
      <c r="E138" s="8"/>
      <c r="F138" s="18" t="s">
        <v>140</v>
      </c>
      <c r="G138" s="59">
        <f>'Stavební rozpočet'!G633</f>
        <v>24.9</v>
      </c>
      <c r="H138" s="59">
        <f>'Stavební rozpočet'!H633</f>
        <v>0</v>
      </c>
      <c r="I138" s="59">
        <f>ROUND(G138*H138,2)</f>
        <v>0</v>
      </c>
      <c r="J138" s="59">
        <f>'Stavební rozpočet'!J633</f>
        <v>0</v>
      </c>
      <c r="K138" s="59">
        <f>'Stavební rozpočet'!K633</f>
        <v>1.188E-2</v>
      </c>
      <c r="L138" s="59">
        <f>G138*K138</f>
        <v>0.29581199999999996</v>
      </c>
      <c r="M138" s="60" t="s">
        <v>115</v>
      </c>
      <c r="Z138" s="59">
        <f>ROUND(IF(AQ138="5",BJ138,0),2)</f>
        <v>0</v>
      </c>
      <c r="AB138" s="59">
        <f>ROUND(IF(AQ138="1",BH138,0),2)</f>
        <v>0</v>
      </c>
      <c r="AC138" s="59">
        <f>ROUND(IF(AQ138="1",BI138,0),2)</f>
        <v>0</v>
      </c>
      <c r="AD138" s="59">
        <f>ROUND(IF(AQ138="7",BH138,0),2)</f>
        <v>0</v>
      </c>
      <c r="AE138" s="59">
        <f>ROUND(IF(AQ138="7",BI138,0),2)</f>
        <v>0</v>
      </c>
      <c r="AF138" s="59">
        <f>ROUND(IF(AQ138="2",BH138,0),2)</f>
        <v>0</v>
      </c>
      <c r="AG138" s="59">
        <f>ROUND(IF(AQ138="2",BI138,0),2)</f>
        <v>0</v>
      </c>
      <c r="AH138" s="59">
        <f>ROUND(IF(AQ138="0",BJ138,0),2)</f>
        <v>0</v>
      </c>
      <c r="AI138" s="46" t="s">
        <v>514</v>
      </c>
      <c r="AJ138" s="59">
        <f>IF(AN138=0,I138,0)</f>
        <v>0</v>
      </c>
      <c r="AK138" s="59">
        <f>IF(AN138=12,I138,0)</f>
        <v>0</v>
      </c>
      <c r="AL138" s="59">
        <f>IF(AN138=21,I138,0)</f>
        <v>0</v>
      </c>
      <c r="AN138" s="59">
        <v>12</v>
      </c>
      <c r="AO138" s="59">
        <f>H138*0</f>
        <v>0</v>
      </c>
      <c r="AP138" s="59">
        <f>H138*(1-0)</f>
        <v>0</v>
      </c>
      <c r="AQ138" s="61" t="s">
        <v>111</v>
      </c>
      <c r="AV138" s="59">
        <f>ROUND(AW138+AX138,2)</f>
        <v>0</v>
      </c>
      <c r="AW138" s="59">
        <f>ROUND(G138*AO138,2)</f>
        <v>0</v>
      </c>
      <c r="AX138" s="59">
        <f>ROUND(G138*AP138,2)</f>
        <v>0</v>
      </c>
      <c r="AY138" s="61" t="s">
        <v>295</v>
      </c>
      <c r="AZ138" s="61" t="s">
        <v>523</v>
      </c>
      <c r="BA138" s="46" t="s">
        <v>517</v>
      </c>
      <c r="BC138" s="59">
        <f>AW138+AX138</f>
        <v>0</v>
      </c>
      <c r="BD138" s="59">
        <f>H138/(100-BE138)*100</f>
        <v>0</v>
      </c>
      <c r="BE138" s="59">
        <v>0</v>
      </c>
      <c r="BF138" s="59">
        <f>L138</f>
        <v>0.29581199999999996</v>
      </c>
      <c r="BH138" s="59">
        <f>G138*AO138</f>
        <v>0</v>
      </c>
      <c r="BI138" s="59">
        <f>G138*AP138</f>
        <v>0</v>
      </c>
      <c r="BJ138" s="59">
        <f>G138*H138</f>
        <v>0</v>
      </c>
      <c r="BK138" s="59"/>
      <c r="BL138" s="59">
        <v>96</v>
      </c>
      <c r="BW138" s="59">
        <v>12</v>
      </c>
      <c r="BX138" s="16" t="s">
        <v>294</v>
      </c>
    </row>
    <row r="139" spans="1:76" x14ac:dyDescent="0.25">
      <c r="A139" s="62"/>
      <c r="D139" s="63" t="s">
        <v>387</v>
      </c>
      <c r="E139" s="63"/>
      <c r="G139" s="64">
        <v>24.9</v>
      </c>
      <c r="M139" s="65"/>
    </row>
    <row r="140" spans="1:76" ht="15" customHeight="1" x14ac:dyDescent="0.25">
      <c r="A140" s="58" t="s">
        <v>430</v>
      </c>
      <c r="B140" s="18" t="s">
        <v>514</v>
      </c>
      <c r="C140" s="18" t="s">
        <v>297</v>
      </c>
      <c r="D140" s="8" t="s">
        <v>298</v>
      </c>
      <c r="E140" s="8"/>
      <c r="F140" s="18" t="s">
        <v>299</v>
      </c>
      <c r="G140" s="59">
        <f>'Stavební rozpočet'!G635</f>
        <v>46</v>
      </c>
      <c r="H140" s="59">
        <f>'Stavební rozpočet'!H635</f>
        <v>0</v>
      </c>
      <c r="I140" s="59">
        <f>ROUND(G140*H140,2)</f>
        <v>0</v>
      </c>
      <c r="J140" s="59">
        <f>'Stavební rozpočet'!J635</f>
        <v>0</v>
      </c>
      <c r="K140" s="59">
        <f>'Stavební rozpočet'!K635</f>
        <v>0</v>
      </c>
      <c r="L140" s="59">
        <f>G140*K140</f>
        <v>0</v>
      </c>
      <c r="M140" s="60" t="s">
        <v>115</v>
      </c>
      <c r="Z140" s="59">
        <f>ROUND(IF(AQ140="5",BJ140,0),2)</f>
        <v>0</v>
      </c>
      <c r="AB140" s="59">
        <f>ROUND(IF(AQ140="1",BH140,0),2)</f>
        <v>0</v>
      </c>
      <c r="AC140" s="59">
        <f>ROUND(IF(AQ140="1",BI140,0),2)</f>
        <v>0</v>
      </c>
      <c r="AD140" s="59">
        <f>ROUND(IF(AQ140="7",BH140,0),2)</f>
        <v>0</v>
      </c>
      <c r="AE140" s="59">
        <f>ROUND(IF(AQ140="7",BI140,0),2)</f>
        <v>0</v>
      </c>
      <c r="AF140" s="59">
        <f>ROUND(IF(AQ140="2",BH140,0),2)</f>
        <v>0</v>
      </c>
      <c r="AG140" s="59">
        <f>ROUND(IF(AQ140="2",BI140,0),2)</f>
        <v>0</v>
      </c>
      <c r="AH140" s="59">
        <f>ROUND(IF(AQ140="0",BJ140,0),2)</f>
        <v>0</v>
      </c>
      <c r="AI140" s="46" t="s">
        <v>514</v>
      </c>
      <c r="AJ140" s="59">
        <f>IF(AN140=0,I140,0)</f>
        <v>0</v>
      </c>
      <c r="AK140" s="59">
        <f>IF(AN140=12,I140,0)</f>
        <v>0</v>
      </c>
      <c r="AL140" s="59">
        <f>IF(AN140=21,I140,0)</f>
        <v>0</v>
      </c>
      <c r="AN140" s="59">
        <v>12</v>
      </c>
      <c r="AO140" s="59">
        <f>H140*0</f>
        <v>0</v>
      </c>
      <c r="AP140" s="59">
        <f>H140*(1-0)</f>
        <v>0</v>
      </c>
      <c r="AQ140" s="61" t="s">
        <v>111</v>
      </c>
      <c r="AV140" s="59">
        <f>ROUND(AW140+AX140,2)</f>
        <v>0</v>
      </c>
      <c r="AW140" s="59">
        <f>ROUND(G140*AO140,2)</f>
        <v>0</v>
      </c>
      <c r="AX140" s="59">
        <f>ROUND(G140*AP140,2)</f>
        <v>0</v>
      </c>
      <c r="AY140" s="61" t="s">
        <v>295</v>
      </c>
      <c r="AZ140" s="61" t="s">
        <v>523</v>
      </c>
      <c r="BA140" s="46" t="s">
        <v>517</v>
      </c>
      <c r="BC140" s="59">
        <f>AW140+AX140</f>
        <v>0</v>
      </c>
      <c r="BD140" s="59">
        <f>H140/(100-BE140)*100</f>
        <v>0</v>
      </c>
      <c r="BE140" s="59">
        <v>0</v>
      </c>
      <c r="BF140" s="59">
        <f>L140</f>
        <v>0</v>
      </c>
      <c r="BH140" s="59">
        <f>G140*AO140</f>
        <v>0</v>
      </c>
      <c r="BI140" s="59">
        <f>G140*AP140</f>
        <v>0</v>
      </c>
      <c r="BJ140" s="59">
        <f>G140*H140</f>
        <v>0</v>
      </c>
      <c r="BK140" s="59"/>
      <c r="BL140" s="59">
        <v>96</v>
      </c>
      <c r="BW140" s="59">
        <v>12</v>
      </c>
      <c r="BX140" s="16" t="s">
        <v>298</v>
      </c>
    </row>
    <row r="141" spans="1:76" x14ac:dyDescent="0.25">
      <c r="A141" s="62"/>
      <c r="D141" s="63" t="s">
        <v>504</v>
      </c>
      <c r="E141" s="63"/>
      <c r="G141" s="64">
        <v>46</v>
      </c>
      <c r="M141" s="65"/>
    </row>
    <row r="142" spans="1:76" ht="15" customHeight="1" x14ac:dyDescent="0.25">
      <c r="A142" s="58" t="s">
        <v>432</v>
      </c>
      <c r="B142" s="18" t="s">
        <v>514</v>
      </c>
      <c r="C142" s="18" t="s">
        <v>302</v>
      </c>
      <c r="D142" s="8" t="s">
        <v>303</v>
      </c>
      <c r="E142" s="8"/>
      <c r="F142" s="18" t="s">
        <v>114</v>
      </c>
      <c r="G142" s="59">
        <f>'Stavební rozpočet'!G637</f>
        <v>60</v>
      </c>
      <c r="H142" s="59">
        <f>'Stavební rozpočet'!H637</f>
        <v>0</v>
      </c>
      <c r="I142" s="59">
        <f>ROUND(G142*H142,2)</f>
        <v>0</v>
      </c>
      <c r="J142" s="59">
        <f>'Stavební rozpočet'!J637</f>
        <v>1E-3</v>
      </c>
      <c r="K142" s="59">
        <f>'Stavební rozpočet'!K637</f>
        <v>3.2000000000000001E-2</v>
      </c>
      <c r="L142" s="59">
        <f>G142*K142</f>
        <v>1.92</v>
      </c>
      <c r="M142" s="60" t="s">
        <v>115</v>
      </c>
      <c r="Z142" s="59">
        <f>ROUND(IF(AQ142="5",BJ142,0),2)</f>
        <v>0</v>
      </c>
      <c r="AB142" s="59">
        <f>ROUND(IF(AQ142="1",BH142,0),2)</f>
        <v>0</v>
      </c>
      <c r="AC142" s="59">
        <f>ROUND(IF(AQ142="1",BI142,0),2)</f>
        <v>0</v>
      </c>
      <c r="AD142" s="59">
        <f>ROUND(IF(AQ142="7",BH142,0),2)</f>
        <v>0</v>
      </c>
      <c r="AE142" s="59">
        <f>ROUND(IF(AQ142="7",BI142,0),2)</f>
        <v>0</v>
      </c>
      <c r="AF142" s="59">
        <f>ROUND(IF(AQ142="2",BH142,0),2)</f>
        <v>0</v>
      </c>
      <c r="AG142" s="59">
        <f>ROUND(IF(AQ142="2",BI142,0),2)</f>
        <v>0</v>
      </c>
      <c r="AH142" s="59">
        <f>ROUND(IF(AQ142="0",BJ142,0),2)</f>
        <v>0</v>
      </c>
      <c r="AI142" s="46" t="s">
        <v>514</v>
      </c>
      <c r="AJ142" s="59">
        <f>IF(AN142=0,I142,0)</f>
        <v>0</v>
      </c>
      <c r="AK142" s="59">
        <f>IF(AN142=12,I142,0)</f>
        <v>0</v>
      </c>
      <c r="AL142" s="59">
        <f>IF(AN142=21,I142,0)</f>
        <v>0</v>
      </c>
      <c r="AN142" s="59">
        <v>12</v>
      </c>
      <c r="AO142" s="59">
        <f>H142*0.133990826</f>
        <v>0</v>
      </c>
      <c r="AP142" s="59">
        <f>H142*(1-0.133990826)</f>
        <v>0</v>
      </c>
      <c r="AQ142" s="61" t="s">
        <v>111</v>
      </c>
      <c r="AV142" s="59">
        <f>ROUND(AW142+AX142,2)</f>
        <v>0</v>
      </c>
      <c r="AW142" s="59">
        <f>ROUND(G142*AO142,2)</f>
        <v>0</v>
      </c>
      <c r="AX142" s="59">
        <f>ROUND(G142*AP142,2)</f>
        <v>0</v>
      </c>
      <c r="AY142" s="61" t="s">
        <v>295</v>
      </c>
      <c r="AZ142" s="61" t="s">
        <v>523</v>
      </c>
      <c r="BA142" s="46" t="s">
        <v>517</v>
      </c>
      <c r="BC142" s="59">
        <f>AW142+AX142</f>
        <v>0</v>
      </c>
      <c r="BD142" s="59">
        <f>H142/(100-BE142)*100</f>
        <v>0</v>
      </c>
      <c r="BE142" s="59">
        <v>0</v>
      </c>
      <c r="BF142" s="59">
        <f>L142</f>
        <v>1.92</v>
      </c>
      <c r="BH142" s="59">
        <f>G142*AO142</f>
        <v>0</v>
      </c>
      <c r="BI142" s="59">
        <f>G142*AP142</f>
        <v>0</v>
      </c>
      <c r="BJ142" s="59">
        <f>G142*H142</f>
        <v>0</v>
      </c>
      <c r="BK142" s="59"/>
      <c r="BL142" s="59">
        <v>96</v>
      </c>
      <c r="BW142" s="59">
        <v>12</v>
      </c>
      <c r="BX142" s="16" t="s">
        <v>303</v>
      </c>
    </row>
    <row r="143" spans="1:76" x14ac:dyDescent="0.25">
      <c r="A143" s="62"/>
      <c r="D143" s="63" t="s">
        <v>505</v>
      </c>
      <c r="E143" s="63"/>
      <c r="G143" s="64">
        <v>60</v>
      </c>
      <c r="M143" s="65"/>
    </row>
    <row r="144" spans="1:76" ht="15" customHeight="1" x14ac:dyDescent="0.25">
      <c r="A144" s="58" t="s">
        <v>434</v>
      </c>
      <c r="B144" s="18" t="s">
        <v>514</v>
      </c>
      <c r="C144" s="18" t="s">
        <v>435</v>
      </c>
      <c r="D144" s="8" t="s">
        <v>436</v>
      </c>
      <c r="E144" s="8"/>
      <c r="F144" s="18" t="s">
        <v>360</v>
      </c>
      <c r="G144" s="59">
        <f>'Stavební rozpočet'!G639</f>
        <v>1.115</v>
      </c>
      <c r="H144" s="59">
        <f>'Stavební rozpočet'!H639</f>
        <v>0</v>
      </c>
      <c r="I144" s="59">
        <f>ROUND(G144*H144,2)</f>
        <v>0</v>
      </c>
      <c r="J144" s="59">
        <f>'Stavební rozpočet'!J639</f>
        <v>0</v>
      </c>
      <c r="K144" s="59">
        <f>'Stavební rozpočet'!K639</f>
        <v>2.2000000000000002</v>
      </c>
      <c r="L144" s="59">
        <f>G144*K144</f>
        <v>2.4530000000000003</v>
      </c>
      <c r="M144" s="60" t="s">
        <v>115</v>
      </c>
      <c r="Z144" s="59">
        <f>ROUND(IF(AQ144="5",BJ144,0),2)</f>
        <v>0</v>
      </c>
      <c r="AB144" s="59">
        <f>ROUND(IF(AQ144="1",BH144,0),2)</f>
        <v>0</v>
      </c>
      <c r="AC144" s="59">
        <f>ROUND(IF(AQ144="1",BI144,0),2)</f>
        <v>0</v>
      </c>
      <c r="AD144" s="59">
        <f>ROUND(IF(AQ144="7",BH144,0),2)</f>
        <v>0</v>
      </c>
      <c r="AE144" s="59">
        <f>ROUND(IF(AQ144="7",BI144,0),2)</f>
        <v>0</v>
      </c>
      <c r="AF144" s="59">
        <f>ROUND(IF(AQ144="2",BH144,0),2)</f>
        <v>0</v>
      </c>
      <c r="AG144" s="59">
        <f>ROUND(IF(AQ144="2",BI144,0),2)</f>
        <v>0</v>
      </c>
      <c r="AH144" s="59">
        <f>ROUND(IF(AQ144="0",BJ144,0),2)</f>
        <v>0</v>
      </c>
      <c r="AI144" s="46" t="s">
        <v>514</v>
      </c>
      <c r="AJ144" s="59">
        <f>IF(AN144=0,I144,0)</f>
        <v>0</v>
      </c>
      <c r="AK144" s="59">
        <f>IF(AN144=12,I144,0)</f>
        <v>0</v>
      </c>
      <c r="AL144" s="59">
        <f>IF(AN144=21,I144,0)</f>
        <v>0</v>
      </c>
      <c r="AN144" s="59">
        <v>12</v>
      </c>
      <c r="AO144" s="59">
        <f>H144*0</f>
        <v>0</v>
      </c>
      <c r="AP144" s="59">
        <f>H144*(1-0)</f>
        <v>0</v>
      </c>
      <c r="AQ144" s="61" t="s">
        <v>111</v>
      </c>
      <c r="AV144" s="59">
        <f>ROUND(AW144+AX144,2)</f>
        <v>0</v>
      </c>
      <c r="AW144" s="59">
        <f>ROUND(G144*AO144,2)</f>
        <v>0</v>
      </c>
      <c r="AX144" s="59">
        <f>ROUND(G144*AP144,2)</f>
        <v>0</v>
      </c>
      <c r="AY144" s="61" t="s">
        <v>295</v>
      </c>
      <c r="AZ144" s="61" t="s">
        <v>523</v>
      </c>
      <c r="BA144" s="46" t="s">
        <v>517</v>
      </c>
      <c r="BC144" s="59">
        <f>AW144+AX144</f>
        <v>0</v>
      </c>
      <c r="BD144" s="59">
        <f>H144/(100-BE144)*100</f>
        <v>0</v>
      </c>
      <c r="BE144" s="59">
        <v>0</v>
      </c>
      <c r="BF144" s="59">
        <f>L144</f>
        <v>2.4530000000000003</v>
      </c>
      <c r="BH144" s="59">
        <f>G144*AO144</f>
        <v>0</v>
      </c>
      <c r="BI144" s="59">
        <f>G144*AP144</f>
        <v>0</v>
      </c>
      <c r="BJ144" s="59">
        <f>G144*H144</f>
        <v>0</v>
      </c>
      <c r="BK144" s="59"/>
      <c r="BL144" s="59">
        <v>96</v>
      </c>
      <c r="BW144" s="59">
        <v>12</v>
      </c>
      <c r="BX144" s="16" t="s">
        <v>436</v>
      </c>
    </row>
    <row r="145" spans="1:76" x14ac:dyDescent="0.25">
      <c r="A145" s="62"/>
      <c r="D145" s="63" t="s">
        <v>362</v>
      </c>
      <c r="E145" s="63"/>
      <c r="G145" s="64">
        <v>1.115</v>
      </c>
      <c r="M145" s="65"/>
    </row>
    <row r="146" spans="1:76" ht="15" customHeight="1" x14ac:dyDescent="0.25">
      <c r="A146" s="58" t="s">
        <v>437</v>
      </c>
      <c r="B146" s="18" t="s">
        <v>514</v>
      </c>
      <c r="C146" s="18" t="s">
        <v>438</v>
      </c>
      <c r="D146" s="8" t="s">
        <v>439</v>
      </c>
      <c r="E146" s="8"/>
      <c r="F146" s="18" t="s">
        <v>360</v>
      </c>
      <c r="G146" s="59">
        <f>'Stavební rozpočet'!G641</f>
        <v>0.89200000000000002</v>
      </c>
      <c r="H146" s="59">
        <f>'Stavební rozpočet'!H641</f>
        <v>0</v>
      </c>
      <c r="I146" s="59">
        <f>ROUND(G146*H146,2)</f>
        <v>0</v>
      </c>
      <c r="J146" s="59">
        <f>'Stavební rozpočet'!J641</f>
        <v>0</v>
      </c>
      <c r="K146" s="59">
        <f>'Stavební rozpočet'!K641</f>
        <v>2.2000000000000002</v>
      </c>
      <c r="L146" s="59">
        <f>G146*K146</f>
        <v>1.9624000000000001</v>
      </c>
      <c r="M146" s="60" t="s">
        <v>115</v>
      </c>
      <c r="Z146" s="59">
        <f>ROUND(IF(AQ146="5",BJ146,0),2)</f>
        <v>0</v>
      </c>
      <c r="AB146" s="59">
        <f>ROUND(IF(AQ146="1",BH146,0),2)</f>
        <v>0</v>
      </c>
      <c r="AC146" s="59">
        <f>ROUND(IF(AQ146="1",BI146,0),2)</f>
        <v>0</v>
      </c>
      <c r="AD146" s="59">
        <f>ROUND(IF(AQ146="7",BH146,0),2)</f>
        <v>0</v>
      </c>
      <c r="AE146" s="59">
        <f>ROUND(IF(AQ146="7",BI146,0),2)</f>
        <v>0</v>
      </c>
      <c r="AF146" s="59">
        <f>ROUND(IF(AQ146="2",BH146,0),2)</f>
        <v>0</v>
      </c>
      <c r="AG146" s="59">
        <f>ROUND(IF(AQ146="2",BI146,0),2)</f>
        <v>0</v>
      </c>
      <c r="AH146" s="59">
        <f>ROUND(IF(AQ146="0",BJ146,0),2)</f>
        <v>0</v>
      </c>
      <c r="AI146" s="46" t="s">
        <v>514</v>
      </c>
      <c r="AJ146" s="59">
        <f>IF(AN146=0,I146,0)</f>
        <v>0</v>
      </c>
      <c r="AK146" s="59">
        <f>IF(AN146=12,I146,0)</f>
        <v>0</v>
      </c>
      <c r="AL146" s="59">
        <f>IF(AN146=21,I146,0)</f>
        <v>0</v>
      </c>
      <c r="AN146" s="59">
        <v>12</v>
      </c>
      <c r="AO146" s="59">
        <f>H146*0</f>
        <v>0</v>
      </c>
      <c r="AP146" s="59">
        <f>H146*(1-0)</f>
        <v>0</v>
      </c>
      <c r="AQ146" s="61" t="s">
        <v>111</v>
      </c>
      <c r="AV146" s="59">
        <f>ROUND(AW146+AX146,2)</f>
        <v>0</v>
      </c>
      <c r="AW146" s="59">
        <f>ROUND(G146*AO146,2)</f>
        <v>0</v>
      </c>
      <c r="AX146" s="59">
        <f>ROUND(G146*AP146,2)</f>
        <v>0</v>
      </c>
      <c r="AY146" s="61" t="s">
        <v>295</v>
      </c>
      <c r="AZ146" s="61" t="s">
        <v>523</v>
      </c>
      <c r="BA146" s="46" t="s">
        <v>517</v>
      </c>
      <c r="BC146" s="59">
        <f>AW146+AX146</f>
        <v>0</v>
      </c>
      <c r="BD146" s="59">
        <f>H146/(100-BE146)*100</f>
        <v>0</v>
      </c>
      <c r="BE146" s="59">
        <v>0</v>
      </c>
      <c r="BF146" s="59">
        <f>L146</f>
        <v>1.9624000000000001</v>
      </c>
      <c r="BH146" s="59">
        <f>G146*AO146</f>
        <v>0</v>
      </c>
      <c r="BI146" s="59">
        <f>G146*AP146</f>
        <v>0</v>
      </c>
      <c r="BJ146" s="59">
        <f>G146*H146</f>
        <v>0</v>
      </c>
      <c r="BK146" s="59"/>
      <c r="BL146" s="59">
        <v>96</v>
      </c>
      <c r="BW146" s="59">
        <v>12</v>
      </c>
      <c r="BX146" s="16" t="s">
        <v>439</v>
      </c>
    </row>
    <row r="147" spans="1:76" x14ac:dyDescent="0.25">
      <c r="A147" s="62"/>
      <c r="D147" s="63" t="s">
        <v>440</v>
      </c>
      <c r="E147" s="63"/>
      <c r="G147" s="64">
        <v>0.89200000000000002</v>
      </c>
      <c r="M147" s="65"/>
    </row>
    <row r="148" spans="1:76" ht="15" customHeight="1" x14ac:dyDescent="0.25">
      <c r="A148" s="58" t="s">
        <v>441</v>
      </c>
      <c r="B148" s="18" t="s">
        <v>514</v>
      </c>
      <c r="C148" s="18" t="s">
        <v>442</v>
      </c>
      <c r="D148" s="8" t="s">
        <v>443</v>
      </c>
      <c r="E148" s="8"/>
      <c r="F148" s="18" t="s">
        <v>114</v>
      </c>
      <c r="G148" s="59">
        <f>'Stavební rozpočet'!G643</f>
        <v>22.3</v>
      </c>
      <c r="H148" s="59">
        <f>'Stavební rozpočet'!H643</f>
        <v>0</v>
      </c>
      <c r="I148" s="59">
        <f>ROUND(G148*H148,2)</f>
        <v>0</v>
      </c>
      <c r="J148" s="59">
        <f>'Stavební rozpočet'!J643</f>
        <v>0</v>
      </c>
      <c r="K148" s="59">
        <f>'Stavební rozpočet'!K643</f>
        <v>1.26E-2</v>
      </c>
      <c r="L148" s="59">
        <f>G148*K148</f>
        <v>0.28098000000000001</v>
      </c>
      <c r="M148" s="60" t="s">
        <v>115</v>
      </c>
      <c r="Z148" s="59">
        <f>ROUND(IF(AQ148="5",BJ148,0),2)</f>
        <v>0</v>
      </c>
      <c r="AB148" s="59">
        <f>ROUND(IF(AQ148="1",BH148,0),2)</f>
        <v>0</v>
      </c>
      <c r="AC148" s="59">
        <f>ROUND(IF(AQ148="1",BI148,0),2)</f>
        <v>0</v>
      </c>
      <c r="AD148" s="59">
        <f>ROUND(IF(AQ148="7",BH148,0),2)</f>
        <v>0</v>
      </c>
      <c r="AE148" s="59">
        <f>ROUND(IF(AQ148="7",BI148,0),2)</f>
        <v>0</v>
      </c>
      <c r="AF148" s="59">
        <f>ROUND(IF(AQ148="2",BH148,0),2)</f>
        <v>0</v>
      </c>
      <c r="AG148" s="59">
        <f>ROUND(IF(AQ148="2",BI148,0),2)</f>
        <v>0</v>
      </c>
      <c r="AH148" s="59">
        <f>ROUND(IF(AQ148="0",BJ148,0),2)</f>
        <v>0</v>
      </c>
      <c r="AI148" s="46" t="s">
        <v>514</v>
      </c>
      <c r="AJ148" s="59">
        <f>IF(AN148=0,I148,0)</f>
        <v>0</v>
      </c>
      <c r="AK148" s="59">
        <f>IF(AN148=12,I148,0)</f>
        <v>0</v>
      </c>
      <c r="AL148" s="59">
        <f>IF(AN148=21,I148,0)</f>
        <v>0</v>
      </c>
      <c r="AN148" s="59">
        <v>12</v>
      </c>
      <c r="AO148" s="59">
        <f>H148*0</f>
        <v>0</v>
      </c>
      <c r="AP148" s="59">
        <f>H148*(1-0)</f>
        <v>0</v>
      </c>
      <c r="AQ148" s="61" t="s">
        <v>111</v>
      </c>
      <c r="AV148" s="59">
        <f>ROUND(AW148+AX148,2)</f>
        <v>0</v>
      </c>
      <c r="AW148" s="59">
        <f>ROUND(G148*AO148,2)</f>
        <v>0</v>
      </c>
      <c r="AX148" s="59">
        <f>ROUND(G148*AP148,2)</f>
        <v>0</v>
      </c>
      <c r="AY148" s="61" t="s">
        <v>295</v>
      </c>
      <c r="AZ148" s="61" t="s">
        <v>523</v>
      </c>
      <c r="BA148" s="46" t="s">
        <v>517</v>
      </c>
      <c r="BC148" s="59">
        <f>AW148+AX148</f>
        <v>0</v>
      </c>
      <c r="BD148" s="59">
        <f>H148/(100-BE148)*100</f>
        <v>0</v>
      </c>
      <c r="BE148" s="59">
        <v>0</v>
      </c>
      <c r="BF148" s="59">
        <f>L148</f>
        <v>0.28098000000000001</v>
      </c>
      <c r="BH148" s="59">
        <f>G148*AO148</f>
        <v>0</v>
      </c>
      <c r="BI148" s="59">
        <f>G148*AP148</f>
        <v>0</v>
      </c>
      <c r="BJ148" s="59">
        <f>G148*H148</f>
        <v>0</v>
      </c>
      <c r="BK148" s="59"/>
      <c r="BL148" s="59">
        <v>96</v>
      </c>
      <c r="BW148" s="59">
        <v>12</v>
      </c>
      <c r="BX148" s="16" t="s">
        <v>443</v>
      </c>
    </row>
    <row r="149" spans="1:76" x14ac:dyDescent="0.25">
      <c r="A149" s="62"/>
      <c r="D149" s="63" t="s">
        <v>444</v>
      </c>
      <c r="E149" s="63"/>
      <c r="G149" s="64">
        <v>22.3</v>
      </c>
      <c r="M149" s="65"/>
    </row>
    <row r="150" spans="1:76" ht="15" customHeight="1" x14ac:dyDescent="0.25">
      <c r="A150" s="58" t="s">
        <v>445</v>
      </c>
      <c r="B150" s="18" t="s">
        <v>514</v>
      </c>
      <c r="C150" s="18" t="s">
        <v>446</v>
      </c>
      <c r="D150" s="8" t="s">
        <v>447</v>
      </c>
      <c r="E150" s="8"/>
      <c r="F150" s="18" t="s">
        <v>114</v>
      </c>
      <c r="G150" s="59">
        <f>'Stavební rozpočet'!G645</f>
        <v>23.3</v>
      </c>
      <c r="H150" s="59">
        <f>'Stavební rozpočet'!H645</f>
        <v>0</v>
      </c>
      <c r="I150" s="59">
        <f>ROUND(G150*H150,2)</f>
        <v>0</v>
      </c>
      <c r="J150" s="59">
        <f>'Stavební rozpočet'!J645</f>
        <v>0</v>
      </c>
      <c r="K150" s="59">
        <f>'Stavební rozpočet'!K645</f>
        <v>4.4999999999999998E-2</v>
      </c>
      <c r="L150" s="59">
        <f>G150*K150</f>
        <v>1.0485</v>
      </c>
      <c r="M150" s="60" t="s">
        <v>115</v>
      </c>
      <c r="Z150" s="59">
        <f>ROUND(IF(AQ150="5",BJ150,0),2)</f>
        <v>0</v>
      </c>
      <c r="AB150" s="59">
        <f>ROUND(IF(AQ150="1",BH150,0),2)</f>
        <v>0</v>
      </c>
      <c r="AC150" s="59">
        <f>ROUND(IF(AQ150="1",BI150,0),2)</f>
        <v>0</v>
      </c>
      <c r="AD150" s="59">
        <f>ROUND(IF(AQ150="7",BH150,0),2)</f>
        <v>0</v>
      </c>
      <c r="AE150" s="59">
        <f>ROUND(IF(AQ150="7",BI150,0),2)</f>
        <v>0</v>
      </c>
      <c r="AF150" s="59">
        <f>ROUND(IF(AQ150="2",BH150,0),2)</f>
        <v>0</v>
      </c>
      <c r="AG150" s="59">
        <f>ROUND(IF(AQ150="2",BI150,0),2)</f>
        <v>0</v>
      </c>
      <c r="AH150" s="59">
        <f>ROUND(IF(AQ150="0",BJ150,0),2)</f>
        <v>0</v>
      </c>
      <c r="AI150" s="46" t="s">
        <v>514</v>
      </c>
      <c r="AJ150" s="59">
        <f>IF(AN150=0,I150,0)</f>
        <v>0</v>
      </c>
      <c r="AK150" s="59">
        <f>IF(AN150=12,I150,0)</f>
        <v>0</v>
      </c>
      <c r="AL150" s="59">
        <f>IF(AN150=21,I150,0)</f>
        <v>0</v>
      </c>
      <c r="AN150" s="59">
        <v>12</v>
      </c>
      <c r="AO150" s="59">
        <f>H150*0</f>
        <v>0</v>
      </c>
      <c r="AP150" s="59">
        <f>H150*(1-0)</f>
        <v>0</v>
      </c>
      <c r="AQ150" s="61" t="s">
        <v>111</v>
      </c>
      <c r="AV150" s="59">
        <f>ROUND(AW150+AX150,2)</f>
        <v>0</v>
      </c>
      <c r="AW150" s="59">
        <f>ROUND(G150*AO150,2)</f>
        <v>0</v>
      </c>
      <c r="AX150" s="59">
        <f>ROUND(G150*AP150,2)</f>
        <v>0</v>
      </c>
      <c r="AY150" s="61" t="s">
        <v>295</v>
      </c>
      <c r="AZ150" s="61" t="s">
        <v>523</v>
      </c>
      <c r="BA150" s="46" t="s">
        <v>517</v>
      </c>
      <c r="BC150" s="59">
        <f>AW150+AX150</f>
        <v>0</v>
      </c>
      <c r="BD150" s="59">
        <f>H150/(100-BE150)*100</f>
        <v>0</v>
      </c>
      <c r="BE150" s="59">
        <v>0</v>
      </c>
      <c r="BF150" s="59">
        <f>L150</f>
        <v>1.0485</v>
      </c>
      <c r="BH150" s="59">
        <f>G150*AO150</f>
        <v>0</v>
      </c>
      <c r="BI150" s="59">
        <f>G150*AP150</f>
        <v>0</v>
      </c>
      <c r="BJ150" s="59">
        <f>G150*H150</f>
        <v>0</v>
      </c>
      <c r="BK150" s="59"/>
      <c r="BL150" s="59">
        <v>96</v>
      </c>
      <c r="BW150" s="59">
        <v>12</v>
      </c>
      <c r="BX150" s="16" t="s">
        <v>447</v>
      </c>
    </row>
    <row r="151" spans="1:76" x14ac:dyDescent="0.25">
      <c r="A151" s="62"/>
      <c r="D151" s="63" t="s">
        <v>379</v>
      </c>
      <c r="E151" s="63"/>
      <c r="G151" s="64">
        <v>22.3</v>
      </c>
      <c r="M151" s="65"/>
    </row>
    <row r="152" spans="1:76" x14ac:dyDescent="0.25">
      <c r="A152" s="62"/>
      <c r="D152" s="63" t="s">
        <v>448</v>
      </c>
      <c r="E152" s="63"/>
      <c r="G152" s="64">
        <v>1</v>
      </c>
      <c r="M152" s="65"/>
    </row>
    <row r="153" spans="1:76" ht="15" customHeight="1" x14ac:dyDescent="0.25">
      <c r="A153" s="54"/>
      <c r="B153" s="55" t="s">
        <v>514</v>
      </c>
      <c r="C153" s="55" t="s">
        <v>312</v>
      </c>
      <c r="D153" s="104" t="s">
        <v>313</v>
      </c>
      <c r="E153" s="104"/>
      <c r="F153" s="56" t="s">
        <v>88</v>
      </c>
      <c r="G153" s="56" t="s">
        <v>88</v>
      </c>
      <c r="H153" s="56" t="s">
        <v>88</v>
      </c>
      <c r="I153" s="39">
        <f>SUM(I154)</f>
        <v>0</v>
      </c>
      <c r="J153" s="46"/>
      <c r="K153" s="46"/>
      <c r="L153" s="39">
        <f>SUM(L154)</f>
        <v>1.2511999999999999</v>
      </c>
      <c r="M153" s="57"/>
      <c r="AI153" s="46" t="s">
        <v>514</v>
      </c>
      <c r="AS153" s="39">
        <f>SUM(AJ154)</f>
        <v>0</v>
      </c>
      <c r="AT153" s="39">
        <f>SUM(AK154)</f>
        <v>0</v>
      </c>
      <c r="AU153" s="39">
        <f>SUM(AL154)</f>
        <v>0</v>
      </c>
    </row>
    <row r="154" spans="1:76" ht="15" customHeight="1" x14ac:dyDescent="0.25">
      <c r="A154" s="58" t="s">
        <v>449</v>
      </c>
      <c r="B154" s="18" t="s">
        <v>514</v>
      </c>
      <c r="C154" s="18" t="s">
        <v>315</v>
      </c>
      <c r="D154" s="8" t="s">
        <v>316</v>
      </c>
      <c r="E154" s="8"/>
      <c r="F154" s="18" t="s">
        <v>114</v>
      </c>
      <c r="G154" s="59">
        <f>'Stavební rozpočet'!G649</f>
        <v>27.2</v>
      </c>
      <c r="H154" s="59">
        <f>'Stavební rozpočet'!H649</f>
        <v>0</v>
      </c>
      <c r="I154" s="59">
        <f>ROUND(G154*H154,2)</f>
        <v>0</v>
      </c>
      <c r="J154" s="59">
        <f>'Stavební rozpočet'!J649</f>
        <v>0</v>
      </c>
      <c r="K154" s="59">
        <f>'Stavební rozpočet'!K649</f>
        <v>4.5999999999999999E-2</v>
      </c>
      <c r="L154" s="59">
        <f>G154*K154</f>
        <v>1.2511999999999999</v>
      </c>
      <c r="M154" s="60" t="s">
        <v>115</v>
      </c>
      <c r="Z154" s="59">
        <f>ROUND(IF(AQ154="5",BJ154,0),2)</f>
        <v>0</v>
      </c>
      <c r="AB154" s="59">
        <f>ROUND(IF(AQ154="1",BH154,0),2)</f>
        <v>0</v>
      </c>
      <c r="AC154" s="59">
        <f>ROUND(IF(AQ154="1",BI154,0),2)</f>
        <v>0</v>
      </c>
      <c r="AD154" s="59">
        <f>ROUND(IF(AQ154="7",BH154,0),2)</f>
        <v>0</v>
      </c>
      <c r="AE154" s="59">
        <f>ROUND(IF(AQ154="7",BI154,0),2)</f>
        <v>0</v>
      </c>
      <c r="AF154" s="59">
        <f>ROUND(IF(AQ154="2",BH154,0),2)</f>
        <v>0</v>
      </c>
      <c r="AG154" s="59">
        <f>ROUND(IF(AQ154="2",BI154,0),2)</f>
        <v>0</v>
      </c>
      <c r="AH154" s="59">
        <f>ROUND(IF(AQ154="0",BJ154,0),2)</f>
        <v>0</v>
      </c>
      <c r="AI154" s="46" t="s">
        <v>514</v>
      </c>
      <c r="AJ154" s="59">
        <f>IF(AN154=0,I154,0)</f>
        <v>0</v>
      </c>
      <c r="AK154" s="59">
        <f>IF(AN154=12,I154,0)</f>
        <v>0</v>
      </c>
      <c r="AL154" s="59">
        <f>IF(AN154=21,I154,0)</f>
        <v>0</v>
      </c>
      <c r="AN154" s="59">
        <v>12</v>
      </c>
      <c r="AO154" s="59">
        <f>H154*0</f>
        <v>0</v>
      </c>
      <c r="AP154" s="59">
        <f>H154*(1-0)</f>
        <v>0</v>
      </c>
      <c r="AQ154" s="61" t="s">
        <v>111</v>
      </c>
      <c r="AV154" s="59">
        <f>ROUND(AW154+AX154,2)</f>
        <v>0</v>
      </c>
      <c r="AW154" s="59">
        <f>ROUND(G154*AO154,2)</f>
        <v>0</v>
      </c>
      <c r="AX154" s="59">
        <f>ROUND(G154*AP154,2)</f>
        <v>0</v>
      </c>
      <c r="AY154" s="61" t="s">
        <v>317</v>
      </c>
      <c r="AZ154" s="61" t="s">
        <v>523</v>
      </c>
      <c r="BA154" s="46" t="s">
        <v>517</v>
      </c>
      <c r="BC154" s="59">
        <f>AW154+AX154</f>
        <v>0</v>
      </c>
      <c r="BD154" s="59">
        <f>H154/(100-BE154)*100</f>
        <v>0</v>
      </c>
      <c r="BE154" s="59">
        <v>0</v>
      </c>
      <c r="BF154" s="59">
        <f>L154</f>
        <v>1.2511999999999999</v>
      </c>
      <c r="BH154" s="59">
        <f>G154*AO154</f>
        <v>0</v>
      </c>
      <c r="BI154" s="59">
        <f>G154*AP154</f>
        <v>0</v>
      </c>
      <c r="BJ154" s="59">
        <f>G154*H154</f>
        <v>0</v>
      </c>
      <c r="BK154" s="59"/>
      <c r="BL154" s="59">
        <v>97</v>
      </c>
      <c r="BW154" s="59">
        <v>12</v>
      </c>
      <c r="BX154" s="16" t="s">
        <v>316</v>
      </c>
    </row>
    <row r="155" spans="1:76" x14ac:dyDescent="0.25">
      <c r="A155" s="62"/>
      <c r="D155" s="63" t="s">
        <v>502</v>
      </c>
      <c r="E155" s="63"/>
      <c r="G155" s="64">
        <v>27.2</v>
      </c>
      <c r="M155" s="65"/>
    </row>
    <row r="156" spans="1:76" ht="15" customHeight="1" x14ac:dyDescent="0.25">
      <c r="A156" s="54"/>
      <c r="B156" s="55" t="s">
        <v>514</v>
      </c>
      <c r="C156" s="55" t="s">
        <v>318</v>
      </c>
      <c r="D156" s="104" t="s">
        <v>319</v>
      </c>
      <c r="E156" s="104"/>
      <c r="F156" s="56" t="s">
        <v>88</v>
      </c>
      <c r="G156" s="56" t="s">
        <v>88</v>
      </c>
      <c r="H156" s="56" t="s">
        <v>88</v>
      </c>
      <c r="I156" s="39">
        <f>SUM(I157)</f>
        <v>0</v>
      </c>
      <c r="J156" s="46"/>
      <c r="K156" s="46"/>
      <c r="L156" s="39">
        <f>SUM(L157)</f>
        <v>0</v>
      </c>
      <c r="M156" s="57"/>
      <c r="AI156" s="46" t="s">
        <v>514</v>
      </c>
      <c r="AS156" s="39">
        <f>SUM(AJ157)</f>
        <v>0</v>
      </c>
      <c r="AT156" s="39">
        <f>SUM(AK157)</f>
        <v>0</v>
      </c>
      <c r="AU156" s="39">
        <f>SUM(AL157)</f>
        <v>0</v>
      </c>
    </row>
    <row r="157" spans="1:76" ht="15" customHeight="1" x14ac:dyDescent="0.25">
      <c r="A157" s="58" t="s">
        <v>451</v>
      </c>
      <c r="B157" s="18" t="s">
        <v>514</v>
      </c>
      <c r="C157" s="18" t="s">
        <v>321</v>
      </c>
      <c r="D157" s="8" t="s">
        <v>322</v>
      </c>
      <c r="E157" s="8"/>
      <c r="F157" s="18" t="s">
        <v>224</v>
      </c>
      <c r="G157" s="59">
        <f>'Stavební rozpočet'!G652</f>
        <v>5.1639999999999997</v>
      </c>
      <c r="H157" s="59">
        <f>'Stavební rozpočet'!H652</f>
        <v>0</v>
      </c>
      <c r="I157" s="59">
        <f>ROUND(G157*H157,2)</f>
        <v>0</v>
      </c>
      <c r="J157" s="59">
        <f>'Stavební rozpočet'!J652</f>
        <v>0</v>
      </c>
      <c r="K157" s="59">
        <f>'Stavební rozpočet'!K652</f>
        <v>0</v>
      </c>
      <c r="L157" s="59">
        <f>G157*K157</f>
        <v>0</v>
      </c>
      <c r="M157" s="60" t="s">
        <v>115</v>
      </c>
      <c r="Z157" s="59">
        <f>ROUND(IF(AQ157="5",BJ157,0),2)</f>
        <v>0</v>
      </c>
      <c r="AB157" s="59">
        <f>ROUND(IF(AQ157="1",BH157,0),2)</f>
        <v>0</v>
      </c>
      <c r="AC157" s="59">
        <f>ROUND(IF(AQ157="1",BI157,0),2)</f>
        <v>0</v>
      </c>
      <c r="AD157" s="59">
        <f>ROUND(IF(AQ157="7",BH157,0),2)</f>
        <v>0</v>
      </c>
      <c r="AE157" s="59">
        <f>ROUND(IF(AQ157="7",BI157,0),2)</f>
        <v>0</v>
      </c>
      <c r="AF157" s="59">
        <f>ROUND(IF(AQ157="2",BH157,0),2)</f>
        <v>0</v>
      </c>
      <c r="AG157" s="59">
        <f>ROUND(IF(AQ157="2",BI157,0),2)</f>
        <v>0</v>
      </c>
      <c r="AH157" s="59">
        <f>ROUND(IF(AQ157="0",BJ157,0),2)</f>
        <v>0</v>
      </c>
      <c r="AI157" s="46" t="s">
        <v>514</v>
      </c>
      <c r="AJ157" s="59">
        <f>IF(AN157=0,I157,0)</f>
        <v>0</v>
      </c>
      <c r="AK157" s="59">
        <f>IF(AN157=12,I157,0)</f>
        <v>0</v>
      </c>
      <c r="AL157" s="59">
        <f>IF(AN157=21,I157,0)</f>
        <v>0</v>
      </c>
      <c r="AN157" s="59">
        <v>12</v>
      </c>
      <c r="AO157" s="59">
        <f>H157*0</f>
        <v>0</v>
      </c>
      <c r="AP157" s="59">
        <f>H157*(1-0)</f>
        <v>0</v>
      </c>
      <c r="AQ157" s="61" t="s">
        <v>137</v>
      </c>
      <c r="AV157" s="59">
        <f>ROUND(AW157+AX157,2)</f>
        <v>0</v>
      </c>
      <c r="AW157" s="59">
        <f>ROUND(G157*AO157,2)</f>
        <v>0</v>
      </c>
      <c r="AX157" s="59">
        <f>ROUND(G157*AP157,2)</f>
        <v>0</v>
      </c>
      <c r="AY157" s="61" t="s">
        <v>323</v>
      </c>
      <c r="AZ157" s="61" t="s">
        <v>523</v>
      </c>
      <c r="BA157" s="46" t="s">
        <v>517</v>
      </c>
      <c r="BC157" s="59">
        <f>AW157+AX157</f>
        <v>0</v>
      </c>
      <c r="BD157" s="59">
        <f>H157/(100-BE157)*100</f>
        <v>0</v>
      </c>
      <c r="BE157" s="59">
        <v>0</v>
      </c>
      <c r="BF157" s="59">
        <f>L157</f>
        <v>0</v>
      </c>
      <c r="BH157" s="59">
        <f>G157*AO157</f>
        <v>0</v>
      </c>
      <c r="BI157" s="59">
        <f>G157*AP157</f>
        <v>0</v>
      </c>
      <c r="BJ157" s="59">
        <f>G157*H157</f>
        <v>0</v>
      </c>
      <c r="BK157" s="59"/>
      <c r="BL157" s="59"/>
      <c r="BW157" s="59">
        <v>12</v>
      </c>
      <c r="BX157" s="16" t="s">
        <v>322</v>
      </c>
    </row>
    <row r="158" spans="1:76" ht="15" customHeight="1" x14ac:dyDescent="0.25">
      <c r="A158" s="54"/>
      <c r="B158" s="55" t="s">
        <v>514</v>
      </c>
      <c r="C158" s="55" t="s">
        <v>324</v>
      </c>
      <c r="D158" s="104" t="s">
        <v>325</v>
      </c>
      <c r="E158" s="104"/>
      <c r="F158" s="56" t="s">
        <v>88</v>
      </c>
      <c r="G158" s="56" t="s">
        <v>88</v>
      </c>
      <c r="H158" s="56" t="s">
        <v>88</v>
      </c>
      <c r="I158" s="39">
        <f>SUM(I159:I173)</f>
        <v>0</v>
      </c>
      <c r="J158" s="46"/>
      <c r="K158" s="46"/>
      <c r="L158" s="39">
        <f>SUM(L159:L173)</f>
        <v>0</v>
      </c>
      <c r="M158" s="57"/>
      <c r="AI158" s="46" t="s">
        <v>514</v>
      </c>
      <c r="AS158" s="39">
        <f>SUM(AJ159:AJ173)</f>
        <v>0</v>
      </c>
      <c r="AT158" s="39">
        <f>SUM(AK159:AK173)</f>
        <v>0</v>
      </c>
      <c r="AU158" s="39">
        <f>SUM(AL159:AL173)</f>
        <v>0</v>
      </c>
    </row>
    <row r="159" spans="1:76" ht="15" customHeight="1" x14ac:dyDescent="0.25">
      <c r="A159" s="58" t="s">
        <v>452</v>
      </c>
      <c r="B159" s="18" t="s">
        <v>514</v>
      </c>
      <c r="C159" s="18" t="s">
        <v>453</v>
      </c>
      <c r="D159" s="8" t="s">
        <v>454</v>
      </c>
      <c r="E159" s="8"/>
      <c r="F159" s="18" t="s">
        <v>224</v>
      </c>
      <c r="G159" s="59">
        <f>'Stavební rozpočet'!G654</f>
        <v>9.3800000000000008</v>
      </c>
      <c r="H159" s="59">
        <f>'Stavební rozpočet'!H654</f>
        <v>0</v>
      </c>
      <c r="I159" s="59">
        <f>ROUND(G159*H159,2)</f>
        <v>0</v>
      </c>
      <c r="J159" s="59">
        <f>'Stavební rozpočet'!J654</f>
        <v>0</v>
      </c>
      <c r="K159" s="59">
        <f>'Stavební rozpočet'!K654</f>
        <v>0</v>
      </c>
      <c r="L159" s="59">
        <f>G159*K159</f>
        <v>0</v>
      </c>
      <c r="M159" s="60" t="s">
        <v>115</v>
      </c>
      <c r="Z159" s="59">
        <f>ROUND(IF(AQ159="5",BJ159,0),2)</f>
        <v>0</v>
      </c>
      <c r="AB159" s="59">
        <f>ROUND(IF(AQ159="1",BH159,0),2)</f>
        <v>0</v>
      </c>
      <c r="AC159" s="59">
        <f>ROUND(IF(AQ159="1",BI159,0),2)</f>
        <v>0</v>
      </c>
      <c r="AD159" s="59">
        <f>ROUND(IF(AQ159="7",BH159,0),2)</f>
        <v>0</v>
      </c>
      <c r="AE159" s="59">
        <f>ROUND(IF(AQ159="7",BI159,0),2)</f>
        <v>0</v>
      </c>
      <c r="AF159" s="59">
        <f>ROUND(IF(AQ159="2",BH159,0),2)</f>
        <v>0</v>
      </c>
      <c r="AG159" s="59">
        <f>ROUND(IF(AQ159="2",BI159,0),2)</f>
        <v>0</v>
      </c>
      <c r="AH159" s="59">
        <f>ROUND(IF(AQ159="0",BJ159,0),2)</f>
        <v>0</v>
      </c>
      <c r="AI159" s="46" t="s">
        <v>514</v>
      </c>
      <c r="AJ159" s="59">
        <f>IF(AN159=0,I159,0)</f>
        <v>0</v>
      </c>
      <c r="AK159" s="59">
        <f>IF(AN159=12,I159,0)</f>
        <v>0</v>
      </c>
      <c r="AL159" s="59">
        <f>IF(AN159=21,I159,0)</f>
        <v>0</v>
      </c>
      <c r="AN159" s="59">
        <v>12</v>
      </c>
      <c r="AO159" s="59">
        <f>H159*0</f>
        <v>0</v>
      </c>
      <c r="AP159" s="59">
        <f>H159*(1-0)</f>
        <v>0</v>
      </c>
      <c r="AQ159" s="61" t="s">
        <v>137</v>
      </c>
      <c r="AV159" s="59">
        <f>ROUND(AW159+AX159,2)</f>
        <v>0</v>
      </c>
      <c r="AW159" s="59">
        <f>ROUND(G159*AO159,2)</f>
        <v>0</v>
      </c>
      <c r="AX159" s="59">
        <f>ROUND(G159*AP159,2)</f>
        <v>0</v>
      </c>
      <c r="AY159" s="61" t="s">
        <v>329</v>
      </c>
      <c r="AZ159" s="61" t="s">
        <v>523</v>
      </c>
      <c r="BA159" s="46" t="s">
        <v>517</v>
      </c>
      <c r="BC159" s="59">
        <f>AW159+AX159</f>
        <v>0</v>
      </c>
      <c r="BD159" s="59">
        <f>H159/(100-BE159)*100</f>
        <v>0</v>
      </c>
      <c r="BE159" s="59">
        <v>0</v>
      </c>
      <c r="BF159" s="59">
        <f>L159</f>
        <v>0</v>
      </c>
      <c r="BH159" s="59">
        <f>G159*AO159</f>
        <v>0</v>
      </c>
      <c r="BI159" s="59">
        <f>G159*AP159</f>
        <v>0</v>
      </c>
      <c r="BJ159" s="59">
        <f>G159*H159</f>
        <v>0</v>
      </c>
      <c r="BK159" s="59"/>
      <c r="BL159" s="59"/>
      <c r="BW159" s="59">
        <v>12</v>
      </c>
      <c r="BX159" s="16" t="s">
        <v>454</v>
      </c>
    </row>
    <row r="160" spans="1:76" x14ac:dyDescent="0.25">
      <c r="A160" s="62"/>
      <c r="D160" s="63" t="s">
        <v>506</v>
      </c>
      <c r="E160" s="63"/>
      <c r="G160" s="64">
        <v>9.3800000000000008</v>
      </c>
      <c r="M160" s="65"/>
    </row>
    <row r="161" spans="1:76" ht="15" customHeight="1" x14ac:dyDescent="0.25">
      <c r="A161" s="58" t="s">
        <v>456</v>
      </c>
      <c r="B161" s="18" t="s">
        <v>514</v>
      </c>
      <c r="C161" s="18" t="s">
        <v>327</v>
      </c>
      <c r="D161" s="8" t="s">
        <v>328</v>
      </c>
      <c r="E161" s="8"/>
      <c r="F161" s="18" t="s">
        <v>224</v>
      </c>
      <c r="G161" s="59">
        <f>'Stavební rozpočet'!G656</f>
        <v>9.3800000000000008</v>
      </c>
      <c r="H161" s="59">
        <f>'Stavební rozpočet'!H656</f>
        <v>0</v>
      </c>
      <c r="I161" s="59">
        <f>ROUND(G161*H161,2)</f>
        <v>0</v>
      </c>
      <c r="J161" s="59">
        <f>'Stavební rozpočet'!J656</f>
        <v>0</v>
      </c>
      <c r="K161" s="59">
        <f>'Stavební rozpočet'!K656</f>
        <v>0</v>
      </c>
      <c r="L161" s="59">
        <f>G161*K161</f>
        <v>0</v>
      </c>
      <c r="M161" s="60" t="s">
        <v>115</v>
      </c>
      <c r="Z161" s="59">
        <f>ROUND(IF(AQ161="5",BJ161,0),2)</f>
        <v>0</v>
      </c>
      <c r="AB161" s="59">
        <f>ROUND(IF(AQ161="1",BH161,0),2)</f>
        <v>0</v>
      </c>
      <c r="AC161" s="59">
        <f>ROUND(IF(AQ161="1",BI161,0),2)</f>
        <v>0</v>
      </c>
      <c r="AD161" s="59">
        <f>ROUND(IF(AQ161="7",BH161,0),2)</f>
        <v>0</v>
      </c>
      <c r="AE161" s="59">
        <f>ROUND(IF(AQ161="7",BI161,0),2)</f>
        <v>0</v>
      </c>
      <c r="AF161" s="59">
        <f>ROUND(IF(AQ161="2",BH161,0),2)</f>
        <v>0</v>
      </c>
      <c r="AG161" s="59">
        <f>ROUND(IF(AQ161="2",BI161,0),2)</f>
        <v>0</v>
      </c>
      <c r="AH161" s="59">
        <f>ROUND(IF(AQ161="0",BJ161,0),2)</f>
        <v>0</v>
      </c>
      <c r="AI161" s="46" t="s">
        <v>514</v>
      </c>
      <c r="AJ161" s="59">
        <f>IF(AN161=0,I161,0)</f>
        <v>0</v>
      </c>
      <c r="AK161" s="59">
        <f>IF(AN161=12,I161,0)</f>
        <v>0</v>
      </c>
      <c r="AL161" s="59">
        <f>IF(AN161=21,I161,0)</f>
        <v>0</v>
      </c>
      <c r="AN161" s="59">
        <v>12</v>
      </c>
      <c r="AO161" s="59">
        <f>H161*0</f>
        <v>0</v>
      </c>
      <c r="AP161" s="59">
        <f>H161*(1-0)</f>
        <v>0</v>
      </c>
      <c r="AQ161" s="61" t="s">
        <v>137</v>
      </c>
      <c r="AV161" s="59">
        <f>ROUND(AW161+AX161,2)</f>
        <v>0</v>
      </c>
      <c r="AW161" s="59">
        <f>ROUND(G161*AO161,2)</f>
        <v>0</v>
      </c>
      <c r="AX161" s="59">
        <f>ROUND(G161*AP161,2)</f>
        <v>0</v>
      </c>
      <c r="AY161" s="61" t="s">
        <v>329</v>
      </c>
      <c r="AZ161" s="61" t="s">
        <v>523</v>
      </c>
      <c r="BA161" s="46" t="s">
        <v>517</v>
      </c>
      <c r="BC161" s="59">
        <f>AW161+AX161</f>
        <v>0</v>
      </c>
      <c r="BD161" s="59">
        <f>H161/(100-BE161)*100</f>
        <v>0</v>
      </c>
      <c r="BE161" s="59">
        <v>0</v>
      </c>
      <c r="BF161" s="59">
        <f>L161</f>
        <v>0</v>
      </c>
      <c r="BH161" s="59">
        <f>G161*AO161</f>
        <v>0</v>
      </c>
      <c r="BI161" s="59">
        <f>G161*AP161</f>
        <v>0</v>
      </c>
      <c r="BJ161" s="59">
        <f>G161*H161</f>
        <v>0</v>
      </c>
      <c r="BK161" s="59"/>
      <c r="BL161" s="59"/>
      <c r="BW161" s="59">
        <v>12</v>
      </c>
      <c r="BX161" s="16" t="s">
        <v>328</v>
      </c>
    </row>
    <row r="162" spans="1:76" x14ac:dyDescent="0.25">
      <c r="A162" s="62"/>
      <c r="D162" s="63" t="s">
        <v>507</v>
      </c>
      <c r="E162" s="63"/>
      <c r="G162" s="64">
        <v>9.3800000000000008</v>
      </c>
      <c r="M162" s="65"/>
    </row>
    <row r="163" spans="1:76" ht="15" customHeight="1" x14ac:dyDescent="0.25">
      <c r="A163" s="58" t="s">
        <v>457</v>
      </c>
      <c r="B163" s="18" t="s">
        <v>514</v>
      </c>
      <c r="C163" s="18" t="s">
        <v>482</v>
      </c>
      <c r="D163" s="8" t="s">
        <v>483</v>
      </c>
      <c r="E163" s="8"/>
      <c r="F163" s="18" t="s">
        <v>224</v>
      </c>
      <c r="G163" s="59">
        <f>'Stavební rozpočet'!G658</f>
        <v>37.520000000000003</v>
      </c>
      <c r="H163" s="59">
        <f>'Stavební rozpočet'!H658</f>
        <v>0</v>
      </c>
      <c r="I163" s="59">
        <f>ROUND(G163*H163,2)</f>
        <v>0</v>
      </c>
      <c r="J163" s="59">
        <f>'Stavební rozpočet'!J658</f>
        <v>0</v>
      </c>
      <c r="K163" s="59">
        <f>'Stavební rozpočet'!K658</f>
        <v>0</v>
      </c>
      <c r="L163" s="59">
        <f>G163*K163</f>
        <v>0</v>
      </c>
      <c r="M163" s="60" t="s">
        <v>115</v>
      </c>
      <c r="Z163" s="59">
        <f>ROUND(IF(AQ163="5",BJ163,0),2)</f>
        <v>0</v>
      </c>
      <c r="AB163" s="59">
        <f>ROUND(IF(AQ163="1",BH163,0),2)</f>
        <v>0</v>
      </c>
      <c r="AC163" s="59">
        <f>ROUND(IF(AQ163="1",BI163,0),2)</f>
        <v>0</v>
      </c>
      <c r="AD163" s="59">
        <f>ROUND(IF(AQ163="7",BH163,0),2)</f>
        <v>0</v>
      </c>
      <c r="AE163" s="59">
        <f>ROUND(IF(AQ163="7",BI163,0),2)</f>
        <v>0</v>
      </c>
      <c r="AF163" s="59">
        <f>ROUND(IF(AQ163="2",BH163,0),2)</f>
        <v>0</v>
      </c>
      <c r="AG163" s="59">
        <f>ROUND(IF(AQ163="2",BI163,0),2)</f>
        <v>0</v>
      </c>
      <c r="AH163" s="59">
        <f>ROUND(IF(AQ163="0",BJ163,0),2)</f>
        <v>0</v>
      </c>
      <c r="AI163" s="46" t="s">
        <v>514</v>
      </c>
      <c r="AJ163" s="59">
        <f>IF(AN163=0,I163,0)</f>
        <v>0</v>
      </c>
      <c r="AK163" s="59">
        <f>IF(AN163=12,I163,0)</f>
        <v>0</v>
      </c>
      <c r="AL163" s="59">
        <f>IF(AN163=21,I163,0)</f>
        <v>0</v>
      </c>
      <c r="AN163" s="59">
        <v>12</v>
      </c>
      <c r="AO163" s="59">
        <f>H163*0</f>
        <v>0</v>
      </c>
      <c r="AP163" s="59">
        <f>H163*(1-0)</f>
        <v>0</v>
      </c>
      <c r="AQ163" s="61" t="s">
        <v>137</v>
      </c>
      <c r="AV163" s="59">
        <f>ROUND(AW163+AX163,2)</f>
        <v>0</v>
      </c>
      <c r="AW163" s="59">
        <f>ROUND(G163*AO163,2)</f>
        <v>0</v>
      </c>
      <c r="AX163" s="59">
        <f>ROUND(G163*AP163,2)</f>
        <v>0</v>
      </c>
      <c r="AY163" s="61" t="s">
        <v>329</v>
      </c>
      <c r="AZ163" s="61" t="s">
        <v>523</v>
      </c>
      <c r="BA163" s="46" t="s">
        <v>517</v>
      </c>
      <c r="BC163" s="59">
        <f>AW163+AX163</f>
        <v>0</v>
      </c>
      <c r="BD163" s="59">
        <f>H163/(100-BE163)*100</f>
        <v>0</v>
      </c>
      <c r="BE163" s="59">
        <v>0</v>
      </c>
      <c r="BF163" s="59">
        <f>L163</f>
        <v>0</v>
      </c>
      <c r="BH163" s="59">
        <f>G163*AO163</f>
        <v>0</v>
      </c>
      <c r="BI163" s="59">
        <f>G163*AP163</f>
        <v>0</v>
      </c>
      <c r="BJ163" s="59">
        <f>G163*H163</f>
        <v>0</v>
      </c>
      <c r="BK163" s="59"/>
      <c r="BL163" s="59"/>
      <c r="BW163" s="59">
        <v>12</v>
      </c>
      <c r="BX163" s="16" t="s">
        <v>483</v>
      </c>
    </row>
    <row r="164" spans="1:76" x14ac:dyDescent="0.25">
      <c r="A164" s="62"/>
      <c r="D164" s="63" t="s">
        <v>524</v>
      </c>
      <c r="E164" s="63"/>
      <c r="G164" s="64">
        <v>37.520000000000003</v>
      </c>
      <c r="M164" s="65"/>
    </row>
    <row r="165" spans="1:76" ht="15" customHeight="1" x14ac:dyDescent="0.25">
      <c r="A165" s="58" t="s">
        <v>459</v>
      </c>
      <c r="B165" s="18" t="s">
        <v>514</v>
      </c>
      <c r="C165" s="18" t="s">
        <v>332</v>
      </c>
      <c r="D165" s="8" t="s">
        <v>333</v>
      </c>
      <c r="E165" s="8"/>
      <c r="F165" s="18" t="s">
        <v>224</v>
      </c>
      <c r="G165" s="59">
        <f>'Stavební rozpočet'!G660</f>
        <v>9.3800000000000008</v>
      </c>
      <c r="H165" s="59">
        <f>'Stavební rozpočet'!H660</f>
        <v>0</v>
      </c>
      <c r="I165" s="59">
        <f>ROUND(G165*H165,2)</f>
        <v>0</v>
      </c>
      <c r="J165" s="59">
        <f>'Stavební rozpočet'!J660</f>
        <v>0</v>
      </c>
      <c r="K165" s="59">
        <f>'Stavební rozpočet'!K660</f>
        <v>0</v>
      </c>
      <c r="L165" s="59">
        <f>G165*K165</f>
        <v>0</v>
      </c>
      <c r="M165" s="60" t="s">
        <v>115</v>
      </c>
      <c r="Z165" s="59">
        <f>ROUND(IF(AQ165="5",BJ165,0),2)</f>
        <v>0</v>
      </c>
      <c r="AB165" s="59">
        <f>ROUND(IF(AQ165="1",BH165,0),2)</f>
        <v>0</v>
      </c>
      <c r="AC165" s="59">
        <f>ROUND(IF(AQ165="1",BI165,0),2)</f>
        <v>0</v>
      </c>
      <c r="AD165" s="59">
        <f>ROUND(IF(AQ165="7",BH165,0),2)</f>
        <v>0</v>
      </c>
      <c r="AE165" s="59">
        <f>ROUND(IF(AQ165="7",BI165,0),2)</f>
        <v>0</v>
      </c>
      <c r="AF165" s="59">
        <f>ROUND(IF(AQ165="2",BH165,0),2)</f>
        <v>0</v>
      </c>
      <c r="AG165" s="59">
        <f>ROUND(IF(AQ165="2",BI165,0),2)</f>
        <v>0</v>
      </c>
      <c r="AH165" s="59">
        <f>ROUND(IF(AQ165="0",BJ165,0),2)</f>
        <v>0</v>
      </c>
      <c r="AI165" s="46" t="s">
        <v>514</v>
      </c>
      <c r="AJ165" s="59">
        <f>IF(AN165=0,I165,0)</f>
        <v>0</v>
      </c>
      <c r="AK165" s="59">
        <f>IF(AN165=12,I165,0)</f>
        <v>0</v>
      </c>
      <c r="AL165" s="59">
        <f>IF(AN165=21,I165,0)</f>
        <v>0</v>
      </c>
      <c r="AN165" s="59">
        <v>12</v>
      </c>
      <c r="AO165" s="59">
        <f>H165*0</f>
        <v>0</v>
      </c>
      <c r="AP165" s="59">
        <f>H165*(1-0)</f>
        <v>0</v>
      </c>
      <c r="AQ165" s="61" t="s">
        <v>137</v>
      </c>
      <c r="AV165" s="59">
        <f>ROUND(AW165+AX165,2)</f>
        <v>0</v>
      </c>
      <c r="AW165" s="59">
        <f>ROUND(G165*AO165,2)</f>
        <v>0</v>
      </c>
      <c r="AX165" s="59">
        <f>ROUND(G165*AP165,2)</f>
        <v>0</v>
      </c>
      <c r="AY165" s="61" t="s">
        <v>329</v>
      </c>
      <c r="AZ165" s="61" t="s">
        <v>523</v>
      </c>
      <c r="BA165" s="46" t="s">
        <v>517</v>
      </c>
      <c r="BC165" s="59">
        <f>AW165+AX165</f>
        <v>0</v>
      </c>
      <c r="BD165" s="59">
        <f>H165/(100-BE165)*100</f>
        <v>0</v>
      </c>
      <c r="BE165" s="59">
        <v>0</v>
      </c>
      <c r="BF165" s="59">
        <f>L165</f>
        <v>0</v>
      </c>
      <c r="BH165" s="59">
        <f>G165*AO165</f>
        <v>0</v>
      </c>
      <c r="BI165" s="59">
        <f>G165*AP165</f>
        <v>0</v>
      </c>
      <c r="BJ165" s="59">
        <f>G165*H165</f>
        <v>0</v>
      </c>
      <c r="BK165" s="59"/>
      <c r="BL165" s="59"/>
      <c r="BW165" s="59">
        <v>12</v>
      </c>
      <c r="BX165" s="16" t="s">
        <v>333</v>
      </c>
    </row>
    <row r="166" spans="1:76" x14ac:dyDescent="0.25">
      <c r="A166" s="62"/>
      <c r="D166" s="63" t="s">
        <v>507</v>
      </c>
      <c r="E166" s="63"/>
      <c r="G166" s="64">
        <v>9.3800000000000008</v>
      </c>
      <c r="M166" s="65"/>
    </row>
    <row r="167" spans="1:76" ht="15" customHeight="1" x14ac:dyDescent="0.25">
      <c r="A167" s="58" t="s">
        <v>460</v>
      </c>
      <c r="B167" s="18" t="s">
        <v>514</v>
      </c>
      <c r="C167" s="18" t="s">
        <v>336</v>
      </c>
      <c r="D167" s="8" t="s">
        <v>337</v>
      </c>
      <c r="E167" s="8"/>
      <c r="F167" s="18" t="s">
        <v>224</v>
      </c>
      <c r="G167" s="59">
        <f>'Stavební rozpočet'!G662</f>
        <v>9.3800000000000008</v>
      </c>
      <c r="H167" s="59">
        <f>'Stavební rozpočet'!H662</f>
        <v>0</v>
      </c>
      <c r="I167" s="59">
        <f>ROUND(G167*H167,2)</f>
        <v>0</v>
      </c>
      <c r="J167" s="59">
        <f>'Stavební rozpočet'!J662</f>
        <v>0</v>
      </c>
      <c r="K167" s="59">
        <f>'Stavební rozpočet'!K662</f>
        <v>0</v>
      </c>
      <c r="L167" s="59">
        <f>G167*K167</f>
        <v>0</v>
      </c>
      <c r="M167" s="60" t="s">
        <v>115</v>
      </c>
      <c r="Z167" s="59">
        <f>ROUND(IF(AQ167="5",BJ167,0),2)</f>
        <v>0</v>
      </c>
      <c r="AB167" s="59">
        <f>ROUND(IF(AQ167="1",BH167,0),2)</f>
        <v>0</v>
      </c>
      <c r="AC167" s="59">
        <f>ROUND(IF(AQ167="1",BI167,0),2)</f>
        <v>0</v>
      </c>
      <c r="AD167" s="59">
        <f>ROUND(IF(AQ167="7",BH167,0),2)</f>
        <v>0</v>
      </c>
      <c r="AE167" s="59">
        <f>ROUND(IF(AQ167="7",BI167,0),2)</f>
        <v>0</v>
      </c>
      <c r="AF167" s="59">
        <f>ROUND(IF(AQ167="2",BH167,0),2)</f>
        <v>0</v>
      </c>
      <c r="AG167" s="59">
        <f>ROUND(IF(AQ167="2",BI167,0),2)</f>
        <v>0</v>
      </c>
      <c r="AH167" s="59">
        <f>ROUND(IF(AQ167="0",BJ167,0),2)</f>
        <v>0</v>
      </c>
      <c r="AI167" s="46" t="s">
        <v>514</v>
      </c>
      <c r="AJ167" s="59">
        <f>IF(AN167=0,I167,0)</f>
        <v>0</v>
      </c>
      <c r="AK167" s="59">
        <f>IF(AN167=12,I167,0)</f>
        <v>0</v>
      </c>
      <c r="AL167" s="59">
        <f>IF(AN167=21,I167,0)</f>
        <v>0</v>
      </c>
      <c r="AN167" s="59">
        <v>12</v>
      </c>
      <c r="AO167" s="59">
        <f>H167*0</f>
        <v>0</v>
      </c>
      <c r="AP167" s="59">
        <f>H167*(1-0)</f>
        <v>0</v>
      </c>
      <c r="AQ167" s="61" t="s">
        <v>137</v>
      </c>
      <c r="AV167" s="59">
        <f>ROUND(AW167+AX167,2)</f>
        <v>0</v>
      </c>
      <c r="AW167" s="59">
        <f>ROUND(G167*AO167,2)</f>
        <v>0</v>
      </c>
      <c r="AX167" s="59">
        <f>ROUND(G167*AP167,2)</f>
        <v>0</v>
      </c>
      <c r="AY167" s="61" t="s">
        <v>329</v>
      </c>
      <c r="AZ167" s="61" t="s">
        <v>523</v>
      </c>
      <c r="BA167" s="46" t="s">
        <v>517</v>
      </c>
      <c r="BC167" s="59">
        <f>AW167+AX167</f>
        <v>0</v>
      </c>
      <c r="BD167" s="59">
        <f>H167/(100-BE167)*100</f>
        <v>0</v>
      </c>
      <c r="BE167" s="59">
        <v>0</v>
      </c>
      <c r="BF167" s="59">
        <f>L167</f>
        <v>0</v>
      </c>
      <c r="BH167" s="59">
        <f>G167*AO167</f>
        <v>0</v>
      </c>
      <c r="BI167" s="59">
        <f>G167*AP167</f>
        <v>0</v>
      </c>
      <c r="BJ167" s="59">
        <f>G167*H167</f>
        <v>0</v>
      </c>
      <c r="BK167" s="59"/>
      <c r="BL167" s="59"/>
      <c r="BW167" s="59">
        <v>12</v>
      </c>
      <c r="BX167" s="16" t="s">
        <v>337</v>
      </c>
    </row>
    <row r="168" spans="1:76" x14ac:dyDescent="0.25">
      <c r="A168" s="62"/>
      <c r="D168" s="63" t="s">
        <v>507</v>
      </c>
      <c r="E168" s="63"/>
      <c r="G168" s="64">
        <v>9.3800000000000008</v>
      </c>
      <c r="M168" s="65"/>
    </row>
    <row r="169" spans="1:76" ht="15" customHeight="1" x14ac:dyDescent="0.25">
      <c r="A169" s="58" t="s">
        <v>462</v>
      </c>
      <c r="B169" s="18" t="s">
        <v>514</v>
      </c>
      <c r="C169" s="18" t="s">
        <v>339</v>
      </c>
      <c r="D169" s="8" t="s">
        <v>340</v>
      </c>
      <c r="E169" s="8"/>
      <c r="F169" s="18" t="s">
        <v>224</v>
      </c>
      <c r="G169" s="59">
        <f>'Stavební rozpočet'!G664</f>
        <v>2.2200000000000002</v>
      </c>
      <c r="H169" s="59">
        <f>'Stavební rozpočet'!H664</f>
        <v>0</v>
      </c>
      <c r="I169" s="59">
        <f>ROUND(G169*H169,2)</f>
        <v>0</v>
      </c>
      <c r="J169" s="59">
        <f>'Stavební rozpočet'!J664</f>
        <v>0</v>
      </c>
      <c r="K169" s="59">
        <f>'Stavební rozpočet'!K664</f>
        <v>0</v>
      </c>
      <c r="L169" s="59">
        <f>G169*K169</f>
        <v>0</v>
      </c>
      <c r="M169" s="60" t="s">
        <v>115</v>
      </c>
      <c r="Z169" s="59">
        <f>ROUND(IF(AQ169="5",BJ169,0),2)</f>
        <v>0</v>
      </c>
      <c r="AB169" s="59">
        <f>ROUND(IF(AQ169="1",BH169,0),2)</f>
        <v>0</v>
      </c>
      <c r="AC169" s="59">
        <f>ROUND(IF(AQ169="1",BI169,0),2)</f>
        <v>0</v>
      </c>
      <c r="AD169" s="59">
        <f>ROUND(IF(AQ169="7",BH169,0),2)</f>
        <v>0</v>
      </c>
      <c r="AE169" s="59">
        <f>ROUND(IF(AQ169="7",BI169,0),2)</f>
        <v>0</v>
      </c>
      <c r="AF169" s="59">
        <f>ROUND(IF(AQ169="2",BH169,0),2)</f>
        <v>0</v>
      </c>
      <c r="AG169" s="59">
        <f>ROUND(IF(AQ169="2",BI169,0),2)</f>
        <v>0</v>
      </c>
      <c r="AH169" s="59">
        <f>ROUND(IF(AQ169="0",BJ169,0),2)</f>
        <v>0</v>
      </c>
      <c r="AI169" s="46" t="s">
        <v>514</v>
      </c>
      <c r="AJ169" s="59">
        <f>IF(AN169=0,I169,0)</f>
        <v>0</v>
      </c>
      <c r="AK169" s="59">
        <f>IF(AN169=12,I169,0)</f>
        <v>0</v>
      </c>
      <c r="AL169" s="59">
        <f>IF(AN169=21,I169,0)</f>
        <v>0</v>
      </c>
      <c r="AN169" s="59">
        <v>12</v>
      </c>
      <c r="AO169" s="59">
        <f>H169*0</f>
        <v>0</v>
      </c>
      <c r="AP169" s="59">
        <f>H169*(1-0)</f>
        <v>0</v>
      </c>
      <c r="AQ169" s="61" t="s">
        <v>137</v>
      </c>
      <c r="AV169" s="59">
        <f>ROUND(AW169+AX169,2)</f>
        <v>0</v>
      </c>
      <c r="AW169" s="59">
        <f>ROUND(G169*AO169,2)</f>
        <v>0</v>
      </c>
      <c r="AX169" s="59">
        <f>ROUND(G169*AP169,2)</f>
        <v>0</v>
      </c>
      <c r="AY169" s="61" t="s">
        <v>329</v>
      </c>
      <c r="AZ169" s="61" t="s">
        <v>523</v>
      </c>
      <c r="BA169" s="46" t="s">
        <v>517</v>
      </c>
      <c r="BC169" s="59">
        <f>AW169+AX169</f>
        <v>0</v>
      </c>
      <c r="BD169" s="59">
        <f>H169/(100-BE169)*100</f>
        <v>0</v>
      </c>
      <c r="BE169" s="59">
        <v>0</v>
      </c>
      <c r="BF169" s="59">
        <f>L169</f>
        <v>0</v>
      </c>
      <c r="BH169" s="59">
        <f>G169*AO169</f>
        <v>0</v>
      </c>
      <c r="BI169" s="59">
        <f>G169*AP169</f>
        <v>0</v>
      </c>
      <c r="BJ169" s="59">
        <f>G169*H169</f>
        <v>0</v>
      </c>
      <c r="BK169" s="59"/>
      <c r="BL169" s="59"/>
      <c r="BW169" s="59">
        <v>12</v>
      </c>
      <c r="BX169" s="16" t="s">
        <v>340</v>
      </c>
    </row>
    <row r="170" spans="1:76" x14ac:dyDescent="0.25">
      <c r="A170" s="62"/>
      <c r="D170" s="63" t="s">
        <v>509</v>
      </c>
      <c r="E170" s="63"/>
      <c r="G170" s="64">
        <v>2.2200000000000002</v>
      </c>
      <c r="M170" s="65"/>
    </row>
    <row r="171" spans="1:76" ht="24" customHeight="1" x14ac:dyDescent="0.25">
      <c r="A171" s="58" t="s">
        <v>464</v>
      </c>
      <c r="B171" s="18" t="s">
        <v>514</v>
      </c>
      <c r="C171" s="18" t="s">
        <v>343</v>
      </c>
      <c r="D171" s="8" t="s">
        <v>344</v>
      </c>
      <c r="E171" s="8"/>
      <c r="F171" s="18" t="s">
        <v>224</v>
      </c>
      <c r="G171" s="59">
        <f>'Stavební rozpočet'!G666</f>
        <v>6.82</v>
      </c>
      <c r="H171" s="59">
        <f>'Stavební rozpočet'!H666</f>
        <v>0</v>
      </c>
      <c r="I171" s="59">
        <f>ROUND(G171*H171,2)</f>
        <v>0</v>
      </c>
      <c r="J171" s="59">
        <f>'Stavební rozpočet'!J666</f>
        <v>0</v>
      </c>
      <c r="K171" s="59">
        <f>'Stavební rozpočet'!K666</f>
        <v>0</v>
      </c>
      <c r="L171" s="59">
        <f>G171*K171</f>
        <v>0</v>
      </c>
      <c r="M171" s="60" t="s">
        <v>115</v>
      </c>
      <c r="Z171" s="59">
        <f>ROUND(IF(AQ171="5",BJ171,0),2)</f>
        <v>0</v>
      </c>
      <c r="AB171" s="59">
        <f>ROUND(IF(AQ171="1",BH171,0),2)</f>
        <v>0</v>
      </c>
      <c r="AC171" s="59">
        <f>ROUND(IF(AQ171="1",BI171,0),2)</f>
        <v>0</v>
      </c>
      <c r="AD171" s="59">
        <f>ROUND(IF(AQ171="7",BH171,0),2)</f>
        <v>0</v>
      </c>
      <c r="AE171" s="59">
        <f>ROUND(IF(AQ171="7",BI171,0),2)</f>
        <v>0</v>
      </c>
      <c r="AF171" s="59">
        <f>ROUND(IF(AQ171="2",BH171,0),2)</f>
        <v>0</v>
      </c>
      <c r="AG171" s="59">
        <f>ROUND(IF(AQ171="2",BI171,0),2)</f>
        <v>0</v>
      </c>
      <c r="AH171" s="59">
        <f>ROUND(IF(AQ171="0",BJ171,0),2)</f>
        <v>0</v>
      </c>
      <c r="AI171" s="46" t="s">
        <v>514</v>
      </c>
      <c r="AJ171" s="59">
        <f>IF(AN171=0,I171,0)</f>
        <v>0</v>
      </c>
      <c r="AK171" s="59">
        <f>IF(AN171=12,I171,0)</f>
        <v>0</v>
      </c>
      <c r="AL171" s="59">
        <f>IF(AN171=21,I171,0)</f>
        <v>0</v>
      </c>
      <c r="AN171" s="59">
        <v>12</v>
      </c>
      <c r="AO171" s="59">
        <f>H171*0</f>
        <v>0</v>
      </c>
      <c r="AP171" s="59">
        <f>H171*(1-0)</f>
        <v>0</v>
      </c>
      <c r="AQ171" s="61" t="s">
        <v>137</v>
      </c>
      <c r="AV171" s="59">
        <f>ROUND(AW171+AX171,2)</f>
        <v>0</v>
      </c>
      <c r="AW171" s="59">
        <f>ROUND(G171*AO171,2)</f>
        <v>0</v>
      </c>
      <c r="AX171" s="59">
        <f>ROUND(G171*AP171,2)</f>
        <v>0</v>
      </c>
      <c r="AY171" s="61" t="s">
        <v>329</v>
      </c>
      <c r="AZ171" s="61" t="s">
        <v>523</v>
      </c>
      <c r="BA171" s="46" t="s">
        <v>517</v>
      </c>
      <c r="BC171" s="59">
        <f>AW171+AX171</f>
        <v>0</v>
      </c>
      <c r="BD171" s="59">
        <f>H171/(100-BE171)*100</f>
        <v>0</v>
      </c>
      <c r="BE171" s="59">
        <v>0</v>
      </c>
      <c r="BF171" s="59">
        <f>L171</f>
        <v>0</v>
      </c>
      <c r="BH171" s="59">
        <f>G171*AO171</f>
        <v>0</v>
      </c>
      <c r="BI171" s="59">
        <f>G171*AP171</f>
        <v>0</v>
      </c>
      <c r="BJ171" s="59">
        <f>G171*H171</f>
        <v>0</v>
      </c>
      <c r="BK171" s="59"/>
      <c r="BL171" s="59"/>
      <c r="BW171" s="59">
        <v>12</v>
      </c>
      <c r="BX171" s="16" t="s">
        <v>344</v>
      </c>
    </row>
    <row r="172" spans="1:76" x14ac:dyDescent="0.25">
      <c r="A172" s="62"/>
      <c r="D172" s="63" t="s">
        <v>510</v>
      </c>
      <c r="E172" s="63"/>
      <c r="G172" s="64">
        <v>6.82</v>
      </c>
      <c r="M172" s="65"/>
    </row>
    <row r="173" spans="1:76" ht="15" customHeight="1" x14ac:dyDescent="0.25">
      <c r="A173" s="58" t="s">
        <v>484</v>
      </c>
      <c r="B173" s="18" t="s">
        <v>514</v>
      </c>
      <c r="C173" s="18" t="s">
        <v>465</v>
      </c>
      <c r="D173" s="8" t="s">
        <v>466</v>
      </c>
      <c r="E173" s="8"/>
      <c r="F173" s="18" t="s">
        <v>224</v>
      </c>
      <c r="G173" s="59">
        <f>'Stavební rozpočet'!G668</f>
        <v>0.22</v>
      </c>
      <c r="H173" s="59">
        <f>'Stavební rozpočet'!H668</f>
        <v>0</v>
      </c>
      <c r="I173" s="59">
        <f>ROUND(G173*H173,2)</f>
        <v>0</v>
      </c>
      <c r="J173" s="59">
        <f>'Stavební rozpočet'!J668</f>
        <v>0</v>
      </c>
      <c r="K173" s="59">
        <f>'Stavební rozpočet'!K668</f>
        <v>0</v>
      </c>
      <c r="L173" s="59">
        <f>G173*K173</f>
        <v>0</v>
      </c>
      <c r="M173" s="60" t="s">
        <v>115</v>
      </c>
      <c r="Z173" s="59">
        <f>ROUND(IF(AQ173="5",BJ173,0),2)</f>
        <v>0</v>
      </c>
      <c r="AB173" s="59">
        <f>ROUND(IF(AQ173="1",BH173,0),2)</f>
        <v>0</v>
      </c>
      <c r="AC173" s="59">
        <f>ROUND(IF(AQ173="1",BI173,0),2)</f>
        <v>0</v>
      </c>
      <c r="AD173" s="59">
        <f>ROUND(IF(AQ173="7",BH173,0),2)</f>
        <v>0</v>
      </c>
      <c r="AE173" s="59">
        <f>ROUND(IF(AQ173="7",BI173,0),2)</f>
        <v>0</v>
      </c>
      <c r="AF173" s="59">
        <f>ROUND(IF(AQ173="2",BH173,0),2)</f>
        <v>0</v>
      </c>
      <c r="AG173" s="59">
        <f>ROUND(IF(AQ173="2",BI173,0),2)</f>
        <v>0</v>
      </c>
      <c r="AH173" s="59">
        <f>ROUND(IF(AQ173="0",BJ173,0),2)</f>
        <v>0</v>
      </c>
      <c r="AI173" s="46" t="s">
        <v>514</v>
      </c>
      <c r="AJ173" s="59">
        <f>IF(AN173=0,I173,0)</f>
        <v>0</v>
      </c>
      <c r="AK173" s="59">
        <f>IF(AN173=12,I173,0)</f>
        <v>0</v>
      </c>
      <c r="AL173" s="59">
        <f>IF(AN173=21,I173,0)</f>
        <v>0</v>
      </c>
      <c r="AN173" s="59">
        <v>12</v>
      </c>
      <c r="AO173" s="59">
        <f>H173*0</f>
        <v>0</v>
      </c>
      <c r="AP173" s="59">
        <f>H173*(1-0)</f>
        <v>0</v>
      </c>
      <c r="AQ173" s="61" t="s">
        <v>137</v>
      </c>
      <c r="AV173" s="59">
        <f>ROUND(AW173+AX173,2)</f>
        <v>0</v>
      </c>
      <c r="AW173" s="59">
        <f>ROUND(G173*AO173,2)</f>
        <v>0</v>
      </c>
      <c r="AX173" s="59">
        <f>ROUND(G173*AP173,2)</f>
        <v>0</v>
      </c>
      <c r="AY173" s="61" t="s">
        <v>329</v>
      </c>
      <c r="AZ173" s="61" t="s">
        <v>523</v>
      </c>
      <c r="BA173" s="46" t="s">
        <v>517</v>
      </c>
      <c r="BC173" s="59">
        <f>AW173+AX173</f>
        <v>0</v>
      </c>
      <c r="BD173" s="59">
        <f>H173/(100-BE173)*100</f>
        <v>0</v>
      </c>
      <c r="BE173" s="59">
        <v>0</v>
      </c>
      <c r="BF173" s="59">
        <f>L173</f>
        <v>0</v>
      </c>
      <c r="BH173" s="59">
        <f>G173*AO173</f>
        <v>0</v>
      </c>
      <c r="BI173" s="59">
        <f>G173*AP173</f>
        <v>0</v>
      </c>
      <c r="BJ173" s="59">
        <f>G173*H173</f>
        <v>0</v>
      </c>
      <c r="BK173" s="59"/>
      <c r="BL173" s="59"/>
      <c r="BW173" s="59">
        <v>12</v>
      </c>
      <c r="BX173" s="16" t="s">
        <v>466</v>
      </c>
    </row>
    <row r="174" spans="1:76" x14ac:dyDescent="0.25">
      <c r="A174" s="66"/>
      <c r="B174" s="67"/>
      <c r="C174" s="67"/>
      <c r="D174" s="68" t="s">
        <v>467</v>
      </c>
      <c r="E174" s="68"/>
      <c r="F174" s="67"/>
      <c r="G174" s="69">
        <v>0.22</v>
      </c>
      <c r="H174" s="67"/>
      <c r="I174" s="67"/>
      <c r="J174" s="67"/>
      <c r="K174" s="67"/>
      <c r="L174" s="67"/>
      <c r="M174" s="70"/>
    </row>
    <row r="175" spans="1:76" x14ac:dyDescent="0.25">
      <c r="I175" s="71">
        <f>ROUND(I13+I19+I28+I36+I45+I49+I56+I67+I85+I88+I104+I114+I118+I128+I133+I137+I153+I156+I158,0)</f>
        <v>0</v>
      </c>
    </row>
    <row r="176" spans="1:76" x14ac:dyDescent="0.25">
      <c r="A176" s="31" t="s">
        <v>52</v>
      </c>
    </row>
    <row r="177" spans="1:13" ht="12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</sheetData>
  <mergeCells count="131">
    <mergeCell ref="D163:E163"/>
    <mergeCell ref="D165:E165"/>
    <mergeCell ref="D167:E167"/>
    <mergeCell ref="D169:E169"/>
    <mergeCell ref="D171:E171"/>
    <mergeCell ref="D173:E173"/>
    <mergeCell ref="A177:M177"/>
    <mergeCell ref="D148:E148"/>
    <mergeCell ref="D150:E150"/>
    <mergeCell ref="D153:E153"/>
    <mergeCell ref="D154:E154"/>
    <mergeCell ref="D156:E156"/>
    <mergeCell ref="D157:E157"/>
    <mergeCell ref="D158:E158"/>
    <mergeCell ref="D159:E159"/>
    <mergeCell ref="D161:E161"/>
    <mergeCell ref="D133:E133"/>
    <mergeCell ref="D134:E134"/>
    <mergeCell ref="D135:M135"/>
    <mergeCell ref="D137:E137"/>
    <mergeCell ref="D138:E138"/>
    <mergeCell ref="D140:E140"/>
    <mergeCell ref="D142:E142"/>
    <mergeCell ref="D144:E144"/>
    <mergeCell ref="D146:E146"/>
    <mergeCell ref="D119:E119"/>
    <mergeCell ref="D120:M120"/>
    <mergeCell ref="D122:E122"/>
    <mergeCell ref="D123:M123"/>
    <mergeCell ref="D125:E125"/>
    <mergeCell ref="D126:M126"/>
    <mergeCell ref="D128:E128"/>
    <mergeCell ref="D129:E129"/>
    <mergeCell ref="D131:E131"/>
    <mergeCell ref="D106:M106"/>
    <mergeCell ref="D108:E108"/>
    <mergeCell ref="D109:M109"/>
    <mergeCell ref="D111:E111"/>
    <mergeCell ref="D112:M112"/>
    <mergeCell ref="D114:E114"/>
    <mergeCell ref="D115:E115"/>
    <mergeCell ref="D116:M116"/>
    <mergeCell ref="D118:E118"/>
    <mergeCell ref="D93:M93"/>
    <mergeCell ref="D95:E95"/>
    <mergeCell ref="D96:M96"/>
    <mergeCell ref="D98:E98"/>
    <mergeCell ref="D99:M99"/>
    <mergeCell ref="D101:E101"/>
    <mergeCell ref="D102:M102"/>
    <mergeCell ref="D104:E104"/>
    <mergeCell ref="D105:E105"/>
    <mergeCell ref="D81:E81"/>
    <mergeCell ref="D82:M82"/>
    <mergeCell ref="D84:E84"/>
    <mergeCell ref="D85:E85"/>
    <mergeCell ref="D86:E86"/>
    <mergeCell ref="D88:E88"/>
    <mergeCell ref="D89:E89"/>
    <mergeCell ref="D90:M90"/>
    <mergeCell ref="D92:E92"/>
    <mergeCell ref="D63:M63"/>
    <mergeCell ref="D65:E65"/>
    <mergeCell ref="D67:E67"/>
    <mergeCell ref="D68:E68"/>
    <mergeCell ref="D69:M69"/>
    <mergeCell ref="D75:E75"/>
    <mergeCell ref="D76:M76"/>
    <mergeCell ref="D78:E78"/>
    <mergeCell ref="D79:M79"/>
    <mergeCell ref="D49:E49"/>
    <mergeCell ref="D50:E50"/>
    <mergeCell ref="D52:E52"/>
    <mergeCell ref="D54:E54"/>
    <mergeCell ref="D56:E56"/>
    <mergeCell ref="D57:E57"/>
    <mergeCell ref="D59:E59"/>
    <mergeCell ref="D60:M60"/>
    <mergeCell ref="D62:E62"/>
    <mergeCell ref="D34:E34"/>
    <mergeCell ref="D36:E36"/>
    <mergeCell ref="D37:E37"/>
    <mergeCell ref="D39:E39"/>
    <mergeCell ref="D41:E41"/>
    <mergeCell ref="D43:E43"/>
    <mergeCell ref="D45:E45"/>
    <mergeCell ref="D46:E46"/>
    <mergeCell ref="D47:M47"/>
    <mergeCell ref="D20:E20"/>
    <mergeCell ref="D21:M21"/>
    <mergeCell ref="D23:E23"/>
    <mergeCell ref="D25:E25"/>
    <mergeCell ref="D26:M26"/>
    <mergeCell ref="D28:E28"/>
    <mergeCell ref="D29:E29"/>
    <mergeCell ref="D31:E31"/>
    <mergeCell ref="D32:M32"/>
    <mergeCell ref="D10:E10"/>
    <mergeCell ref="J10:L10"/>
    <mergeCell ref="D11:E11"/>
    <mergeCell ref="D12:E12"/>
    <mergeCell ref="D13:E13"/>
    <mergeCell ref="D14:E14"/>
    <mergeCell ref="D15:M15"/>
    <mergeCell ref="D17:E17"/>
    <mergeCell ref="D19:E19"/>
    <mergeCell ref="A6:C7"/>
    <mergeCell ref="D6:E7"/>
    <mergeCell ref="F6:G7"/>
    <mergeCell ref="H6:H7"/>
    <mergeCell ref="I6:J7"/>
    <mergeCell ref="K6:M7"/>
    <mergeCell ref="A8:C9"/>
    <mergeCell ref="D8:E9"/>
    <mergeCell ref="F8:G9"/>
    <mergeCell ref="H8:H9"/>
    <mergeCell ref="I8:J9"/>
    <mergeCell ref="K8:M9"/>
    <mergeCell ref="A1:M1"/>
    <mergeCell ref="A2:C3"/>
    <mergeCell ref="D2:E3"/>
    <mergeCell ref="F2:G3"/>
    <mergeCell ref="H2:H3"/>
    <mergeCell ref="I2:J3"/>
    <mergeCell ref="K2:M3"/>
    <mergeCell ref="A4:C5"/>
    <mergeCell ref="D4:E5"/>
    <mergeCell ref="F4:G5"/>
    <mergeCell ref="H4:H5"/>
    <mergeCell ref="I4:J5"/>
    <mergeCell ref="K4:M5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Z672"/>
  <sheetViews>
    <sheetView zoomScaleNormal="100" workbookViewId="0">
      <pane ySplit="11" topLeftCell="A12" activePane="bottomLeft" state="frozen"/>
      <selection pane="bottomLeft" activeCell="A672" sqref="A672"/>
    </sheetView>
  </sheetViews>
  <sheetFormatPr defaultColWidth="12.140625" defaultRowHeight="15" x14ac:dyDescent="0.25"/>
  <cols>
    <col min="1" max="1" width="3.140625" style="15" customWidth="1"/>
    <col min="2" max="2" width="8" style="15" customWidth="1"/>
    <col min="3" max="3" width="17.85546875" style="15" customWidth="1"/>
    <col min="4" max="4" width="42.85546875" style="15" customWidth="1"/>
    <col min="5" max="5" width="35.7109375" style="15" customWidth="1"/>
    <col min="6" max="6" width="7" style="15" customWidth="1"/>
    <col min="7" max="7" width="12.85546875" style="15" customWidth="1"/>
    <col min="8" max="8" width="12" style="15" customWidth="1"/>
    <col min="9" max="9" width="15.7109375" style="15" customWidth="1"/>
    <col min="10" max="12" width="11.7109375" style="15" customWidth="1"/>
    <col min="13" max="13" width="22.85546875" style="15" customWidth="1"/>
    <col min="25" max="75" width="12.140625" style="15" hidden="1"/>
    <col min="76" max="76" width="78.5703125" style="15" hidden="1" customWidth="1"/>
    <col min="77" max="78" width="12.140625" style="15" hidden="1"/>
  </cols>
  <sheetData>
    <row r="1" spans="1:76" ht="54.75" customHeight="1" x14ac:dyDescent="0.25">
      <c r="A1" s="97" t="s">
        <v>525</v>
      </c>
      <c r="B1" s="97"/>
      <c r="C1" s="97"/>
      <c r="D1" s="97"/>
      <c r="E1" s="97"/>
      <c r="F1" s="97">
        <f>'Krycí list rozpočtu (01A)'!F22+'Krycí list rozpočtu (01B)'!F22+'Krycí list rozpočtu (01C)'!F22+'Krycí list rozpočtu (01D)'!F22+'Krycí list rozpočtu (01E)'!F22</f>
        <v>0</v>
      </c>
      <c r="G1" s="97"/>
      <c r="H1" s="97"/>
      <c r="I1" s="97">
        <f>'Krycí list rozpočtu (01A)'!I22+'Krycí list rozpočtu (01B)'!I22+'Krycí list rozpočtu (01C)'!I22+'Krycí list rozpočtu (01D)'!I22+'Krycí list rozpočtu (01E)'!I22</f>
        <v>0</v>
      </c>
      <c r="J1" s="97"/>
      <c r="K1" s="97"/>
      <c r="L1" s="97"/>
      <c r="M1" s="97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ht="15" customHeight="1" x14ac:dyDescent="0.25">
      <c r="A2" s="13" t="s">
        <v>1</v>
      </c>
      <c r="B2" s="13"/>
      <c r="C2" s="13"/>
      <c r="D2" s="12" t="s">
        <v>526</v>
      </c>
      <c r="E2" s="12"/>
      <c r="F2" s="98" t="s">
        <v>73</v>
      </c>
      <c r="G2" s="98"/>
      <c r="H2" s="98" t="s">
        <v>88</v>
      </c>
      <c r="I2" s="11" t="s">
        <v>2</v>
      </c>
      <c r="J2" s="11"/>
      <c r="K2" s="10" t="s">
        <v>527</v>
      </c>
      <c r="L2" s="10"/>
      <c r="M2" s="10"/>
    </row>
    <row r="3" spans="1:76" x14ac:dyDescent="0.25">
      <c r="A3" s="13"/>
      <c r="B3" s="13"/>
      <c r="C3" s="13"/>
      <c r="D3" s="12"/>
      <c r="E3" s="12"/>
      <c r="F3" s="98"/>
      <c r="G3" s="98"/>
      <c r="H3" s="98"/>
      <c r="I3" s="98"/>
      <c r="J3" s="11"/>
      <c r="K3" s="10"/>
      <c r="L3" s="10"/>
      <c r="M3" s="10"/>
    </row>
    <row r="4" spans="1:76" ht="15" customHeight="1" x14ac:dyDescent="0.25">
      <c r="A4" s="9" t="s">
        <v>4</v>
      </c>
      <c r="B4" s="9"/>
      <c r="C4" s="9"/>
      <c r="D4" s="8" t="s">
        <v>88</v>
      </c>
      <c r="E4" s="8"/>
      <c r="F4" s="6" t="s">
        <v>8</v>
      </c>
      <c r="G4" s="6"/>
      <c r="H4" s="6" t="s">
        <v>528</v>
      </c>
      <c r="I4" s="8" t="s">
        <v>5</v>
      </c>
      <c r="J4" s="8"/>
      <c r="K4" s="7" t="s">
        <v>527</v>
      </c>
      <c r="L4" s="7"/>
      <c r="M4" s="7"/>
    </row>
    <row r="5" spans="1:76" x14ac:dyDescent="0.25">
      <c r="A5" s="9"/>
      <c r="B5" s="9"/>
      <c r="C5" s="9"/>
      <c r="D5" s="8"/>
      <c r="E5" s="8"/>
      <c r="F5" s="6"/>
      <c r="G5" s="6"/>
      <c r="H5" s="6"/>
      <c r="I5" s="6"/>
      <c r="J5" s="8"/>
      <c r="K5" s="7"/>
      <c r="L5" s="7"/>
      <c r="M5" s="7"/>
    </row>
    <row r="6" spans="1:76" ht="15" customHeight="1" x14ac:dyDescent="0.25">
      <c r="A6" s="9" t="s">
        <v>6</v>
      </c>
      <c r="B6" s="9"/>
      <c r="C6" s="9"/>
      <c r="D6" s="8" t="s">
        <v>529</v>
      </c>
      <c r="E6" s="8"/>
      <c r="F6" s="6" t="s">
        <v>9</v>
      </c>
      <c r="G6" s="6"/>
      <c r="H6" s="6" t="s">
        <v>88</v>
      </c>
      <c r="I6" s="8" t="s">
        <v>7</v>
      </c>
      <c r="J6" s="8"/>
      <c r="K6" s="7" t="s">
        <v>527</v>
      </c>
      <c r="L6" s="7"/>
      <c r="M6" s="7"/>
    </row>
    <row r="7" spans="1:76" x14ac:dyDescent="0.25">
      <c r="A7" s="9"/>
      <c r="B7" s="9"/>
      <c r="C7" s="9"/>
      <c r="D7" s="8"/>
      <c r="E7" s="8"/>
      <c r="F7" s="6"/>
      <c r="G7" s="6"/>
      <c r="H7" s="6"/>
      <c r="I7" s="6"/>
      <c r="J7" s="8"/>
      <c r="K7" s="7"/>
      <c r="L7" s="7"/>
      <c r="M7" s="7"/>
    </row>
    <row r="8" spans="1:76" ht="15" customHeight="1" x14ac:dyDescent="0.25">
      <c r="A8" s="9" t="s">
        <v>11</v>
      </c>
      <c r="B8" s="9"/>
      <c r="C8" s="9"/>
      <c r="D8" s="8" t="s">
        <v>88</v>
      </c>
      <c r="E8" s="8"/>
      <c r="F8" s="6" t="s">
        <v>74</v>
      </c>
      <c r="G8" s="6"/>
      <c r="H8" s="6" t="s">
        <v>528</v>
      </c>
      <c r="I8" s="8" t="s">
        <v>12</v>
      </c>
      <c r="J8" s="8"/>
      <c r="K8" s="100" t="s">
        <v>530</v>
      </c>
      <c r="L8" s="100"/>
      <c r="M8" s="100"/>
    </row>
    <row r="9" spans="1:76" x14ac:dyDescent="0.25">
      <c r="A9" s="9"/>
      <c r="B9" s="9"/>
      <c r="C9" s="9"/>
      <c r="D9" s="8"/>
      <c r="E9" s="8"/>
      <c r="F9" s="6"/>
      <c r="G9" s="6"/>
      <c r="H9" s="6"/>
      <c r="I9" s="6"/>
      <c r="J9" s="8"/>
      <c r="K9" s="100"/>
      <c r="L9" s="100"/>
      <c r="M9" s="100"/>
    </row>
    <row r="10" spans="1:76" x14ac:dyDescent="0.25">
      <c r="A10" s="40" t="s">
        <v>75</v>
      </c>
      <c r="B10" s="41" t="s">
        <v>76</v>
      </c>
      <c r="C10" s="41" t="s">
        <v>77</v>
      </c>
      <c r="D10" s="101" t="s">
        <v>78</v>
      </c>
      <c r="E10" s="101"/>
      <c r="F10" s="41" t="s">
        <v>79</v>
      </c>
      <c r="G10" s="42" t="s">
        <v>80</v>
      </c>
      <c r="H10" s="43" t="s">
        <v>81</v>
      </c>
      <c r="I10" s="44" t="s">
        <v>82</v>
      </c>
      <c r="J10" s="102" t="s">
        <v>83</v>
      </c>
      <c r="K10" s="102"/>
      <c r="L10" s="102"/>
      <c r="M10" s="45" t="s">
        <v>84</v>
      </c>
      <c r="BK10" s="46" t="s">
        <v>85</v>
      </c>
      <c r="BL10" s="47" t="s">
        <v>86</v>
      </c>
      <c r="BW10" s="47" t="s">
        <v>87</v>
      </c>
    </row>
    <row r="11" spans="1:76" x14ac:dyDescent="0.25">
      <c r="A11" s="48" t="s">
        <v>88</v>
      </c>
      <c r="B11" s="49" t="s">
        <v>88</v>
      </c>
      <c r="C11" s="49" t="s">
        <v>88</v>
      </c>
      <c r="D11" s="103" t="s">
        <v>89</v>
      </c>
      <c r="E11" s="103"/>
      <c r="F11" s="49" t="s">
        <v>88</v>
      </c>
      <c r="G11" s="49" t="s">
        <v>88</v>
      </c>
      <c r="H11" s="50" t="s">
        <v>90</v>
      </c>
      <c r="I11" s="51" t="s">
        <v>91</v>
      </c>
      <c r="J11" s="50" t="s">
        <v>92</v>
      </c>
      <c r="K11" s="50" t="s">
        <v>93</v>
      </c>
      <c r="L11" s="52" t="s">
        <v>91</v>
      </c>
      <c r="M11" s="53" t="s">
        <v>94</v>
      </c>
      <c r="Z11" s="46" t="s">
        <v>95</v>
      </c>
      <c r="AA11" s="46" t="s">
        <v>96</v>
      </c>
      <c r="AB11" s="46" t="s">
        <v>97</v>
      </c>
      <c r="AC11" s="46" t="s">
        <v>98</v>
      </c>
      <c r="AD11" s="46" t="s">
        <v>99</v>
      </c>
      <c r="AE11" s="46" t="s">
        <v>100</v>
      </c>
      <c r="AF11" s="46" t="s">
        <v>101</v>
      </c>
      <c r="AG11" s="46" t="s">
        <v>102</v>
      </c>
      <c r="AH11" s="46" t="s">
        <v>103</v>
      </c>
      <c r="BH11" s="46" t="s">
        <v>104</v>
      </c>
      <c r="BI11" s="46" t="s">
        <v>105</v>
      </c>
      <c r="BJ11" s="46" t="s">
        <v>106</v>
      </c>
    </row>
    <row r="12" spans="1:76" ht="15" customHeight="1" x14ac:dyDescent="0.25">
      <c r="A12" s="54"/>
      <c r="B12" s="55" t="s">
        <v>107</v>
      </c>
      <c r="C12" s="55"/>
      <c r="D12" s="104" t="s">
        <v>108</v>
      </c>
      <c r="E12" s="104"/>
      <c r="F12" s="56" t="s">
        <v>88</v>
      </c>
      <c r="G12" s="56" t="s">
        <v>88</v>
      </c>
      <c r="H12" s="56" t="s">
        <v>88</v>
      </c>
      <c r="I12" s="39">
        <f>I13+I18+I25+I32+I35+I42+I62+I67+I76+I79+I82+I85+I89+I100+I103+I105</f>
        <v>0</v>
      </c>
      <c r="J12" s="46"/>
      <c r="K12" s="46"/>
      <c r="L12" s="39">
        <f>L13+L18+L25+L32+L35+L42+L62+L67+L76+L79+L82+L85+L89+L100+L103+L105</f>
        <v>7.3053869699999989</v>
      </c>
      <c r="M12" s="57"/>
    </row>
    <row r="13" spans="1:76" ht="15" customHeight="1" x14ac:dyDescent="0.25">
      <c r="A13" s="54"/>
      <c r="B13" s="55" t="s">
        <v>107</v>
      </c>
      <c r="C13" s="55" t="s">
        <v>109</v>
      </c>
      <c r="D13" s="104" t="s">
        <v>110</v>
      </c>
      <c r="E13" s="104"/>
      <c r="F13" s="56" t="s">
        <v>88</v>
      </c>
      <c r="G13" s="56" t="s">
        <v>88</v>
      </c>
      <c r="H13" s="56" t="s">
        <v>88</v>
      </c>
      <c r="I13" s="39">
        <f>SUM(I14:I16)</f>
        <v>0</v>
      </c>
      <c r="J13" s="46"/>
      <c r="K13" s="46"/>
      <c r="L13" s="39">
        <f>SUM(L14:L16)</f>
        <v>0.14842520000000001</v>
      </c>
      <c r="M13" s="57"/>
      <c r="AI13" s="46" t="s">
        <v>107</v>
      </c>
      <c r="AS13" s="39">
        <f>SUM(AJ14:AJ16)</f>
        <v>0</v>
      </c>
      <c r="AT13" s="39">
        <f>SUM(AK14:AK16)</f>
        <v>0</v>
      </c>
      <c r="AU13" s="39">
        <f>SUM(AL14:AL16)</f>
        <v>0</v>
      </c>
    </row>
    <row r="14" spans="1:76" ht="15" customHeight="1" x14ac:dyDescent="0.25">
      <c r="A14" s="58" t="s">
        <v>111</v>
      </c>
      <c r="B14" s="18" t="s">
        <v>107</v>
      </c>
      <c r="C14" s="18" t="s">
        <v>112</v>
      </c>
      <c r="D14" s="8" t="s">
        <v>113</v>
      </c>
      <c r="E14" s="8"/>
      <c r="F14" s="18" t="s">
        <v>114</v>
      </c>
      <c r="G14" s="59">
        <v>26.84</v>
      </c>
      <c r="H14" s="59">
        <v>0</v>
      </c>
      <c r="I14" s="59">
        <f>ROUND(G14*H14,2)</f>
        <v>0</v>
      </c>
      <c r="J14" s="59">
        <v>4.5900000000000003E-3</v>
      </c>
      <c r="K14" s="59">
        <v>4.5900000000000003E-3</v>
      </c>
      <c r="L14" s="59">
        <f>G14*K14</f>
        <v>0.1231956</v>
      </c>
      <c r="M14" s="60" t="s">
        <v>115</v>
      </c>
      <c r="Z14" s="59">
        <f>ROUND(IF(AQ14="5",BJ14,0),2)</f>
        <v>0</v>
      </c>
      <c r="AB14" s="59">
        <f>ROUND(IF(AQ14="1",BH14,0),2)</f>
        <v>0</v>
      </c>
      <c r="AC14" s="59">
        <f>ROUND(IF(AQ14="1",BI14,0),2)</f>
        <v>0</v>
      </c>
      <c r="AD14" s="59">
        <f>ROUND(IF(AQ14="7",BH14,0),2)</f>
        <v>0</v>
      </c>
      <c r="AE14" s="59">
        <f>ROUND(IF(AQ14="7",BI14,0),2)</f>
        <v>0</v>
      </c>
      <c r="AF14" s="59">
        <f>ROUND(IF(AQ14="2",BH14,0),2)</f>
        <v>0</v>
      </c>
      <c r="AG14" s="59">
        <f>ROUND(IF(AQ14="2",BI14,0),2)</f>
        <v>0</v>
      </c>
      <c r="AH14" s="59">
        <f>ROUND(IF(AQ14="0",BJ14,0),2)</f>
        <v>0</v>
      </c>
      <c r="AI14" s="46" t="s">
        <v>107</v>
      </c>
      <c r="AJ14" s="59">
        <f>IF(AN14=0,I14,0)</f>
        <v>0</v>
      </c>
      <c r="AK14" s="59">
        <f>IF(AN14=12,I14,0)</f>
        <v>0</v>
      </c>
      <c r="AL14" s="59">
        <f>IF(AN14=21,I14,0)</f>
        <v>0</v>
      </c>
      <c r="AN14" s="59">
        <v>12</v>
      </c>
      <c r="AO14" s="59">
        <f>H14*0.151837697</f>
        <v>0</v>
      </c>
      <c r="AP14" s="59">
        <f>H14*(1-0.151837697)</f>
        <v>0</v>
      </c>
      <c r="AQ14" s="61" t="s">
        <v>111</v>
      </c>
      <c r="AV14" s="59">
        <f>ROUND(AW14+AX14,2)</f>
        <v>0</v>
      </c>
      <c r="AW14" s="59">
        <f>ROUND(G14*AO14,2)</f>
        <v>0</v>
      </c>
      <c r="AX14" s="59">
        <f>ROUND(G14*AP14,2)</f>
        <v>0</v>
      </c>
      <c r="AY14" s="61" t="s">
        <v>116</v>
      </c>
      <c r="AZ14" s="61" t="s">
        <v>117</v>
      </c>
      <c r="BA14" s="46" t="s">
        <v>118</v>
      </c>
      <c r="BC14" s="59">
        <f>AW14+AX14</f>
        <v>0</v>
      </c>
      <c r="BD14" s="59">
        <f>H14/(100-BE14)*100</f>
        <v>0</v>
      </c>
      <c r="BE14" s="59">
        <v>0</v>
      </c>
      <c r="BF14" s="59">
        <f>L14</f>
        <v>0.1231956</v>
      </c>
      <c r="BH14" s="59">
        <f>G14*AO14</f>
        <v>0</v>
      </c>
      <c r="BI14" s="59">
        <f>G14*AP14</f>
        <v>0</v>
      </c>
      <c r="BJ14" s="59">
        <f>G14*H14</f>
        <v>0</v>
      </c>
      <c r="BK14" s="59"/>
      <c r="BL14" s="59">
        <v>60</v>
      </c>
      <c r="BW14" s="59">
        <v>12</v>
      </c>
      <c r="BX14" s="16" t="s">
        <v>113</v>
      </c>
    </row>
    <row r="15" spans="1:76" x14ac:dyDescent="0.25">
      <c r="A15" s="62"/>
      <c r="D15" s="63" t="s">
        <v>120</v>
      </c>
      <c r="E15" s="63"/>
      <c r="G15" s="64">
        <v>26.84</v>
      </c>
      <c r="M15" s="65"/>
    </row>
    <row r="16" spans="1:76" ht="15" customHeight="1" x14ac:dyDescent="0.25">
      <c r="A16" s="58" t="s">
        <v>121</v>
      </c>
      <c r="B16" s="18" t="s">
        <v>107</v>
      </c>
      <c r="C16" s="18" t="s">
        <v>122</v>
      </c>
      <c r="D16" s="8" t="s">
        <v>123</v>
      </c>
      <c r="E16" s="8"/>
      <c r="F16" s="18" t="s">
        <v>114</v>
      </c>
      <c r="G16" s="59">
        <v>53.68</v>
      </c>
      <c r="H16" s="59">
        <v>0</v>
      </c>
      <c r="I16" s="59">
        <f>ROUND(G16*H16,2)</f>
        <v>0</v>
      </c>
      <c r="J16" s="59">
        <v>4.6999999999999999E-4</v>
      </c>
      <c r="K16" s="59">
        <v>4.6999999999999999E-4</v>
      </c>
      <c r="L16" s="59">
        <f>G16*K16</f>
        <v>2.5229599999999998E-2</v>
      </c>
      <c r="M16" s="60" t="s">
        <v>115</v>
      </c>
      <c r="Z16" s="59">
        <f>ROUND(IF(AQ16="5",BJ16,0),2)</f>
        <v>0</v>
      </c>
      <c r="AB16" s="59">
        <f>ROUND(IF(AQ16="1",BH16,0),2)</f>
        <v>0</v>
      </c>
      <c r="AC16" s="59">
        <f>ROUND(IF(AQ16="1",BI16,0),2)</f>
        <v>0</v>
      </c>
      <c r="AD16" s="59">
        <f>ROUND(IF(AQ16="7",BH16,0),2)</f>
        <v>0</v>
      </c>
      <c r="AE16" s="59">
        <f>ROUND(IF(AQ16="7",BI16,0),2)</f>
        <v>0</v>
      </c>
      <c r="AF16" s="59">
        <f>ROUND(IF(AQ16="2",BH16,0),2)</f>
        <v>0</v>
      </c>
      <c r="AG16" s="59">
        <f>ROUND(IF(AQ16="2",BI16,0),2)</f>
        <v>0</v>
      </c>
      <c r="AH16" s="59">
        <f>ROUND(IF(AQ16="0",BJ16,0),2)</f>
        <v>0</v>
      </c>
      <c r="AI16" s="46" t="s">
        <v>107</v>
      </c>
      <c r="AJ16" s="59">
        <f>IF(AN16=0,I16,0)</f>
        <v>0</v>
      </c>
      <c r="AK16" s="59">
        <f>IF(AN16=12,I16,0)</f>
        <v>0</v>
      </c>
      <c r="AL16" s="59">
        <f>IF(AN16=21,I16,0)</f>
        <v>0</v>
      </c>
      <c r="AN16" s="59">
        <v>12</v>
      </c>
      <c r="AO16" s="59">
        <f>H16*0.50964582</f>
        <v>0</v>
      </c>
      <c r="AP16" s="59">
        <f>H16*(1-0.50964582)</f>
        <v>0</v>
      </c>
      <c r="AQ16" s="61" t="s">
        <v>111</v>
      </c>
      <c r="AV16" s="59">
        <f>ROUND(AW16+AX16,2)</f>
        <v>0</v>
      </c>
      <c r="AW16" s="59">
        <f>ROUND(G16*AO16,2)</f>
        <v>0</v>
      </c>
      <c r="AX16" s="59">
        <f>ROUND(G16*AP16,2)</f>
        <v>0</v>
      </c>
      <c r="AY16" s="61" t="s">
        <v>116</v>
      </c>
      <c r="AZ16" s="61" t="s">
        <v>117</v>
      </c>
      <c r="BA16" s="46" t="s">
        <v>118</v>
      </c>
      <c r="BC16" s="59">
        <f>AW16+AX16</f>
        <v>0</v>
      </c>
      <c r="BD16" s="59">
        <f>H16/(100-BE16)*100</f>
        <v>0</v>
      </c>
      <c r="BE16" s="59">
        <v>0</v>
      </c>
      <c r="BF16" s="59">
        <f>L16</f>
        <v>2.5229599999999998E-2</v>
      </c>
      <c r="BH16" s="59">
        <f>G16*AO16</f>
        <v>0</v>
      </c>
      <c r="BI16" s="59">
        <f>G16*AP16</f>
        <v>0</v>
      </c>
      <c r="BJ16" s="59">
        <f>G16*H16</f>
        <v>0</v>
      </c>
      <c r="BK16" s="59"/>
      <c r="BL16" s="59">
        <v>60</v>
      </c>
      <c r="BW16" s="59">
        <v>12</v>
      </c>
      <c r="BX16" s="16" t="s">
        <v>123</v>
      </c>
    </row>
    <row r="17" spans="1:76" x14ac:dyDescent="0.25">
      <c r="A17" s="62"/>
      <c r="D17" s="63" t="s">
        <v>124</v>
      </c>
      <c r="E17" s="63"/>
      <c r="G17" s="64">
        <v>53.68</v>
      </c>
      <c r="M17" s="65"/>
    </row>
    <row r="18" spans="1:76" ht="15" customHeight="1" x14ac:dyDescent="0.25">
      <c r="A18" s="54"/>
      <c r="B18" s="55" t="s">
        <v>107</v>
      </c>
      <c r="C18" s="55" t="s">
        <v>125</v>
      </c>
      <c r="D18" s="104" t="s">
        <v>126</v>
      </c>
      <c r="E18" s="104"/>
      <c r="F18" s="56" t="s">
        <v>88</v>
      </c>
      <c r="G18" s="56" t="s">
        <v>88</v>
      </c>
      <c r="H18" s="56" t="s">
        <v>88</v>
      </c>
      <c r="I18" s="39">
        <f>SUM(I19:I23)</f>
        <v>0</v>
      </c>
      <c r="J18" s="46"/>
      <c r="K18" s="46"/>
      <c r="L18" s="39">
        <f>SUM(L19:L23)</f>
        <v>0.84428859999999983</v>
      </c>
      <c r="M18" s="57"/>
      <c r="AI18" s="46" t="s">
        <v>107</v>
      </c>
      <c r="AS18" s="39">
        <f>SUM(AJ19:AJ23)</f>
        <v>0</v>
      </c>
      <c r="AT18" s="39">
        <f>SUM(AK19:AK23)</f>
        <v>0</v>
      </c>
      <c r="AU18" s="39">
        <f>SUM(AL19:AL23)</f>
        <v>0</v>
      </c>
    </row>
    <row r="19" spans="1:76" ht="15" customHeight="1" x14ac:dyDescent="0.25">
      <c r="A19" s="58" t="s">
        <v>127</v>
      </c>
      <c r="B19" s="18" t="s">
        <v>107</v>
      </c>
      <c r="C19" s="18" t="s">
        <v>128</v>
      </c>
      <c r="D19" s="8" t="s">
        <v>129</v>
      </c>
      <c r="E19" s="8"/>
      <c r="F19" s="18" t="s">
        <v>114</v>
      </c>
      <c r="G19" s="59">
        <v>23.29</v>
      </c>
      <c r="H19" s="59">
        <v>0</v>
      </c>
      <c r="I19" s="59">
        <f>ROUND(G19*H19,2)</f>
        <v>0</v>
      </c>
      <c r="J19" s="59">
        <v>3.5659999999999997E-2</v>
      </c>
      <c r="K19" s="59">
        <v>3.5659999999999997E-2</v>
      </c>
      <c r="L19" s="59">
        <f>G19*K19</f>
        <v>0.83052139999999985</v>
      </c>
      <c r="M19" s="60" t="s">
        <v>115</v>
      </c>
      <c r="Z19" s="59">
        <f>ROUND(IF(AQ19="5",BJ19,0),2)</f>
        <v>0</v>
      </c>
      <c r="AB19" s="59">
        <f>ROUND(IF(AQ19="1",BH19,0),2)</f>
        <v>0</v>
      </c>
      <c r="AC19" s="59">
        <f>ROUND(IF(AQ19="1",BI19,0),2)</f>
        <v>0</v>
      </c>
      <c r="AD19" s="59">
        <f>ROUND(IF(AQ19="7",BH19,0),2)</f>
        <v>0</v>
      </c>
      <c r="AE19" s="59">
        <f>ROUND(IF(AQ19="7",BI19,0),2)</f>
        <v>0</v>
      </c>
      <c r="AF19" s="59">
        <f>ROUND(IF(AQ19="2",BH19,0),2)</f>
        <v>0</v>
      </c>
      <c r="AG19" s="59">
        <f>ROUND(IF(AQ19="2",BI19,0),2)</f>
        <v>0</v>
      </c>
      <c r="AH19" s="59">
        <f>ROUND(IF(AQ19="0",BJ19,0),2)</f>
        <v>0</v>
      </c>
      <c r="AI19" s="46" t="s">
        <v>107</v>
      </c>
      <c r="AJ19" s="59">
        <f>IF(AN19=0,I19,0)</f>
        <v>0</v>
      </c>
      <c r="AK19" s="59">
        <f>IF(AN19=12,I19,0)</f>
        <v>0</v>
      </c>
      <c r="AL19" s="59">
        <f>IF(AN19=21,I19,0)</f>
        <v>0</v>
      </c>
      <c r="AN19" s="59">
        <v>12</v>
      </c>
      <c r="AO19" s="59">
        <f>H19*0.283684244</f>
        <v>0</v>
      </c>
      <c r="AP19" s="59">
        <f>H19*(1-0.283684244)</f>
        <v>0</v>
      </c>
      <c r="AQ19" s="61" t="s">
        <v>111</v>
      </c>
      <c r="AV19" s="59">
        <f>ROUND(AW19+AX19,2)</f>
        <v>0</v>
      </c>
      <c r="AW19" s="59">
        <f>ROUND(G19*AO19,2)</f>
        <v>0</v>
      </c>
      <c r="AX19" s="59">
        <f>ROUND(G19*AP19,2)</f>
        <v>0</v>
      </c>
      <c r="AY19" s="61" t="s">
        <v>130</v>
      </c>
      <c r="AZ19" s="61" t="s">
        <v>117</v>
      </c>
      <c r="BA19" s="46" t="s">
        <v>118</v>
      </c>
      <c r="BC19" s="59">
        <f>AW19+AX19</f>
        <v>0</v>
      </c>
      <c r="BD19" s="59">
        <f>H19/(100-BE19)*100</f>
        <v>0</v>
      </c>
      <c r="BE19" s="59">
        <v>0</v>
      </c>
      <c r="BF19" s="59">
        <f>L19</f>
        <v>0.83052139999999985</v>
      </c>
      <c r="BH19" s="59">
        <f>G19*AO19</f>
        <v>0</v>
      </c>
      <c r="BI19" s="59">
        <f>G19*AP19</f>
        <v>0</v>
      </c>
      <c r="BJ19" s="59">
        <f>G19*H19</f>
        <v>0</v>
      </c>
      <c r="BK19" s="59"/>
      <c r="BL19" s="59">
        <v>61</v>
      </c>
      <c r="BW19" s="59">
        <v>12</v>
      </c>
      <c r="BX19" s="16" t="s">
        <v>129</v>
      </c>
    </row>
    <row r="20" spans="1:76" x14ac:dyDescent="0.25">
      <c r="A20" s="62"/>
      <c r="D20" s="63" t="s">
        <v>132</v>
      </c>
      <c r="E20" s="63"/>
      <c r="G20" s="64">
        <v>23.29</v>
      </c>
      <c r="M20" s="65"/>
    </row>
    <row r="21" spans="1:76" ht="15" customHeight="1" x14ac:dyDescent="0.25">
      <c r="A21" s="58" t="s">
        <v>133</v>
      </c>
      <c r="B21" s="18" t="s">
        <v>107</v>
      </c>
      <c r="C21" s="18" t="s">
        <v>134</v>
      </c>
      <c r="D21" s="8" t="s">
        <v>135</v>
      </c>
      <c r="E21" s="8"/>
      <c r="F21" s="18" t="s">
        <v>114</v>
      </c>
      <c r="G21" s="59">
        <v>53.055</v>
      </c>
      <c r="H21" s="59">
        <v>0</v>
      </c>
      <c r="I21" s="59">
        <f>ROUND(G21*H21,2)</f>
        <v>0</v>
      </c>
      <c r="J21" s="59">
        <v>4.0000000000000003E-5</v>
      </c>
      <c r="K21" s="59">
        <v>4.0000000000000003E-5</v>
      </c>
      <c r="L21" s="59">
        <f>G21*K21</f>
        <v>2.1222000000000003E-3</v>
      </c>
      <c r="M21" s="60" t="s">
        <v>115</v>
      </c>
      <c r="Z21" s="59">
        <f>ROUND(IF(AQ21="5",BJ21,0),2)</f>
        <v>0</v>
      </c>
      <c r="AB21" s="59">
        <f>ROUND(IF(AQ21="1",BH21,0),2)</f>
        <v>0</v>
      </c>
      <c r="AC21" s="59">
        <f>ROUND(IF(AQ21="1",BI21,0),2)</f>
        <v>0</v>
      </c>
      <c r="AD21" s="59">
        <f>ROUND(IF(AQ21="7",BH21,0),2)</f>
        <v>0</v>
      </c>
      <c r="AE21" s="59">
        <f>ROUND(IF(AQ21="7",BI21,0),2)</f>
        <v>0</v>
      </c>
      <c r="AF21" s="59">
        <f>ROUND(IF(AQ21="2",BH21,0),2)</f>
        <v>0</v>
      </c>
      <c r="AG21" s="59">
        <f>ROUND(IF(AQ21="2",BI21,0),2)</f>
        <v>0</v>
      </c>
      <c r="AH21" s="59">
        <f>ROUND(IF(AQ21="0",BJ21,0),2)</f>
        <v>0</v>
      </c>
      <c r="AI21" s="46" t="s">
        <v>107</v>
      </c>
      <c r="AJ21" s="59">
        <f>IF(AN21=0,I21,0)</f>
        <v>0</v>
      </c>
      <c r="AK21" s="59">
        <f>IF(AN21=12,I21,0)</f>
        <v>0</v>
      </c>
      <c r="AL21" s="59">
        <f>IF(AN21=21,I21,0)</f>
        <v>0</v>
      </c>
      <c r="AN21" s="59">
        <v>12</v>
      </c>
      <c r="AO21" s="59">
        <f>H21*0.267962593</f>
        <v>0</v>
      </c>
      <c r="AP21" s="59">
        <f>H21*(1-0.267962593)</f>
        <v>0</v>
      </c>
      <c r="AQ21" s="61" t="s">
        <v>111</v>
      </c>
      <c r="AV21" s="59">
        <f>ROUND(AW21+AX21,2)</f>
        <v>0</v>
      </c>
      <c r="AW21" s="59">
        <f>ROUND(G21*AO21,2)</f>
        <v>0</v>
      </c>
      <c r="AX21" s="59">
        <f>ROUND(G21*AP21,2)</f>
        <v>0</v>
      </c>
      <c r="AY21" s="61" t="s">
        <v>130</v>
      </c>
      <c r="AZ21" s="61" t="s">
        <v>117</v>
      </c>
      <c r="BA21" s="46" t="s">
        <v>118</v>
      </c>
      <c r="BC21" s="59">
        <f>AW21+AX21</f>
        <v>0</v>
      </c>
      <c r="BD21" s="59">
        <f>H21/(100-BE21)*100</f>
        <v>0</v>
      </c>
      <c r="BE21" s="59">
        <v>0</v>
      </c>
      <c r="BF21" s="59">
        <f>L21</f>
        <v>2.1222000000000003E-3</v>
      </c>
      <c r="BH21" s="59">
        <f>G21*AO21</f>
        <v>0</v>
      </c>
      <c r="BI21" s="59">
        <f>G21*AP21</f>
        <v>0</v>
      </c>
      <c r="BJ21" s="59">
        <f>G21*H21</f>
        <v>0</v>
      </c>
      <c r="BK21" s="59"/>
      <c r="BL21" s="59">
        <v>61</v>
      </c>
      <c r="BW21" s="59">
        <v>12</v>
      </c>
      <c r="BX21" s="16" t="s">
        <v>135</v>
      </c>
    </row>
    <row r="22" spans="1:76" x14ac:dyDescent="0.25">
      <c r="A22" s="62"/>
      <c r="D22" s="63" t="s">
        <v>136</v>
      </c>
      <c r="E22" s="63"/>
      <c r="G22" s="64">
        <v>53.055</v>
      </c>
      <c r="M22" s="65"/>
    </row>
    <row r="23" spans="1:76" ht="15" customHeight="1" x14ac:dyDescent="0.25">
      <c r="A23" s="58" t="s">
        <v>137</v>
      </c>
      <c r="B23" s="18" t="s">
        <v>107</v>
      </c>
      <c r="C23" s="18" t="s">
        <v>138</v>
      </c>
      <c r="D23" s="8" t="s">
        <v>139</v>
      </c>
      <c r="E23" s="8"/>
      <c r="F23" s="18" t="s">
        <v>140</v>
      </c>
      <c r="G23" s="59">
        <v>116.45</v>
      </c>
      <c r="H23" s="59">
        <v>0</v>
      </c>
      <c r="I23" s="59">
        <f>ROUND(G23*H23,2)</f>
        <v>0</v>
      </c>
      <c r="J23" s="59">
        <v>1E-4</v>
      </c>
      <c r="K23" s="59">
        <v>1E-4</v>
      </c>
      <c r="L23" s="59">
        <f>G23*K23</f>
        <v>1.1645000000000001E-2</v>
      </c>
      <c r="M23" s="60" t="s">
        <v>115</v>
      </c>
      <c r="Z23" s="59">
        <f>ROUND(IF(AQ23="5",BJ23,0),2)</f>
        <v>0</v>
      </c>
      <c r="AB23" s="59">
        <f>ROUND(IF(AQ23="1",BH23,0),2)</f>
        <v>0</v>
      </c>
      <c r="AC23" s="59">
        <f>ROUND(IF(AQ23="1",BI23,0),2)</f>
        <v>0</v>
      </c>
      <c r="AD23" s="59">
        <f>ROUND(IF(AQ23="7",BH23,0),2)</f>
        <v>0</v>
      </c>
      <c r="AE23" s="59">
        <f>ROUND(IF(AQ23="7",BI23,0),2)</f>
        <v>0</v>
      </c>
      <c r="AF23" s="59">
        <f>ROUND(IF(AQ23="2",BH23,0),2)</f>
        <v>0</v>
      </c>
      <c r="AG23" s="59">
        <f>ROUND(IF(AQ23="2",BI23,0),2)</f>
        <v>0</v>
      </c>
      <c r="AH23" s="59">
        <f>ROUND(IF(AQ23="0",BJ23,0),2)</f>
        <v>0</v>
      </c>
      <c r="AI23" s="46" t="s">
        <v>107</v>
      </c>
      <c r="AJ23" s="59">
        <f>IF(AN23=0,I23,0)</f>
        <v>0</v>
      </c>
      <c r="AK23" s="59">
        <f>IF(AN23=12,I23,0)</f>
        <v>0</v>
      </c>
      <c r="AL23" s="59">
        <f>IF(AN23=21,I23,0)</f>
        <v>0</v>
      </c>
      <c r="AN23" s="59">
        <v>12</v>
      </c>
      <c r="AO23" s="59">
        <f>H23*0.367459507</f>
        <v>0</v>
      </c>
      <c r="AP23" s="59">
        <f>H23*(1-0.367459507)</f>
        <v>0</v>
      </c>
      <c r="AQ23" s="61" t="s">
        <v>111</v>
      </c>
      <c r="AV23" s="59">
        <f>ROUND(AW23+AX23,2)</f>
        <v>0</v>
      </c>
      <c r="AW23" s="59">
        <f>ROUND(G23*AO23,2)</f>
        <v>0</v>
      </c>
      <c r="AX23" s="59">
        <f>ROUND(G23*AP23,2)</f>
        <v>0</v>
      </c>
      <c r="AY23" s="61" t="s">
        <v>130</v>
      </c>
      <c r="AZ23" s="61" t="s">
        <v>117</v>
      </c>
      <c r="BA23" s="46" t="s">
        <v>118</v>
      </c>
      <c r="BC23" s="59">
        <f>AW23+AX23</f>
        <v>0</v>
      </c>
      <c r="BD23" s="59">
        <f>H23/(100-BE23)*100</f>
        <v>0</v>
      </c>
      <c r="BE23" s="59">
        <v>0</v>
      </c>
      <c r="BF23" s="59">
        <f>L23</f>
        <v>1.1645000000000001E-2</v>
      </c>
      <c r="BH23" s="59">
        <f>G23*AO23</f>
        <v>0</v>
      </c>
      <c r="BI23" s="59">
        <f>G23*AP23</f>
        <v>0</v>
      </c>
      <c r="BJ23" s="59">
        <f>G23*H23</f>
        <v>0</v>
      </c>
      <c r="BK23" s="59"/>
      <c r="BL23" s="59">
        <v>61</v>
      </c>
      <c r="BW23" s="59">
        <v>12</v>
      </c>
      <c r="BX23" s="16" t="s">
        <v>139</v>
      </c>
    </row>
    <row r="24" spans="1:76" x14ac:dyDescent="0.25">
      <c r="A24" s="62"/>
      <c r="D24" s="63" t="s">
        <v>142</v>
      </c>
      <c r="E24" s="63"/>
      <c r="G24" s="64">
        <v>116.45</v>
      </c>
      <c r="M24" s="65"/>
    </row>
    <row r="25" spans="1:76" ht="15" customHeight="1" x14ac:dyDescent="0.25">
      <c r="A25" s="54"/>
      <c r="B25" s="55" t="s">
        <v>107</v>
      </c>
      <c r="C25" s="55" t="s">
        <v>143</v>
      </c>
      <c r="D25" s="104" t="s">
        <v>144</v>
      </c>
      <c r="E25" s="104"/>
      <c r="F25" s="56" t="s">
        <v>88</v>
      </c>
      <c r="G25" s="56" t="s">
        <v>88</v>
      </c>
      <c r="H25" s="56" t="s">
        <v>88</v>
      </c>
      <c r="I25" s="39">
        <f>SUM(I26:I30)</f>
        <v>0</v>
      </c>
      <c r="J25" s="46"/>
      <c r="K25" s="46"/>
      <c r="L25" s="39">
        <f>SUM(L26:L30)</f>
        <v>0.38913170000000002</v>
      </c>
      <c r="M25" s="57"/>
      <c r="AI25" s="46" t="s">
        <v>107</v>
      </c>
      <c r="AS25" s="39">
        <f>SUM(AJ26:AJ30)</f>
        <v>0</v>
      </c>
      <c r="AT25" s="39">
        <f>SUM(AK26:AK30)</f>
        <v>0</v>
      </c>
      <c r="AU25" s="39">
        <f>SUM(AL26:AL30)</f>
        <v>0</v>
      </c>
    </row>
    <row r="26" spans="1:76" ht="15" customHeight="1" x14ac:dyDescent="0.25">
      <c r="A26" s="58" t="s">
        <v>145</v>
      </c>
      <c r="B26" s="18" t="s">
        <v>107</v>
      </c>
      <c r="C26" s="18" t="s">
        <v>146</v>
      </c>
      <c r="D26" s="8" t="s">
        <v>147</v>
      </c>
      <c r="E26" s="8"/>
      <c r="F26" s="18" t="s">
        <v>114</v>
      </c>
      <c r="G26" s="59">
        <v>26.835000000000001</v>
      </c>
      <c r="H26" s="59">
        <v>0</v>
      </c>
      <c r="I26" s="59">
        <f>ROUND(G26*H26,2)</f>
        <v>0</v>
      </c>
      <c r="J26" s="59">
        <v>9.6600000000000002E-3</v>
      </c>
      <c r="K26" s="59">
        <v>9.6600000000000002E-3</v>
      </c>
      <c r="L26" s="59">
        <f>G26*K26</f>
        <v>0.25922610000000001</v>
      </c>
      <c r="M26" s="60" t="s">
        <v>115</v>
      </c>
      <c r="Z26" s="59">
        <f>ROUND(IF(AQ26="5",BJ26,0),2)</f>
        <v>0</v>
      </c>
      <c r="AB26" s="59">
        <f>ROUND(IF(AQ26="1",BH26,0),2)</f>
        <v>0</v>
      </c>
      <c r="AC26" s="59">
        <f>ROUND(IF(AQ26="1",BI26,0),2)</f>
        <v>0</v>
      </c>
      <c r="AD26" s="59">
        <f>ROUND(IF(AQ26="7",BH26,0),2)</f>
        <v>0</v>
      </c>
      <c r="AE26" s="59">
        <f>ROUND(IF(AQ26="7",BI26,0),2)</f>
        <v>0</v>
      </c>
      <c r="AF26" s="59">
        <f>ROUND(IF(AQ26="2",BH26,0),2)</f>
        <v>0</v>
      </c>
      <c r="AG26" s="59">
        <f>ROUND(IF(AQ26="2",BI26,0),2)</f>
        <v>0</v>
      </c>
      <c r="AH26" s="59">
        <f>ROUND(IF(AQ26="0",BJ26,0),2)</f>
        <v>0</v>
      </c>
      <c r="AI26" s="46" t="s">
        <v>107</v>
      </c>
      <c r="AJ26" s="59">
        <f>IF(AN26=0,I26,0)</f>
        <v>0</v>
      </c>
      <c r="AK26" s="59">
        <f>IF(AN26=12,I26,0)</f>
        <v>0</v>
      </c>
      <c r="AL26" s="59">
        <f>IF(AN26=21,I26,0)</f>
        <v>0</v>
      </c>
      <c r="AN26" s="59">
        <v>12</v>
      </c>
      <c r="AO26" s="59">
        <f>H26*0.218564986</f>
        <v>0</v>
      </c>
      <c r="AP26" s="59">
        <f>H26*(1-0.218564986)</f>
        <v>0</v>
      </c>
      <c r="AQ26" s="61" t="s">
        <v>111</v>
      </c>
      <c r="AV26" s="59">
        <f>ROUND(AW26+AX26,2)</f>
        <v>0</v>
      </c>
      <c r="AW26" s="59">
        <f>ROUND(G26*AO26,2)</f>
        <v>0</v>
      </c>
      <c r="AX26" s="59">
        <f>ROUND(G26*AP26,2)</f>
        <v>0</v>
      </c>
      <c r="AY26" s="61" t="s">
        <v>148</v>
      </c>
      <c r="AZ26" s="61" t="s">
        <v>117</v>
      </c>
      <c r="BA26" s="46" t="s">
        <v>118</v>
      </c>
      <c r="BC26" s="59">
        <f>AW26+AX26</f>
        <v>0</v>
      </c>
      <c r="BD26" s="59">
        <f>H26/(100-BE26)*100</f>
        <v>0</v>
      </c>
      <c r="BE26" s="59">
        <v>0</v>
      </c>
      <c r="BF26" s="59">
        <f>L26</f>
        <v>0.25922610000000001</v>
      </c>
      <c r="BH26" s="59">
        <f>G26*AO26</f>
        <v>0</v>
      </c>
      <c r="BI26" s="59">
        <f>G26*AP26</f>
        <v>0</v>
      </c>
      <c r="BJ26" s="59">
        <f>G26*H26</f>
        <v>0</v>
      </c>
      <c r="BK26" s="59"/>
      <c r="BL26" s="59">
        <v>62</v>
      </c>
      <c r="BW26" s="59">
        <v>12</v>
      </c>
      <c r="BX26" s="16" t="s">
        <v>147</v>
      </c>
    </row>
    <row r="27" spans="1:76" x14ac:dyDescent="0.25">
      <c r="A27" s="62"/>
      <c r="D27" s="63" t="s">
        <v>149</v>
      </c>
      <c r="E27" s="63"/>
      <c r="G27" s="64">
        <v>26.835000000000001</v>
      </c>
      <c r="M27" s="65"/>
    </row>
    <row r="28" spans="1:76" ht="15" customHeight="1" x14ac:dyDescent="0.25">
      <c r="A28" s="58" t="s">
        <v>150</v>
      </c>
      <c r="B28" s="18" t="s">
        <v>107</v>
      </c>
      <c r="C28" s="18" t="s">
        <v>151</v>
      </c>
      <c r="D28" s="8" t="s">
        <v>152</v>
      </c>
      <c r="E28" s="8"/>
      <c r="F28" s="18" t="s">
        <v>114</v>
      </c>
      <c r="G28" s="59">
        <v>26.84</v>
      </c>
      <c r="H28" s="59">
        <v>0</v>
      </c>
      <c r="I28" s="59">
        <f>ROUND(G28*H28,2)</f>
        <v>0</v>
      </c>
      <c r="J28" s="59">
        <v>4.3099999999999996E-3</v>
      </c>
      <c r="K28" s="59">
        <v>4.3099999999999996E-3</v>
      </c>
      <c r="L28" s="59">
        <f>G28*K28</f>
        <v>0.11568039999999999</v>
      </c>
      <c r="M28" s="60" t="s">
        <v>115</v>
      </c>
      <c r="Z28" s="59">
        <f>ROUND(IF(AQ28="5",BJ28,0),2)</f>
        <v>0</v>
      </c>
      <c r="AB28" s="59">
        <f>ROUND(IF(AQ28="1",BH28,0),2)</f>
        <v>0</v>
      </c>
      <c r="AC28" s="59">
        <f>ROUND(IF(AQ28="1",BI28,0),2)</f>
        <v>0</v>
      </c>
      <c r="AD28" s="59">
        <f>ROUND(IF(AQ28="7",BH28,0),2)</f>
        <v>0</v>
      </c>
      <c r="AE28" s="59">
        <f>ROUND(IF(AQ28="7",BI28,0),2)</f>
        <v>0</v>
      </c>
      <c r="AF28" s="59">
        <f>ROUND(IF(AQ28="2",BH28,0),2)</f>
        <v>0</v>
      </c>
      <c r="AG28" s="59">
        <f>ROUND(IF(AQ28="2",BI28,0),2)</f>
        <v>0</v>
      </c>
      <c r="AH28" s="59">
        <f>ROUND(IF(AQ28="0",BJ28,0),2)</f>
        <v>0</v>
      </c>
      <c r="AI28" s="46" t="s">
        <v>107</v>
      </c>
      <c r="AJ28" s="59">
        <f>IF(AN28=0,I28,0)</f>
        <v>0</v>
      </c>
      <c r="AK28" s="59">
        <f>IF(AN28=12,I28,0)</f>
        <v>0</v>
      </c>
      <c r="AL28" s="59">
        <f>IF(AN28=21,I28,0)</f>
        <v>0</v>
      </c>
      <c r="AN28" s="59">
        <v>12</v>
      </c>
      <c r="AO28" s="59">
        <f>H28*0.224526803</f>
        <v>0</v>
      </c>
      <c r="AP28" s="59">
        <f>H28*(1-0.224526803)</f>
        <v>0</v>
      </c>
      <c r="AQ28" s="61" t="s">
        <v>111</v>
      </c>
      <c r="AV28" s="59">
        <f>ROUND(AW28+AX28,2)</f>
        <v>0</v>
      </c>
      <c r="AW28" s="59">
        <f>ROUND(G28*AO28,2)</f>
        <v>0</v>
      </c>
      <c r="AX28" s="59">
        <f>ROUND(G28*AP28,2)</f>
        <v>0</v>
      </c>
      <c r="AY28" s="61" t="s">
        <v>148</v>
      </c>
      <c r="AZ28" s="61" t="s">
        <v>117</v>
      </c>
      <c r="BA28" s="46" t="s">
        <v>118</v>
      </c>
      <c r="BC28" s="59">
        <f>AW28+AX28</f>
        <v>0</v>
      </c>
      <c r="BD28" s="59">
        <f>H28/(100-BE28)*100</f>
        <v>0</v>
      </c>
      <c r="BE28" s="59">
        <v>0</v>
      </c>
      <c r="BF28" s="59">
        <f>L28</f>
        <v>0.11568039999999999</v>
      </c>
      <c r="BH28" s="59">
        <f>G28*AO28</f>
        <v>0</v>
      </c>
      <c r="BI28" s="59">
        <f>G28*AP28</f>
        <v>0</v>
      </c>
      <c r="BJ28" s="59">
        <f>G28*H28</f>
        <v>0</v>
      </c>
      <c r="BK28" s="59"/>
      <c r="BL28" s="59">
        <v>62</v>
      </c>
      <c r="BW28" s="59">
        <v>12</v>
      </c>
      <c r="BX28" s="16" t="s">
        <v>152</v>
      </c>
    </row>
    <row r="29" spans="1:76" x14ac:dyDescent="0.25">
      <c r="A29" s="62"/>
      <c r="D29" s="63" t="s">
        <v>120</v>
      </c>
      <c r="E29" s="63"/>
      <c r="G29" s="64">
        <v>26.84</v>
      </c>
      <c r="M29" s="65"/>
    </row>
    <row r="30" spans="1:76" ht="15" customHeight="1" x14ac:dyDescent="0.25">
      <c r="A30" s="58" t="s">
        <v>154</v>
      </c>
      <c r="B30" s="18" t="s">
        <v>107</v>
      </c>
      <c r="C30" s="18" t="s">
        <v>155</v>
      </c>
      <c r="D30" s="8" t="s">
        <v>156</v>
      </c>
      <c r="E30" s="8"/>
      <c r="F30" s="18" t="s">
        <v>114</v>
      </c>
      <c r="G30" s="59">
        <v>26.84</v>
      </c>
      <c r="H30" s="59">
        <v>0</v>
      </c>
      <c r="I30" s="59">
        <f>ROUND(G30*H30,2)</f>
        <v>0</v>
      </c>
      <c r="J30" s="59">
        <v>5.2999999999999998E-4</v>
      </c>
      <c r="K30" s="59">
        <v>5.2999999999999998E-4</v>
      </c>
      <c r="L30" s="59">
        <f>G30*K30</f>
        <v>1.4225199999999999E-2</v>
      </c>
      <c r="M30" s="60" t="s">
        <v>115</v>
      </c>
      <c r="Z30" s="59">
        <f>ROUND(IF(AQ30="5",BJ30,0),2)</f>
        <v>0</v>
      </c>
      <c r="AB30" s="59">
        <f>ROUND(IF(AQ30="1",BH30,0),2)</f>
        <v>0</v>
      </c>
      <c r="AC30" s="59">
        <f>ROUND(IF(AQ30="1",BI30,0),2)</f>
        <v>0</v>
      </c>
      <c r="AD30" s="59">
        <f>ROUND(IF(AQ30="7",BH30,0),2)</f>
        <v>0</v>
      </c>
      <c r="AE30" s="59">
        <f>ROUND(IF(AQ30="7",BI30,0),2)</f>
        <v>0</v>
      </c>
      <c r="AF30" s="59">
        <f>ROUND(IF(AQ30="2",BH30,0),2)</f>
        <v>0</v>
      </c>
      <c r="AG30" s="59">
        <f>ROUND(IF(AQ30="2",BI30,0),2)</f>
        <v>0</v>
      </c>
      <c r="AH30" s="59">
        <f>ROUND(IF(AQ30="0",BJ30,0),2)</f>
        <v>0</v>
      </c>
      <c r="AI30" s="46" t="s">
        <v>107</v>
      </c>
      <c r="AJ30" s="59">
        <f>IF(AN30=0,I30,0)</f>
        <v>0</v>
      </c>
      <c r="AK30" s="59">
        <f>IF(AN30=12,I30,0)</f>
        <v>0</v>
      </c>
      <c r="AL30" s="59">
        <f>IF(AN30=21,I30,0)</f>
        <v>0</v>
      </c>
      <c r="AN30" s="59">
        <v>12</v>
      </c>
      <c r="AO30" s="59">
        <f>H30*0.475328947</f>
        <v>0</v>
      </c>
      <c r="AP30" s="59">
        <f>H30*(1-0.475328947)</f>
        <v>0</v>
      </c>
      <c r="AQ30" s="61" t="s">
        <v>111</v>
      </c>
      <c r="AV30" s="59">
        <f>ROUND(AW30+AX30,2)</f>
        <v>0</v>
      </c>
      <c r="AW30" s="59">
        <f>ROUND(G30*AO30,2)</f>
        <v>0</v>
      </c>
      <c r="AX30" s="59">
        <f>ROUND(G30*AP30,2)</f>
        <v>0</v>
      </c>
      <c r="AY30" s="61" t="s">
        <v>148</v>
      </c>
      <c r="AZ30" s="61" t="s">
        <v>117</v>
      </c>
      <c r="BA30" s="46" t="s">
        <v>118</v>
      </c>
      <c r="BC30" s="59">
        <f>AW30+AX30</f>
        <v>0</v>
      </c>
      <c r="BD30" s="59">
        <f>H30/(100-BE30)*100</f>
        <v>0</v>
      </c>
      <c r="BE30" s="59">
        <v>0</v>
      </c>
      <c r="BF30" s="59">
        <f>L30</f>
        <v>1.4225199999999999E-2</v>
      </c>
      <c r="BH30" s="59">
        <f>G30*AO30</f>
        <v>0</v>
      </c>
      <c r="BI30" s="59">
        <f>G30*AP30</f>
        <v>0</v>
      </c>
      <c r="BJ30" s="59">
        <f>G30*H30</f>
        <v>0</v>
      </c>
      <c r="BK30" s="59"/>
      <c r="BL30" s="59">
        <v>62</v>
      </c>
      <c r="BW30" s="59">
        <v>12</v>
      </c>
      <c r="BX30" s="16" t="s">
        <v>156</v>
      </c>
    </row>
    <row r="31" spans="1:76" x14ac:dyDescent="0.25">
      <c r="A31" s="62"/>
      <c r="D31" s="63" t="s">
        <v>120</v>
      </c>
      <c r="E31" s="63"/>
      <c r="G31" s="64">
        <v>26.84</v>
      </c>
      <c r="M31" s="65"/>
    </row>
    <row r="32" spans="1:76" ht="15" customHeight="1" x14ac:dyDescent="0.25">
      <c r="A32" s="54"/>
      <c r="B32" s="55" t="s">
        <v>107</v>
      </c>
      <c r="C32" s="55" t="s">
        <v>157</v>
      </c>
      <c r="D32" s="104" t="s">
        <v>158</v>
      </c>
      <c r="E32" s="104"/>
      <c r="F32" s="56" t="s">
        <v>88</v>
      </c>
      <c r="G32" s="56" t="s">
        <v>88</v>
      </c>
      <c r="H32" s="56" t="s">
        <v>88</v>
      </c>
      <c r="I32" s="39">
        <f>SUM(I33)</f>
        <v>0</v>
      </c>
      <c r="J32" s="46"/>
      <c r="K32" s="46"/>
      <c r="L32" s="39">
        <f>SUM(L33)</f>
        <v>0.207592</v>
      </c>
      <c r="M32" s="57"/>
      <c r="AI32" s="46" t="s">
        <v>107</v>
      </c>
      <c r="AS32" s="39">
        <f>SUM(AJ33)</f>
        <v>0</v>
      </c>
      <c r="AT32" s="39">
        <f>SUM(AK33)</f>
        <v>0</v>
      </c>
      <c r="AU32" s="39">
        <f>SUM(AL33)</f>
        <v>0</v>
      </c>
    </row>
    <row r="33" spans="1:76" ht="15" customHeight="1" x14ac:dyDescent="0.25">
      <c r="A33" s="58" t="s">
        <v>159</v>
      </c>
      <c r="B33" s="18" t="s">
        <v>107</v>
      </c>
      <c r="C33" s="18" t="s">
        <v>160</v>
      </c>
      <c r="D33" s="8" t="s">
        <v>161</v>
      </c>
      <c r="E33" s="8"/>
      <c r="F33" s="18" t="s">
        <v>140</v>
      </c>
      <c r="G33" s="59">
        <v>33.700000000000003</v>
      </c>
      <c r="H33" s="59">
        <v>0</v>
      </c>
      <c r="I33" s="59">
        <f>ROUND(G33*H33,2)</f>
        <v>0</v>
      </c>
      <c r="J33" s="59">
        <v>6.1599999999999997E-3</v>
      </c>
      <c r="K33" s="59">
        <v>6.1599999999999997E-3</v>
      </c>
      <c r="L33" s="59">
        <f>G33*K33</f>
        <v>0.207592</v>
      </c>
      <c r="M33" s="60" t="s">
        <v>115</v>
      </c>
      <c r="Z33" s="59">
        <f>ROUND(IF(AQ33="5",BJ33,0),2)</f>
        <v>0</v>
      </c>
      <c r="AB33" s="59">
        <f>ROUND(IF(AQ33="1",BH33,0),2)</f>
        <v>0</v>
      </c>
      <c r="AC33" s="59">
        <f>ROUND(IF(AQ33="1",BI33,0),2)</f>
        <v>0</v>
      </c>
      <c r="AD33" s="59">
        <f>ROUND(IF(AQ33="7",BH33,0),2)</f>
        <v>0</v>
      </c>
      <c r="AE33" s="59">
        <f>ROUND(IF(AQ33="7",BI33,0),2)</f>
        <v>0</v>
      </c>
      <c r="AF33" s="59">
        <f>ROUND(IF(AQ33="2",BH33,0),2)</f>
        <v>0</v>
      </c>
      <c r="AG33" s="59">
        <f>ROUND(IF(AQ33="2",BI33,0),2)</f>
        <v>0</v>
      </c>
      <c r="AH33" s="59">
        <f>ROUND(IF(AQ33="0",BJ33,0),2)</f>
        <v>0</v>
      </c>
      <c r="AI33" s="46" t="s">
        <v>107</v>
      </c>
      <c r="AJ33" s="59">
        <f>IF(AN33=0,I33,0)</f>
        <v>0</v>
      </c>
      <c r="AK33" s="59">
        <f>IF(AN33=12,I33,0)</f>
        <v>0</v>
      </c>
      <c r="AL33" s="59">
        <f>IF(AN33=21,I33,0)</f>
        <v>0</v>
      </c>
      <c r="AN33" s="59">
        <v>12</v>
      </c>
      <c r="AO33" s="59">
        <f>H33*0.526177778</f>
        <v>0</v>
      </c>
      <c r="AP33" s="59">
        <f>H33*(1-0.526177778)</f>
        <v>0</v>
      </c>
      <c r="AQ33" s="61" t="s">
        <v>111</v>
      </c>
      <c r="AV33" s="59">
        <f>ROUND(AW33+AX33,2)</f>
        <v>0</v>
      </c>
      <c r="AW33" s="59">
        <f>ROUND(G33*AO33,2)</f>
        <v>0</v>
      </c>
      <c r="AX33" s="59">
        <f>ROUND(G33*AP33,2)</f>
        <v>0</v>
      </c>
      <c r="AY33" s="61" t="s">
        <v>162</v>
      </c>
      <c r="AZ33" s="61" t="s">
        <v>117</v>
      </c>
      <c r="BA33" s="46" t="s">
        <v>118</v>
      </c>
      <c r="BC33" s="59">
        <f>AW33+AX33</f>
        <v>0</v>
      </c>
      <c r="BD33" s="59">
        <f>H33/(100-BE33)*100</f>
        <v>0</v>
      </c>
      <c r="BE33" s="59">
        <v>0</v>
      </c>
      <c r="BF33" s="59">
        <f>L33</f>
        <v>0.207592</v>
      </c>
      <c r="BH33" s="59">
        <f>G33*AO33</f>
        <v>0</v>
      </c>
      <c r="BI33" s="59">
        <f>G33*AP33</f>
        <v>0</v>
      </c>
      <c r="BJ33" s="59">
        <f>G33*H33</f>
        <v>0</v>
      </c>
      <c r="BK33" s="59"/>
      <c r="BL33" s="59">
        <v>64</v>
      </c>
      <c r="BW33" s="59">
        <v>12</v>
      </c>
      <c r="BX33" s="16" t="s">
        <v>161</v>
      </c>
    </row>
    <row r="34" spans="1:76" x14ac:dyDescent="0.25">
      <c r="A34" s="62"/>
      <c r="D34" s="63" t="s">
        <v>164</v>
      </c>
      <c r="E34" s="63"/>
      <c r="G34" s="64">
        <v>33.700000000000003</v>
      </c>
      <c r="M34" s="65"/>
    </row>
    <row r="35" spans="1:76" ht="15" customHeight="1" x14ac:dyDescent="0.25">
      <c r="A35" s="54"/>
      <c r="B35" s="55" t="s">
        <v>107</v>
      </c>
      <c r="C35" s="55" t="s">
        <v>165</v>
      </c>
      <c r="D35" s="104" t="s">
        <v>166</v>
      </c>
      <c r="E35" s="104"/>
      <c r="F35" s="56" t="s">
        <v>88</v>
      </c>
      <c r="G35" s="56" t="s">
        <v>88</v>
      </c>
      <c r="H35" s="56" t="s">
        <v>88</v>
      </c>
      <c r="I35" s="39">
        <f>SUM(I36:I40)</f>
        <v>0</v>
      </c>
      <c r="J35" s="46"/>
      <c r="K35" s="46"/>
      <c r="L35" s="39">
        <f>SUM(L36:L40)</f>
        <v>8.1439999999999999E-2</v>
      </c>
      <c r="M35" s="57"/>
      <c r="AI35" s="46" t="s">
        <v>107</v>
      </c>
      <c r="AS35" s="39">
        <f>SUM(AJ36:AJ40)</f>
        <v>0</v>
      </c>
      <c r="AT35" s="39">
        <f>SUM(AK36:AK40)</f>
        <v>0</v>
      </c>
      <c r="AU35" s="39">
        <f>SUM(AL36:AL40)</f>
        <v>0</v>
      </c>
    </row>
    <row r="36" spans="1:76" ht="15" customHeight="1" x14ac:dyDescent="0.25">
      <c r="A36" s="58" t="s">
        <v>167</v>
      </c>
      <c r="B36" s="18" t="s">
        <v>107</v>
      </c>
      <c r="C36" s="18" t="s">
        <v>168</v>
      </c>
      <c r="D36" s="8" t="s">
        <v>169</v>
      </c>
      <c r="E36" s="8"/>
      <c r="F36" s="18" t="s">
        <v>140</v>
      </c>
      <c r="G36" s="59">
        <v>6</v>
      </c>
      <c r="H36" s="59">
        <v>0</v>
      </c>
      <c r="I36" s="59">
        <f>ROUND(G36*H36,2)</f>
        <v>0</v>
      </c>
      <c r="J36" s="59">
        <v>0</v>
      </c>
      <c r="K36" s="59">
        <v>1.3500000000000001E-3</v>
      </c>
      <c r="L36" s="59">
        <f>G36*K36</f>
        <v>8.0999999999999996E-3</v>
      </c>
      <c r="M36" s="60" t="s">
        <v>115</v>
      </c>
      <c r="Z36" s="59">
        <f>ROUND(IF(AQ36="5",BJ36,0),2)</f>
        <v>0</v>
      </c>
      <c r="AB36" s="59">
        <f>ROUND(IF(AQ36="1",BH36,0),2)</f>
        <v>0</v>
      </c>
      <c r="AC36" s="59">
        <f>ROUND(IF(AQ36="1",BI36,0),2)</f>
        <v>0</v>
      </c>
      <c r="AD36" s="59">
        <f>ROUND(IF(AQ36="7",BH36,0),2)</f>
        <v>0</v>
      </c>
      <c r="AE36" s="59">
        <f>ROUND(IF(AQ36="7",BI36,0),2)</f>
        <v>0</v>
      </c>
      <c r="AF36" s="59">
        <f>ROUND(IF(AQ36="2",BH36,0),2)</f>
        <v>0</v>
      </c>
      <c r="AG36" s="59">
        <f>ROUND(IF(AQ36="2",BI36,0),2)</f>
        <v>0</v>
      </c>
      <c r="AH36" s="59">
        <f>ROUND(IF(AQ36="0",BJ36,0),2)</f>
        <v>0</v>
      </c>
      <c r="AI36" s="46" t="s">
        <v>107</v>
      </c>
      <c r="AJ36" s="59">
        <f>IF(AN36=0,I36,0)</f>
        <v>0</v>
      </c>
      <c r="AK36" s="59">
        <f>IF(AN36=12,I36,0)</f>
        <v>0</v>
      </c>
      <c r="AL36" s="59">
        <f>IF(AN36=21,I36,0)</f>
        <v>0</v>
      </c>
      <c r="AN36" s="59">
        <v>12</v>
      </c>
      <c r="AO36" s="59">
        <f>H36*0</f>
        <v>0</v>
      </c>
      <c r="AP36" s="59">
        <f>H36*(1-0)</f>
        <v>0</v>
      </c>
      <c r="AQ36" s="61" t="s">
        <v>150</v>
      </c>
      <c r="AV36" s="59">
        <f>ROUND(AW36+AX36,2)</f>
        <v>0</v>
      </c>
      <c r="AW36" s="59">
        <f>ROUND(G36*AO36,2)</f>
        <v>0</v>
      </c>
      <c r="AX36" s="59">
        <f>ROUND(G36*AP36,2)</f>
        <v>0</v>
      </c>
      <c r="AY36" s="61" t="s">
        <v>170</v>
      </c>
      <c r="AZ36" s="61" t="s">
        <v>171</v>
      </c>
      <c r="BA36" s="46" t="s">
        <v>118</v>
      </c>
      <c r="BC36" s="59">
        <f>AW36+AX36</f>
        <v>0</v>
      </c>
      <c r="BD36" s="59">
        <f>H36/(100-BE36)*100</f>
        <v>0</v>
      </c>
      <c r="BE36" s="59">
        <v>0</v>
      </c>
      <c r="BF36" s="59">
        <f>L36</f>
        <v>8.0999999999999996E-3</v>
      </c>
      <c r="BH36" s="59">
        <f>G36*AO36</f>
        <v>0</v>
      </c>
      <c r="BI36" s="59">
        <f>G36*AP36</f>
        <v>0</v>
      </c>
      <c r="BJ36" s="59">
        <f>G36*H36</f>
        <v>0</v>
      </c>
      <c r="BK36" s="59"/>
      <c r="BL36" s="59">
        <v>764</v>
      </c>
      <c r="BW36" s="59">
        <v>12</v>
      </c>
      <c r="BX36" s="16" t="s">
        <v>169</v>
      </c>
    </row>
    <row r="37" spans="1:76" x14ac:dyDescent="0.25">
      <c r="A37" s="62"/>
      <c r="D37" s="63" t="s">
        <v>145</v>
      </c>
      <c r="E37" s="63"/>
      <c r="G37" s="64">
        <v>6</v>
      </c>
      <c r="M37" s="65"/>
    </row>
    <row r="38" spans="1:76" ht="15" customHeight="1" x14ac:dyDescent="0.25">
      <c r="A38" s="58" t="s">
        <v>172</v>
      </c>
      <c r="B38" s="18" t="s">
        <v>107</v>
      </c>
      <c r="C38" s="18" t="s">
        <v>173</v>
      </c>
      <c r="D38" s="8" t="s">
        <v>174</v>
      </c>
      <c r="E38" s="8"/>
      <c r="F38" s="18" t="s">
        <v>140</v>
      </c>
      <c r="G38" s="59">
        <v>6</v>
      </c>
      <c r="H38" s="59">
        <v>0</v>
      </c>
      <c r="I38" s="59">
        <f>ROUND(G38*H38,2)</f>
        <v>0</v>
      </c>
      <c r="J38" s="59">
        <v>3.9500000000000004E-3</v>
      </c>
      <c r="K38" s="59">
        <v>3.9500000000000004E-3</v>
      </c>
      <c r="L38" s="59">
        <f>G38*K38</f>
        <v>2.3700000000000002E-2</v>
      </c>
      <c r="M38" s="60" t="s">
        <v>115</v>
      </c>
      <c r="Z38" s="59">
        <f>ROUND(IF(AQ38="5",BJ38,0),2)</f>
        <v>0</v>
      </c>
      <c r="AB38" s="59">
        <f>ROUND(IF(AQ38="1",BH38,0),2)</f>
        <v>0</v>
      </c>
      <c r="AC38" s="59">
        <f>ROUND(IF(AQ38="1",BI38,0),2)</f>
        <v>0</v>
      </c>
      <c r="AD38" s="59">
        <f>ROUND(IF(AQ38="7",BH38,0),2)</f>
        <v>0</v>
      </c>
      <c r="AE38" s="59">
        <f>ROUND(IF(AQ38="7",BI38,0),2)</f>
        <v>0</v>
      </c>
      <c r="AF38" s="59">
        <f>ROUND(IF(AQ38="2",BH38,0),2)</f>
        <v>0</v>
      </c>
      <c r="AG38" s="59">
        <f>ROUND(IF(AQ38="2",BI38,0),2)</f>
        <v>0</v>
      </c>
      <c r="AH38" s="59">
        <f>ROUND(IF(AQ38="0",BJ38,0),2)</f>
        <v>0</v>
      </c>
      <c r="AI38" s="46" t="s">
        <v>107</v>
      </c>
      <c r="AJ38" s="59">
        <f>IF(AN38=0,I38,0)</f>
        <v>0</v>
      </c>
      <c r="AK38" s="59">
        <f>IF(AN38=12,I38,0)</f>
        <v>0</v>
      </c>
      <c r="AL38" s="59">
        <f>IF(AN38=21,I38,0)</f>
        <v>0</v>
      </c>
      <c r="AN38" s="59">
        <v>12</v>
      </c>
      <c r="AO38" s="59">
        <f>H38*0.565634409</f>
        <v>0</v>
      </c>
      <c r="AP38" s="59">
        <f>H38*(1-0.565634409)</f>
        <v>0</v>
      </c>
      <c r="AQ38" s="61" t="s">
        <v>150</v>
      </c>
      <c r="AV38" s="59">
        <f>ROUND(AW38+AX38,2)</f>
        <v>0</v>
      </c>
      <c r="AW38" s="59">
        <f>ROUND(G38*AO38,2)</f>
        <v>0</v>
      </c>
      <c r="AX38" s="59">
        <f>ROUND(G38*AP38,2)</f>
        <v>0</v>
      </c>
      <c r="AY38" s="61" t="s">
        <v>170</v>
      </c>
      <c r="AZ38" s="61" t="s">
        <v>171</v>
      </c>
      <c r="BA38" s="46" t="s">
        <v>118</v>
      </c>
      <c r="BC38" s="59">
        <f>AW38+AX38</f>
        <v>0</v>
      </c>
      <c r="BD38" s="59">
        <f>H38/(100-BE38)*100</f>
        <v>0</v>
      </c>
      <c r="BE38" s="59">
        <v>0</v>
      </c>
      <c r="BF38" s="59">
        <f>L38</f>
        <v>2.3700000000000002E-2</v>
      </c>
      <c r="BH38" s="59">
        <f>G38*AO38</f>
        <v>0</v>
      </c>
      <c r="BI38" s="59">
        <f>G38*AP38</f>
        <v>0</v>
      </c>
      <c r="BJ38" s="59">
        <f>G38*H38</f>
        <v>0</v>
      </c>
      <c r="BK38" s="59"/>
      <c r="BL38" s="59">
        <v>764</v>
      </c>
      <c r="BW38" s="59">
        <v>12</v>
      </c>
      <c r="BX38" s="16" t="s">
        <v>174</v>
      </c>
    </row>
    <row r="39" spans="1:76" x14ac:dyDescent="0.25">
      <c r="A39" s="62"/>
      <c r="D39" s="63" t="s">
        <v>145</v>
      </c>
      <c r="E39" s="63"/>
      <c r="G39" s="64">
        <v>6</v>
      </c>
      <c r="M39" s="65"/>
    </row>
    <row r="40" spans="1:76" ht="15" customHeight="1" x14ac:dyDescent="0.25">
      <c r="A40" s="58" t="s">
        <v>176</v>
      </c>
      <c r="B40" s="18" t="s">
        <v>107</v>
      </c>
      <c r="C40" s="18" t="s">
        <v>177</v>
      </c>
      <c r="D40" s="8" t="s">
        <v>178</v>
      </c>
      <c r="E40" s="8"/>
      <c r="F40" s="18" t="s">
        <v>140</v>
      </c>
      <c r="G40" s="59">
        <v>34</v>
      </c>
      <c r="H40" s="59">
        <v>0</v>
      </c>
      <c r="I40" s="59">
        <f>ROUND(G40*H40,2)</f>
        <v>0</v>
      </c>
      <c r="J40" s="59">
        <v>1.4599999999999999E-3</v>
      </c>
      <c r="K40" s="59">
        <v>1.4599999999999999E-3</v>
      </c>
      <c r="L40" s="59">
        <f>G40*K40</f>
        <v>4.9639999999999997E-2</v>
      </c>
      <c r="M40" s="60" t="s">
        <v>115</v>
      </c>
      <c r="Z40" s="59">
        <f>ROUND(IF(AQ40="5",BJ40,0),2)</f>
        <v>0</v>
      </c>
      <c r="AB40" s="59">
        <f>ROUND(IF(AQ40="1",BH40,0),2)</f>
        <v>0</v>
      </c>
      <c r="AC40" s="59">
        <f>ROUND(IF(AQ40="1",BI40,0),2)</f>
        <v>0</v>
      </c>
      <c r="AD40" s="59">
        <f>ROUND(IF(AQ40="7",BH40,0),2)</f>
        <v>0</v>
      </c>
      <c r="AE40" s="59">
        <f>ROUND(IF(AQ40="7",BI40,0),2)</f>
        <v>0</v>
      </c>
      <c r="AF40" s="59">
        <f>ROUND(IF(AQ40="2",BH40,0),2)</f>
        <v>0</v>
      </c>
      <c r="AG40" s="59">
        <f>ROUND(IF(AQ40="2",BI40,0),2)</f>
        <v>0</v>
      </c>
      <c r="AH40" s="59">
        <f>ROUND(IF(AQ40="0",BJ40,0),2)</f>
        <v>0</v>
      </c>
      <c r="AI40" s="46" t="s">
        <v>107</v>
      </c>
      <c r="AJ40" s="59">
        <f>IF(AN40=0,I40,0)</f>
        <v>0</v>
      </c>
      <c r="AK40" s="59">
        <f>IF(AN40=12,I40,0)</f>
        <v>0</v>
      </c>
      <c r="AL40" s="59">
        <f>IF(AN40=21,I40,0)</f>
        <v>0</v>
      </c>
      <c r="AN40" s="59">
        <v>12</v>
      </c>
      <c r="AO40" s="59">
        <f>H40*0.113897883</f>
        <v>0</v>
      </c>
      <c r="AP40" s="59">
        <f>H40*(1-0.113897883)</f>
        <v>0</v>
      </c>
      <c r="AQ40" s="61" t="s">
        <v>150</v>
      </c>
      <c r="AV40" s="59">
        <f>ROUND(AW40+AX40,2)</f>
        <v>0</v>
      </c>
      <c r="AW40" s="59">
        <f>ROUND(G40*AO40,2)</f>
        <v>0</v>
      </c>
      <c r="AX40" s="59">
        <f>ROUND(G40*AP40,2)</f>
        <v>0</v>
      </c>
      <c r="AY40" s="61" t="s">
        <v>170</v>
      </c>
      <c r="AZ40" s="61" t="s">
        <v>171</v>
      </c>
      <c r="BA40" s="46" t="s">
        <v>118</v>
      </c>
      <c r="BC40" s="59">
        <f>AW40+AX40</f>
        <v>0</v>
      </c>
      <c r="BD40" s="59">
        <f>H40/(100-BE40)*100</f>
        <v>0</v>
      </c>
      <c r="BE40" s="59">
        <v>0</v>
      </c>
      <c r="BF40" s="59">
        <f>L40</f>
        <v>4.9639999999999997E-2</v>
      </c>
      <c r="BH40" s="59">
        <f>G40*AO40</f>
        <v>0</v>
      </c>
      <c r="BI40" s="59">
        <f>G40*AP40</f>
        <v>0</v>
      </c>
      <c r="BJ40" s="59">
        <f>G40*H40</f>
        <v>0</v>
      </c>
      <c r="BK40" s="59"/>
      <c r="BL40" s="59">
        <v>764</v>
      </c>
      <c r="BW40" s="59">
        <v>12</v>
      </c>
      <c r="BX40" s="16" t="s">
        <v>178</v>
      </c>
    </row>
    <row r="41" spans="1:76" x14ac:dyDescent="0.25">
      <c r="A41" s="62"/>
      <c r="D41" s="63" t="s">
        <v>180</v>
      </c>
      <c r="E41" s="63"/>
      <c r="G41" s="64">
        <v>34</v>
      </c>
      <c r="M41" s="65"/>
    </row>
    <row r="42" spans="1:76" ht="15" customHeight="1" x14ac:dyDescent="0.25">
      <c r="A42" s="54"/>
      <c r="B42" s="55" t="s">
        <v>107</v>
      </c>
      <c r="C42" s="55" t="s">
        <v>181</v>
      </c>
      <c r="D42" s="104" t="s">
        <v>182</v>
      </c>
      <c r="E42" s="104"/>
      <c r="F42" s="56" t="s">
        <v>88</v>
      </c>
      <c r="G42" s="56" t="s">
        <v>88</v>
      </c>
      <c r="H42" s="56" t="s">
        <v>88</v>
      </c>
      <c r="I42" s="39">
        <f>SUM(I43:I61)</f>
        <v>0</v>
      </c>
      <c r="J42" s="46"/>
      <c r="K42" s="46"/>
      <c r="L42" s="39">
        <f>SUM(L43:L61)</f>
        <v>1.8672886000000002</v>
      </c>
      <c r="M42" s="57"/>
      <c r="AI42" s="46" t="s">
        <v>107</v>
      </c>
      <c r="AS42" s="39">
        <f>SUM(AJ43:AJ61)</f>
        <v>0</v>
      </c>
      <c r="AT42" s="39">
        <f>SUM(AK43:AK61)</f>
        <v>0</v>
      </c>
      <c r="AU42" s="39">
        <f>SUM(AL43:AL61)</f>
        <v>0</v>
      </c>
    </row>
    <row r="43" spans="1:76" ht="15" customHeight="1" x14ac:dyDescent="0.25">
      <c r="A43" s="58" t="s">
        <v>183</v>
      </c>
      <c r="B43" s="18" t="s">
        <v>107</v>
      </c>
      <c r="C43" s="18" t="s">
        <v>184</v>
      </c>
      <c r="D43" s="8" t="s">
        <v>185</v>
      </c>
      <c r="E43" s="8"/>
      <c r="F43" s="18" t="s">
        <v>186</v>
      </c>
      <c r="G43" s="59">
        <v>2</v>
      </c>
      <c r="H43" s="59">
        <v>0</v>
      </c>
      <c r="I43" s="59">
        <f>ROUND(G43*H43,2)</f>
        <v>0</v>
      </c>
      <c r="J43" s="59">
        <v>0.04</v>
      </c>
      <c r="K43" s="59">
        <v>0.04</v>
      </c>
      <c r="L43" s="59">
        <f>G43*K43</f>
        <v>0.08</v>
      </c>
      <c r="M43" s="60"/>
      <c r="Z43" s="59">
        <f>ROUND(IF(AQ43="5",BJ43,0),2)</f>
        <v>0</v>
      </c>
      <c r="AB43" s="59">
        <f>ROUND(IF(AQ43="1",BH43,0),2)</f>
        <v>0</v>
      </c>
      <c r="AC43" s="59">
        <f>ROUND(IF(AQ43="1",BI43,0),2)</f>
        <v>0</v>
      </c>
      <c r="AD43" s="59">
        <f>ROUND(IF(AQ43="7",BH43,0),2)</f>
        <v>0</v>
      </c>
      <c r="AE43" s="59">
        <f>ROUND(IF(AQ43="7",BI43,0),2)</f>
        <v>0</v>
      </c>
      <c r="AF43" s="59">
        <f>ROUND(IF(AQ43="2",BH43,0),2)</f>
        <v>0</v>
      </c>
      <c r="AG43" s="59">
        <f>ROUND(IF(AQ43="2",BI43,0),2)</f>
        <v>0</v>
      </c>
      <c r="AH43" s="59">
        <f>ROUND(IF(AQ43="0",BJ43,0),2)</f>
        <v>0</v>
      </c>
      <c r="AI43" s="46" t="s">
        <v>107</v>
      </c>
      <c r="AJ43" s="59">
        <f>IF(AN43=0,I43,0)</f>
        <v>0</v>
      </c>
      <c r="AK43" s="59">
        <f>IF(AN43=12,I43,0)</f>
        <v>0</v>
      </c>
      <c r="AL43" s="59">
        <f>IF(AN43=21,I43,0)</f>
        <v>0</v>
      </c>
      <c r="AN43" s="59">
        <v>12</v>
      </c>
      <c r="AO43" s="59">
        <f>H43*0</f>
        <v>0</v>
      </c>
      <c r="AP43" s="59">
        <f>H43*(1-0)</f>
        <v>0</v>
      </c>
      <c r="AQ43" s="61" t="s">
        <v>150</v>
      </c>
      <c r="AV43" s="59">
        <f>ROUND(AW43+AX43,2)</f>
        <v>0</v>
      </c>
      <c r="AW43" s="59">
        <f>ROUND(G43*AO43,2)</f>
        <v>0</v>
      </c>
      <c r="AX43" s="59">
        <f>ROUND(G43*AP43,2)</f>
        <v>0</v>
      </c>
      <c r="AY43" s="61" t="s">
        <v>187</v>
      </c>
      <c r="AZ43" s="61" t="s">
        <v>171</v>
      </c>
      <c r="BA43" s="46" t="s">
        <v>118</v>
      </c>
      <c r="BC43" s="59">
        <f>AW43+AX43</f>
        <v>0</v>
      </c>
      <c r="BD43" s="59">
        <f>H43/(100-BE43)*100</f>
        <v>0</v>
      </c>
      <c r="BE43" s="59">
        <v>0</v>
      </c>
      <c r="BF43" s="59">
        <f>L43</f>
        <v>0.08</v>
      </c>
      <c r="BH43" s="59">
        <f>G43*AO43</f>
        <v>0</v>
      </c>
      <c r="BI43" s="59">
        <f>G43*AP43</f>
        <v>0</v>
      </c>
      <c r="BJ43" s="59">
        <f>G43*H43</f>
        <v>0</v>
      </c>
      <c r="BK43" s="59"/>
      <c r="BL43" s="59">
        <v>766</v>
      </c>
      <c r="BW43" s="59">
        <v>12</v>
      </c>
      <c r="BX43" s="16" t="s">
        <v>185</v>
      </c>
    </row>
    <row r="44" spans="1:76" x14ac:dyDescent="0.25">
      <c r="A44" s="62"/>
      <c r="D44" s="63" t="s">
        <v>189</v>
      </c>
      <c r="E44" s="63"/>
      <c r="G44" s="64">
        <v>2</v>
      </c>
      <c r="M44" s="65"/>
    </row>
    <row r="45" spans="1:76" ht="15" customHeight="1" x14ac:dyDescent="0.25">
      <c r="A45" s="58" t="s">
        <v>190</v>
      </c>
      <c r="B45" s="18" t="s">
        <v>107</v>
      </c>
      <c r="C45" s="18" t="s">
        <v>191</v>
      </c>
      <c r="D45" s="8" t="s">
        <v>192</v>
      </c>
      <c r="E45" s="8"/>
      <c r="F45" s="18" t="s">
        <v>114</v>
      </c>
      <c r="G45" s="59">
        <v>41.58</v>
      </c>
      <c r="H45" s="59">
        <v>0</v>
      </c>
      <c r="I45" s="59">
        <f>ROUND(G45*H45,2)</f>
        <v>0</v>
      </c>
      <c r="J45" s="59">
        <v>4.0370000000000003E-2</v>
      </c>
      <c r="K45" s="59">
        <v>4.0370000000000003E-2</v>
      </c>
      <c r="L45" s="59">
        <f>G45*K45</f>
        <v>1.6785846</v>
      </c>
      <c r="M45" s="60" t="s">
        <v>115</v>
      </c>
      <c r="Z45" s="59">
        <f>ROUND(IF(AQ45="5",BJ45,0),2)</f>
        <v>0</v>
      </c>
      <c r="AB45" s="59">
        <f>ROUND(IF(AQ45="1",BH45,0),2)</f>
        <v>0</v>
      </c>
      <c r="AC45" s="59">
        <f>ROUND(IF(AQ45="1",BI45,0),2)</f>
        <v>0</v>
      </c>
      <c r="AD45" s="59">
        <f>ROUND(IF(AQ45="7",BH45,0),2)</f>
        <v>0</v>
      </c>
      <c r="AE45" s="59">
        <f>ROUND(IF(AQ45="7",BI45,0),2)</f>
        <v>0</v>
      </c>
      <c r="AF45" s="59">
        <f>ROUND(IF(AQ45="2",BH45,0),2)</f>
        <v>0</v>
      </c>
      <c r="AG45" s="59">
        <f>ROUND(IF(AQ45="2",BI45,0),2)</f>
        <v>0</v>
      </c>
      <c r="AH45" s="59">
        <f>ROUND(IF(AQ45="0",BJ45,0),2)</f>
        <v>0</v>
      </c>
      <c r="AI45" s="46" t="s">
        <v>107</v>
      </c>
      <c r="AJ45" s="59">
        <f>IF(AN45=0,I45,0)</f>
        <v>0</v>
      </c>
      <c r="AK45" s="59">
        <f>IF(AN45=12,I45,0)</f>
        <v>0</v>
      </c>
      <c r="AL45" s="59">
        <f>IF(AN45=21,I45,0)</f>
        <v>0</v>
      </c>
      <c r="AN45" s="59">
        <v>12</v>
      </c>
      <c r="AO45" s="59">
        <f>H45*0.920036764</f>
        <v>0</v>
      </c>
      <c r="AP45" s="59">
        <f>H45*(1-0.920036764)</f>
        <v>0</v>
      </c>
      <c r="AQ45" s="61" t="s">
        <v>150</v>
      </c>
      <c r="AV45" s="59">
        <f>ROUND(AW45+AX45,2)</f>
        <v>0</v>
      </c>
      <c r="AW45" s="59">
        <f>ROUND(G45*AO45,2)</f>
        <v>0</v>
      </c>
      <c r="AX45" s="59">
        <f>ROUND(G45*AP45,2)</f>
        <v>0</v>
      </c>
      <c r="AY45" s="61" t="s">
        <v>187</v>
      </c>
      <c r="AZ45" s="61" t="s">
        <v>171</v>
      </c>
      <c r="BA45" s="46" t="s">
        <v>118</v>
      </c>
      <c r="BC45" s="59">
        <f>AW45+AX45</f>
        <v>0</v>
      </c>
      <c r="BD45" s="59">
        <f>H45/(100-BE45)*100</f>
        <v>0</v>
      </c>
      <c r="BE45" s="59">
        <v>0</v>
      </c>
      <c r="BF45" s="59">
        <f>L45</f>
        <v>1.6785846</v>
      </c>
      <c r="BH45" s="59">
        <f>G45*AO45</f>
        <v>0</v>
      </c>
      <c r="BI45" s="59">
        <f>G45*AP45</f>
        <v>0</v>
      </c>
      <c r="BJ45" s="59">
        <f>G45*H45</f>
        <v>0</v>
      </c>
      <c r="BK45" s="59"/>
      <c r="BL45" s="59">
        <v>766</v>
      </c>
      <c r="BW45" s="59">
        <v>12</v>
      </c>
      <c r="BX45" s="16" t="s">
        <v>192</v>
      </c>
    </row>
    <row r="46" spans="1:76" x14ac:dyDescent="0.25">
      <c r="A46" s="62"/>
      <c r="D46" s="63" t="s">
        <v>194</v>
      </c>
      <c r="E46" s="63"/>
      <c r="G46" s="64">
        <v>2.25</v>
      </c>
      <c r="M46" s="65"/>
    </row>
    <row r="47" spans="1:76" x14ac:dyDescent="0.25">
      <c r="A47" s="62"/>
      <c r="D47" s="63" t="s">
        <v>195</v>
      </c>
      <c r="E47" s="63"/>
      <c r="G47" s="64">
        <v>17.28</v>
      </c>
      <c r="M47" s="65"/>
    </row>
    <row r="48" spans="1:76" x14ac:dyDescent="0.25">
      <c r="A48" s="62"/>
      <c r="D48" s="63" t="s">
        <v>196</v>
      </c>
      <c r="E48" s="63"/>
      <c r="G48" s="64">
        <v>3.24</v>
      </c>
      <c r="M48" s="65"/>
    </row>
    <row r="49" spans="1:76" x14ac:dyDescent="0.25">
      <c r="A49" s="62"/>
      <c r="D49" s="63" t="s">
        <v>197</v>
      </c>
      <c r="E49" s="63"/>
      <c r="G49" s="64">
        <v>5.4</v>
      </c>
      <c r="M49" s="65"/>
    </row>
    <row r="50" spans="1:76" x14ac:dyDescent="0.25">
      <c r="A50" s="62"/>
      <c r="D50" s="63" t="s">
        <v>198</v>
      </c>
      <c r="E50" s="63"/>
      <c r="G50" s="64">
        <v>3.15</v>
      </c>
      <c r="M50" s="65"/>
    </row>
    <row r="51" spans="1:76" x14ac:dyDescent="0.25">
      <c r="A51" s="62"/>
      <c r="D51" s="63" t="s">
        <v>199</v>
      </c>
      <c r="E51" s="63"/>
      <c r="G51" s="64">
        <v>7.56</v>
      </c>
      <c r="M51" s="65"/>
    </row>
    <row r="52" spans="1:76" x14ac:dyDescent="0.25">
      <c r="A52" s="62"/>
      <c r="D52" s="63" t="s">
        <v>200</v>
      </c>
      <c r="E52" s="63"/>
      <c r="G52" s="64">
        <v>2.7</v>
      </c>
      <c r="M52" s="65"/>
    </row>
    <row r="53" spans="1:76" ht="15" customHeight="1" x14ac:dyDescent="0.25">
      <c r="A53" s="58" t="s">
        <v>201</v>
      </c>
      <c r="B53" s="18" t="s">
        <v>107</v>
      </c>
      <c r="C53" s="18" t="s">
        <v>202</v>
      </c>
      <c r="D53" s="8" t="s">
        <v>203</v>
      </c>
      <c r="E53" s="8"/>
      <c r="F53" s="18" t="s">
        <v>186</v>
      </c>
      <c r="G53" s="59">
        <v>1</v>
      </c>
      <c r="H53" s="59">
        <v>0</v>
      </c>
      <c r="I53" s="59">
        <f>ROUND(G53*H53,2)</f>
        <v>0</v>
      </c>
      <c r="J53" s="59">
        <v>0.1</v>
      </c>
      <c r="K53" s="59">
        <v>0.1</v>
      </c>
      <c r="L53" s="59">
        <f>G53*K53</f>
        <v>0.1</v>
      </c>
      <c r="M53" s="60"/>
      <c r="Z53" s="59">
        <f>ROUND(IF(AQ53="5",BJ53,0),2)</f>
        <v>0</v>
      </c>
      <c r="AB53" s="59">
        <f>ROUND(IF(AQ53="1",BH53,0),2)</f>
        <v>0</v>
      </c>
      <c r="AC53" s="59">
        <f>ROUND(IF(AQ53="1",BI53,0),2)</f>
        <v>0</v>
      </c>
      <c r="AD53" s="59">
        <f>ROUND(IF(AQ53="7",BH53,0),2)</f>
        <v>0</v>
      </c>
      <c r="AE53" s="59">
        <f>ROUND(IF(AQ53="7",BI53,0),2)</f>
        <v>0</v>
      </c>
      <c r="AF53" s="59">
        <f>ROUND(IF(AQ53="2",BH53,0),2)</f>
        <v>0</v>
      </c>
      <c r="AG53" s="59">
        <f>ROUND(IF(AQ53="2",BI53,0),2)</f>
        <v>0</v>
      </c>
      <c r="AH53" s="59">
        <f>ROUND(IF(AQ53="0",BJ53,0),2)</f>
        <v>0</v>
      </c>
      <c r="AI53" s="46" t="s">
        <v>107</v>
      </c>
      <c r="AJ53" s="59">
        <f>IF(AN53=0,I53,0)</f>
        <v>0</v>
      </c>
      <c r="AK53" s="59">
        <f>IF(AN53=12,I53,0)</f>
        <v>0</v>
      </c>
      <c r="AL53" s="59">
        <f>IF(AN53=21,I53,0)</f>
        <v>0</v>
      </c>
      <c r="AN53" s="59">
        <v>12</v>
      </c>
      <c r="AO53" s="59">
        <f>H53*0</f>
        <v>0</v>
      </c>
      <c r="AP53" s="59">
        <f>H53*(1-0)</f>
        <v>0</v>
      </c>
      <c r="AQ53" s="61" t="s">
        <v>150</v>
      </c>
      <c r="AV53" s="59">
        <f>ROUND(AW53+AX53,2)</f>
        <v>0</v>
      </c>
      <c r="AW53" s="59">
        <f>ROUND(G53*AO53,2)</f>
        <v>0</v>
      </c>
      <c r="AX53" s="59">
        <f>ROUND(G53*AP53,2)</f>
        <v>0</v>
      </c>
      <c r="AY53" s="61" t="s">
        <v>187</v>
      </c>
      <c r="AZ53" s="61" t="s">
        <v>171</v>
      </c>
      <c r="BA53" s="46" t="s">
        <v>118</v>
      </c>
      <c r="BC53" s="59">
        <f>AW53+AX53</f>
        <v>0</v>
      </c>
      <c r="BD53" s="59">
        <f>H53/(100-BE53)*100</f>
        <v>0</v>
      </c>
      <c r="BE53" s="59">
        <v>0</v>
      </c>
      <c r="BF53" s="59">
        <f>L53</f>
        <v>0.1</v>
      </c>
      <c r="BH53" s="59">
        <f>G53*AO53</f>
        <v>0</v>
      </c>
      <c r="BI53" s="59">
        <f>G53*AP53</f>
        <v>0</v>
      </c>
      <c r="BJ53" s="59">
        <f>G53*H53</f>
        <v>0</v>
      </c>
      <c r="BK53" s="59"/>
      <c r="BL53" s="59">
        <v>766</v>
      </c>
      <c r="BW53" s="59">
        <v>12</v>
      </c>
      <c r="BX53" s="16" t="s">
        <v>203</v>
      </c>
    </row>
    <row r="54" spans="1:76" x14ac:dyDescent="0.25">
      <c r="A54" s="62"/>
      <c r="D54" s="63" t="s">
        <v>204</v>
      </c>
      <c r="E54" s="63"/>
      <c r="G54" s="64">
        <v>1</v>
      </c>
      <c r="M54" s="65"/>
    </row>
    <row r="55" spans="1:76" ht="15" customHeight="1" x14ac:dyDescent="0.25">
      <c r="A55" s="58" t="s">
        <v>205</v>
      </c>
      <c r="B55" s="18" t="s">
        <v>107</v>
      </c>
      <c r="C55" s="18" t="s">
        <v>206</v>
      </c>
      <c r="D55" s="8" t="s">
        <v>207</v>
      </c>
      <c r="E55" s="8"/>
      <c r="F55" s="18" t="s">
        <v>140</v>
      </c>
      <c r="G55" s="59">
        <v>116.5</v>
      </c>
      <c r="H55" s="59">
        <v>0</v>
      </c>
      <c r="I55" s="59">
        <f>ROUND(G55*H55,2)</f>
        <v>0</v>
      </c>
      <c r="J55" s="59">
        <v>4.0000000000000003E-5</v>
      </c>
      <c r="K55" s="59">
        <v>4.0000000000000003E-5</v>
      </c>
      <c r="L55" s="59">
        <f>G55*K55</f>
        <v>4.6600000000000001E-3</v>
      </c>
      <c r="M55" s="60" t="s">
        <v>115</v>
      </c>
      <c r="Z55" s="59">
        <f>ROUND(IF(AQ55="5",BJ55,0),2)</f>
        <v>0</v>
      </c>
      <c r="AB55" s="59">
        <f>ROUND(IF(AQ55="1",BH55,0),2)</f>
        <v>0</v>
      </c>
      <c r="AC55" s="59">
        <f>ROUND(IF(AQ55="1",BI55,0),2)</f>
        <v>0</v>
      </c>
      <c r="AD55" s="59">
        <f>ROUND(IF(AQ55="7",BH55,0),2)</f>
        <v>0</v>
      </c>
      <c r="AE55" s="59">
        <f>ROUND(IF(AQ55="7",BI55,0),2)</f>
        <v>0</v>
      </c>
      <c r="AF55" s="59">
        <f>ROUND(IF(AQ55="2",BH55,0),2)</f>
        <v>0</v>
      </c>
      <c r="AG55" s="59">
        <f>ROUND(IF(AQ55="2",BI55,0),2)</f>
        <v>0</v>
      </c>
      <c r="AH55" s="59">
        <f>ROUND(IF(AQ55="0",BJ55,0),2)</f>
        <v>0</v>
      </c>
      <c r="AI55" s="46" t="s">
        <v>107</v>
      </c>
      <c r="AJ55" s="59">
        <f>IF(AN55=0,I55,0)</f>
        <v>0</v>
      </c>
      <c r="AK55" s="59">
        <f>IF(AN55=12,I55,0)</f>
        <v>0</v>
      </c>
      <c r="AL55" s="59">
        <f>IF(AN55=21,I55,0)</f>
        <v>0</v>
      </c>
      <c r="AN55" s="59">
        <v>12</v>
      </c>
      <c r="AO55" s="59">
        <f>H55*0.412553191</f>
        <v>0</v>
      </c>
      <c r="AP55" s="59">
        <f>H55*(1-0.412553191)</f>
        <v>0</v>
      </c>
      <c r="AQ55" s="61" t="s">
        <v>150</v>
      </c>
      <c r="AV55" s="59">
        <f>ROUND(AW55+AX55,2)</f>
        <v>0</v>
      </c>
      <c r="AW55" s="59">
        <f>ROUND(G55*AO55,2)</f>
        <v>0</v>
      </c>
      <c r="AX55" s="59">
        <f>ROUND(G55*AP55,2)</f>
        <v>0</v>
      </c>
      <c r="AY55" s="61" t="s">
        <v>187</v>
      </c>
      <c r="AZ55" s="61" t="s">
        <v>171</v>
      </c>
      <c r="BA55" s="46" t="s">
        <v>118</v>
      </c>
      <c r="BC55" s="59">
        <f>AW55+AX55</f>
        <v>0</v>
      </c>
      <c r="BD55" s="59">
        <f>H55/(100-BE55)*100</f>
        <v>0</v>
      </c>
      <c r="BE55" s="59">
        <v>0</v>
      </c>
      <c r="BF55" s="59">
        <f>L55</f>
        <v>4.6600000000000001E-3</v>
      </c>
      <c r="BH55" s="59">
        <f>G55*AO55</f>
        <v>0</v>
      </c>
      <c r="BI55" s="59">
        <f>G55*AP55</f>
        <v>0</v>
      </c>
      <c r="BJ55" s="59">
        <f>G55*H55</f>
        <v>0</v>
      </c>
      <c r="BK55" s="59"/>
      <c r="BL55" s="59">
        <v>766</v>
      </c>
      <c r="BW55" s="59">
        <v>12</v>
      </c>
      <c r="BX55" s="16" t="s">
        <v>207</v>
      </c>
    </row>
    <row r="56" spans="1:76" x14ac:dyDescent="0.25">
      <c r="A56" s="62"/>
      <c r="D56" s="63" t="s">
        <v>209</v>
      </c>
      <c r="E56" s="63"/>
      <c r="G56" s="64">
        <v>116.5</v>
      </c>
      <c r="M56" s="65"/>
    </row>
    <row r="57" spans="1:76" ht="15" customHeight="1" x14ac:dyDescent="0.25">
      <c r="A57" s="58" t="s">
        <v>210</v>
      </c>
      <c r="B57" s="18" t="s">
        <v>107</v>
      </c>
      <c r="C57" s="18" t="s">
        <v>211</v>
      </c>
      <c r="D57" s="8" t="s">
        <v>212</v>
      </c>
      <c r="E57" s="8"/>
      <c r="F57" s="18" t="s">
        <v>140</v>
      </c>
      <c r="G57" s="59">
        <v>33.700000000000003</v>
      </c>
      <c r="H57" s="59">
        <v>0</v>
      </c>
      <c r="I57" s="59">
        <f>ROUND(G57*H57,2)</f>
        <v>0</v>
      </c>
      <c r="J57" s="59">
        <v>1.2E-4</v>
      </c>
      <c r="K57" s="59">
        <v>1.2E-4</v>
      </c>
      <c r="L57" s="59">
        <f>G57*K57</f>
        <v>4.0440000000000007E-3</v>
      </c>
      <c r="M57" s="60" t="s">
        <v>115</v>
      </c>
      <c r="Z57" s="59">
        <f>ROUND(IF(AQ57="5",BJ57,0),2)</f>
        <v>0</v>
      </c>
      <c r="AB57" s="59">
        <f>ROUND(IF(AQ57="1",BH57,0),2)</f>
        <v>0</v>
      </c>
      <c r="AC57" s="59">
        <f>ROUND(IF(AQ57="1",BI57,0),2)</f>
        <v>0</v>
      </c>
      <c r="AD57" s="59">
        <f>ROUND(IF(AQ57="7",BH57,0),2)</f>
        <v>0</v>
      </c>
      <c r="AE57" s="59">
        <f>ROUND(IF(AQ57="7",BI57,0),2)</f>
        <v>0</v>
      </c>
      <c r="AF57" s="59">
        <f>ROUND(IF(AQ57="2",BH57,0),2)</f>
        <v>0</v>
      </c>
      <c r="AG57" s="59">
        <f>ROUND(IF(AQ57="2",BI57,0),2)</f>
        <v>0</v>
      </c>
      <c r="AH57" s="59">
        <f>ROUND(IF(AQ57="0",BJ57,0),2)</f>
        <v>0</v>
      </c>
      <c r="AI57" s="46" t="s">
        <v>107</v>
      </c>
      <c r="AJ57" s="59">
        <f>IF(AN57=0,I57,0)</f>
        <v>0</v>
      </c>
      <c r="AK57" s="59">
        <f>IF(AN57=12,I57,0)</f>
        <v>0</v>
      </c>
      <c r="AL57" s="59">
        <f>IF(AN57=21,I57,0)</f>
        <v>0</v>
      </c>
      <c r="AN57" s="59">
        <v>12</v>
      </c>
      <c r="AO57" s="59">
        <f>H57*0.319457101</f>
        <v>0</v>
      </c>
      <c r="AP57" s="59">
        <f>H57*(1-0.319457101)</f>
        <v>0</v>
      </c>
      <c r="AQ57" s="61" t="s">
        <v>150</v>
      </c>
      <c r="AV57" s="59">
        <f>ROUND(AW57+AX57,2)</f>
        <v>0</v>
      </c>
      <c r="AW57" s="59">
        <f>ROUND(G57*AO57,2)</f>
        <v>0</v>
      </c>
      <c r="AX57" s="59">
        <f>ROUND(G57*AP57,2)</f>
        <v>0</v>
      </c>
      <c r="AY57" s="61" t="s">
        <v>187</v>
      </c>
      <c r="AZ57" s="61" t="s">
        <v>171</v>
      </c>
      <c r="BA57" s="46" t="s">
        <v>118</v>
      </c>
      <c r="BC57" s="59">
        <f>AW57+AX57</f>
        <v>0</v>
      </c>
      <c r="BD57" s="59">
        <f>H57/(100-BE57)*100</f>
        <v>0</v>
      </c>
      <c r="BE57" s="59">
        <v>0</v>
      </c>
      <c r="BF57" s="59">
        <f>L57</f>
        <v>4.0440000000000007E-3</v>
      </c>
      <c r="BH57" s="59">
        <f>G57*AO57</f>
        <v>0</v>
      </c>
      <c r="BI57" s="59">
        <f>G57*AP57</f>
        <v>0</v>
      </c>
      <c r="BJ57" s="59">
        <f>G57*H57</f>
        <v>0</v>
      </c>
      <c r="BK57" s="59"/>
      <c r="BL57" s="59">
        <v>766</v>
      </c>
      <c r="BW57" s="59">
        <v>12</v>
      </c>
      <c r="BX57" s="16" t="s">
        <v>212</v>
      </c>
    </row>
    <row r="58" spans="1:76" x14ac:dyDescent="0.25">
      <c r="A58" s="62"/>
      <c r="D58" s="63" t="s">
        <v>214</v>
      </c>
      <c r="E58" s="63"/>
      <c r="G58" s="64">
        <v>33.700000000000003</v>
      </c>
      <c r="M58" s="65"/>
    </row>
    <row r="59" spans="1:76" ht="15" customHeight="1" x14ac:dyDescent="0.25">
      <c r="A59" s="58" t="s">
        <v>215</v>
      </c>
      <c r="B59" s="18" t="s">
        <v>107</v>
      </c>
      <c r="C59" s="18" t="s">
        <v>216</v>
      </c>
      <c r="D59" s="8" t="s">
        <v>217</v>
      </c>
      <c r="E59" s="8"/>
      <c r="F59" s="18" t="s">
        <v>218</v>
      </c>
      <c r="G59" s="59">
        <v>23</v>
      </c>
      <c r="H59" s="59">
        <v>0</v>
      </c>
      <c r="I59" s="59">
        <f>ROUND(G59*H59,2)</f>
        <v>0</v>
      </c>
      <c r="J59" s="59">
        <v>0</v>
      </c>
      <c r="K59" s="59">
        <v>0</v>
      </c>
      <c r="L59" s="59">
        <f>G59*K59</f>
        <v>0</v>
      </c>
      <c r="M59" s="60"/>
      <c r="Z59" s="59">
        <f>ROUND(IF(AQ59="5",BJ59,0),2)</f>
        <v>0</v>
      </c>
      <c r="AB59" s="59">
        <f>ROUND(IF(AQ59="1",BH59,0),2)</f>
        <v>0</v>
      </c>
      <c r="AC59" s="59">
        <f>ROUND(IF(AQ59="1",BI59,0),2)</f>
        <v>0</v>
      </c>
      <c r="AD59" s="59">
        <f>ROUND(IF(AQ59="7",BH59,0),2)</f>
        <v>0</v>
      </c>
      <c r="AE59" s="59">
        <f>ROUND(IF(AQ59="7",BI59,0),2)</f>
        <v>0</v>
      </c>
      <c r="AF59" s="59">
        <f>ROUND(IF(AQ59="2",BH59,0),2)</f>
        <v>0</v>
      </c>
      <c r="AG59" s="59">
        <f>ROUND(IF(AQ59="2",BI59,0),2)</f>
        <v>0</v>
      </c>
      <c r="AH59" s="59">
        <f>ROUND(IF(AQ59="0",BJ59,0),2)</f>
        <v>0</v>
      </c>
      <c r="AI59" s="46" t="s">
        <v>107</v>
      </c>
      <c r="AJ59" s="59">
        <f>IF(AN59=0,I59,0)</f>
        <v>0</v>
      </c>
      <c r="AK59" s="59">
        <f>IF(AN59=12,I59,0)</f>
        <v>0</v>
      </c>
      <c r="AL59" s="59">
        <f>IF(AN59=21,I59,0)</f>
        <v>0</v>
      </c>
      <c r="AN59" s="59">
        <v>12</v>
      </c>
      <c r="AO59" s="59">
        <f>H59*0</f>
        <v>0</v>
      </c>
      <c r="AP59" s="59">
        <f>H59*(1-0)</f>
        <v>0</v>
      </c>
      <c r="AQ59" s="61" t="s">
        <v>150</v>
      </c>
      <c r="AV59" s="59">
        <f>ROUND(AW59+AX59,2)</f>
        <v>0</v>
      </c>
      <c r="AW59" s="59">
        <f>ROUND(G59*AO59,2)</f>
        <v>0</v>
      </c>
      <c r="AX59" s="59">
        <f>ROUND(G59*AP59,2)</f>
        <v>0</v>
      </c>
      <c r="AY59" s="61" t="s">
        <v>187</v>
      </c>
      <c r="AZ59" s="61" t="s">
        <v>171</v>
      </c>
      <c r="BA59" s="46" t="s">
        <v>118</v>
      </c>
      <c r="BC59" s="59">
        <f>AW59+AX59</f>
        <v>0</v>
      </c>
      <c r="BD59" s="59">
        <f>H59/(100-BE59)*100</f>
        <v>0</v>
      </c>
      <c r="BE59" s="59">
        <v>0</v>
      </c>
      <c r="BF59" s="59">
        <f>L59</f>
        <v>0</v>
      </c>
      <c r="BH59" s="59">
        <f>G59*AO59</f>
        <v>0</v>
      </c>
      <c r="BI59" s="59">
        <f>G59*AP59</f>
        <v>0</v>
      </c>
      <c r="BJ59" s="59">
        <f>G59*H59</f>
        <v>0</v>
      </c>
      <c r="BK59" s="59"/>
      <c r="BL59" s="59">
        <v>766</v>
      </c>
      <c r="BW59" s="59">
        <v>12</v>
      </c>
      <c r="BX59" s="16" t="s">
        <v>217</v>
      </c>
    </row>
    <row r="60" spans="1:76" x14ac:dyDescent="0.25">
      <c r="A60" s="62"/>
      <c r="D60" s="63" t="s">
        <v>220</v>
      </c>
      <c r="E60" s="63"/>
      <c r="G60" s="64">
        <v>23</v>
      </c>
      <c r="M60" s="65"/>
    </row>
    <row r="61" spans="1:76" ht="15" customHeight="1" x14ac:dyDescent="0.25">
      <c r="A61" s="58" t="s">
        <v>221</v>
      </c>
      <c r="B61" s="18" t="s">
        <v>107</v>
      </c>
      <c r="C61" s="18" t="s">
        <v>222</v>
      </c>
      <c r="D61" s="8" t="s">
        <v>223</v>
      </c>
      <c r="E61" s="8"/>
      <c r="F61" s="18" t="s">
        <v>224</v>
      </c>
      <c r="G61" s="59">
        <v>1.859</v>
      </c>
      <c r="H61" s="59">
        <v>0</v>
      </c>
      <c r="I61" s="59">
        <f>ROUND(G61*H61,2)</f>
        <v>0</v>
      </c>
      <c r="J61" s="59">
        <v>0</v>
      </c>
      <c r="K61" s="59">
        <v>0</v>
      </c>
      <c r="L61" s="59">
        <f>G61*K61</f>
        <v>0</v>
      </c>
      <c r="M61" s="60" t="s">
        <v>115</v>
      </c>
      <c r="Z61" s="59">
        <f>ROUND(IF(AQ61="5",BJ61,0),2)</f>
        <v>0</v>
      </c>
      <c r="AB61" s="59">
        <f>ROUND(IF(AQ61="1",BH61,0),2)</f>
        <v>0</v>
      </c>
      <c r="AC61" s="59">
        <f>ROUND(IF(AQ61="1",BI61,0),2)</f>
        <v>0</v>
      </c>
      <c r="AD61" s="59">
        <f>ROUND(IF(AQ61="7",BH61,0),2)</f>
        <v>0</v>
      </c>
      <c r="AE61" s="59">
        <f>ROUND(IF(AQ61="7",BI61,0),2)</f>
        <v>0</v>
      </c>
      <c r="AF61" s="59">
        <f>ROUND(IF(AQ61="2",BH61,0),2)</f>
        <v>0</v>
      </c>
      <c r="AG61" s="59">
        <f>ROUND(IF(AQ61="2",BI61,0),2)</f>
        <v>0</v>
      </c>
      <c r="AH61" s="59">
        <f>ROUND(IF(AQ61="0",BJ61,0),2)</f>
        <v>0</v>
      </c>
      <c r="AI61" s="46" t="s">
        <v>107</v>
      </c>
      <c r="AJ61" s="59">
        <f>IF(AN61=0,I61,0)</f>
        <v>0</v>
      </c>
      <c r="AK61" s="59">
        <f>IF(AN61=12,I61,0)</f>
        <v>0</v>
      </c>
      <c r="AL61" s="59">
        <f>IF(AN61=21,I61,0)</f>
        <v>0</v>
      </c>
      <c r="AN61" s="59">
        <v>12</v>
      </c>
      <c r="AO61" s="59">
        <f>H61*0</f>
        <v>0</v>
      </c>
      <c r="AP61" s="59">
        <f>H61*(1-0)</f>
        <v>0</v>
      </c>
      <c r="AQ61" s="61" t="s">
        <v>137</v>
      </c>
      <c r="AV61" s="59">
        <f>ROUND(AW61+AX61,2)</f>
        <v>0</v>
      </c>
      <c r="AW61" s="59">
        <f>ROUND(G61*AO61,2)</f>
        <v>0</v>
      </c>
      <c r="AX61" s="59">
        <f>ROUND(G61*AP61,2)</f>
        <v>0</v>
      </c>
      <c r="AY61" s="61" t="s">
        <v>187</v>
      </c>
      <c r="AZ61" s="61" t="s">
        <v>171</v>
      </c>
      <c r="BA61" s="46" t="s">
        <v>118</v>
      </c>
      <c r="BC61" s="59">
        <f>AW61+AX61</f>
        <v>0</v>
      </c>
      <c r="BD61" s="59">
        <f>H61/(100-BE61)*100</f>
        <v>0</v>
      </c>
      <c r="BE61" s="59">
        <v>0</v>
      </c>
      <c r="BF61" s="59">
        <f>L61</f>
        <v>0</v>
      </c>
      <c r="BH61" s="59">
        <f>G61*AO61</f>
        <v>0</v>
      </c>
      <c r="BI61" s="59">
        <f>G61*AP61</f>
        <v>0</v>
      </c>
      <c r="BJ61" s="59">
        <f>G61*H61</f>
        <v>0</v>
      </c>
      <c r="BK61" s="59"/>
      <c r="BL61" s="59">
        <v>766</v>
      </c>
      <c r="BW61" s="59">
        <v>12</v>
      </c>
      <c r="BX61" s="16" t="s">
        <v>223</v>
      </c>
    </row>
    <row r="62" spans="1:76" ht="15" customHeight="1" x14ac:dyDescent="0.25">
      <c r="A62" s="54"/>
      <c r="B62" s="55" t="s">
        <v>107</v>
      </c>
      <c r="C62" s="55" t="s">
        <v>225</v>
      </c>
      <c r="D62" s="104" t="s">
        <v>226</v>
      </c>
      <c r="E62" s="104"/>
      <c r="F62" s="56" t="s">
        <v>88</v>
      </c>
      <c r="G62" s="56" t="s">
        <v>88</v>
      </c>
      <c r="H62" s="56" t="s">
        <v>88</v>
      </c>
      <c r="I62" s="39">
        <f>SUM(I63:I65)</f>
        <v>0</v>
      </c>
      <c r="J62" s="46"/>
      <c r="K62" s="46"/>
      <c r="L62" s="39">
        <f>SUM(L63:L65)</f>
        <v>4.1053299999999999E-3</v>
      </c>
      <c r="M62" s="57"/>
      <c r="AI62" s="46" t="s">
        <v>107</v>
      </c>
      <c r="AS62" s="39">
        <f>SUM(AJ63:AJ65)</f>
        <v>0</v>
      </c>
      <c r="AT62" s="39">
        <f>SUM(AK63:AK65)</f>
        <v>0</v>
      </c>
      <c r="AU62" s="39">
        <f>SUM(AL63:AL65)</f>
        <v>0</v>
      </c>
    </row>
    <row r="63" spans="1:76" ht="15" customHeight="1" x14ac:dyDescent="0.25">
      <c r="A63" s="58" t="s">
        <v>227</v>
      </c>
      <c r="B63" s="18" t="s">
        <v>107</v>
      </c>
      <c r="C63" s="18" t="s">
        <v>228</v>
      </c>
      <c r="D63" s="8" t="s">
        <v>229</v>
      </c>
      <c r="E63" s="8"/>
      <c r="F63" s="18" t="s">
        <v>114</v>
      </c>
      <c r="G63" s="59">
        <v>3.077</v>
      </c>
      <c r="H63" s="59">
        <v>0</v>
      </c>
      <c r="I63" s="59">
        <f>ROUND(G63*H63,2)</f>
        <v>0</v>
      </c>
      <c r="J63" s="59">
        <v>2.9E-4</v>
      </c>
      <c r="K63" s="59">
        <v>2.9E-4</v>
      </c>
      <c r="L63" s="59">
        <f>G63*K63</f>
        <v>8.9232999999999999E-4</v>
      </c>
      <c r="M63" s="60" t="s">
        <v>115</v>
      </c>
      <c r="Z63" s="59">
        <f>ROUND(IF(AQ63="5",BJ63,0),2)</f>
        <v>0</v>
      </c>
      <c r="AB63" s="59">
        <f>ROUND(IF(AQ63="1",BH63,0),2)</f>
        <v>0</v>
      </c>
      <c r="AC63" s="59">
        <f>ROUND(IF(AQ63="1",BI63,0),2)</f>
        <v>0</v>
      </c>
      <c r="AD63" s="59">
        <f>ROUND(IF(AQ63="7",BH63,0),2)</f>
        <v>0</v>
      </c>
      <c r="AE63" s="59">
        <f>ROUND(IF(AQ63="7",BI63,0),2)</f>
        <v>0</v>
      </c>
      <c r="AF63" s="59">
        <f>ROUND(IF(AQ63="2",BH63,0),2)</f>
        <v>0</v>
      </c>
      <c r="AG63" s="59">
        <f>ROUND(IF(AQ63="2",BI63,0),2)</f>
        <v>0</v>
      </c>
      <c r="AH63" s="59">
        <f>ROUND(IF(AQ63="0",BJ63,0),2)</f>
        <v>0</v>
      </c>
      <c r="AI63" s="46" t="s">
        <v>107</v>
      </c>
      <c r="AJ63" s="59">
        <f>IF(AN63=0,I63,0)</f>
        <v>0</v>
      </c>
      <c r="AK63" s="59">
        <f>IF(AN63=12,I63,0)</f>
        <v>0</v>
      </c>
      <c r="AL63" s="59">
        <f>IF(AN63=21,I63,0)</f>
        <v>0</v>
      </c>
      <c r="AN63" s="59">
        <v>12</v>
      </c>
      <c r="AO63" s="59">
        <f>H63*0.178146593</f>
        <v>0</v>
      </c>
      <c r="AP63" s="59">
        <f>H63*(1-0.178146593)</f>
        <v>0</v>
      </c>
      <c r="AQ63" s="61" t="s">
        <v>150</v>
      </c>
      <c r="AV63" s="59">
        <f>ROUND(AW63+AX63,2)</f>
        <v>0</v>
      </c>
      <c r="AW63" s="59">
        <f>ROUND(G63*AO63,2)</f>
        <v>0</v>
      </c>
      <c r="AX63" s="59">
        <f>ROUND(G63*AP63,2)</f>
        <v>0</v>
      </c>
      <c r="AY63" s="61" t="s">
        <v>230</v>
      </c>
      <c r="AZ63" s="61" t="s">
        <v>231</v>
      </c>
      <c r="BA63" s="46" t="s">
        <v>118</v>
      </c>
      <c r="BC63" s="59">
        <f>AW63+AX63</f>
        <v>0</v>
      </c>
      <c r="BD63" s="59">
        <f>H63/(100-BE63)*100</f>
        <v>0</v>
      </c>
      <c r="BE63" s="59">
        <v>0</v>
      </c>
      <c r="BF63" s="59">
        <f>L63</f>
        <v>8.9232999999999999E-4</v>
      </c>
      <c r="BH63" s="59">
        <f>G63*AO63</f>
        <v>0</v>
      </c>
      <c r="BI63" s="59">
        <f>G63*AP63</f>
        <v>0</v>
      </c>
      <c r="BJ63" s="59">
        <f>G63*H63</f>
        <v>0</v>
      </c>
      <c r="BK63" s="59"/>
      <c r="BL63" s="59">
        <v>783</v>
      </c>
      <c r="BW63" s="59">
        <v>12</v>
      </c>
      <c r="BX63" s="16" t="s">
        <v>229</v>
      </c>
    </row>
    <row r="64" spans="1:76" x14ac:dyDescent="0.25">
      <c r="A64" s="62"/>
      <c r="D64" s="63" t="s">
        <v>233</v>
      </c>
      <c r="E64" s="63"/>
      <c r="G64" s="64">
        <v>3.077</v>
      </c>
      <c r="M64" s="65"/>
    </row>
    <row r="65" spans="1:76" ht="15" customHeight="1" x14ac:dyDescent="0.25">
      <c r="A65" s="58" t="s">
        <v>234</v>
      </c>
      <c r="B65" s="18" t="s">
        <v>107</v>
      </c>
      <c r="C65" s="18" t="s">
        <v>235</v>
      </c>
      <c r="D65" s="8" t="s">
        <v>236</v>
      </c>
      <c r="E65" s="8"/>
      <c r="F65" s="18" t="s">
        <v>114</v>
      </c>
      <c r="G65" s="59">
        <v>11.9</v>
      </c>
      <c r="H65" s="59">
        <v>0</v>
      </c>
      <c r="I65" s="59">
        <f>ROUND(G65*H65,2)</f>
        <v>0</v>
      </c>
      <c r="J65" s="59">
        <v>2.7E-4</v>
      </c>
      <c r="K65" s="59">
        <v>2.7E-4</v>
      </c>
      <c r="L65" s="59">
        <f>G65*K65</f>
        <v>3.2130000000000001E-3</v>
      </c>
      <c r="M65" s="60" t="s">
        <v>115</v>
      </c>
      <c r="Z65" s="59">
        <f>ROUND(IF(AQ65="5",BJ65,0),2)</f>
        <v>0</v>
      </c>
      <c r="AB65" s="59">
        <f>ROUND(IF(AQ65="1",BH65,0),2)</f>
        <v>0</v>
      </c>
      <c r="AC65" s="59">
        <f>ROUND(IF(AQ65="1",BI65,0),2)</f>
        <v>0</v>
      </c>
      <c r="AD65" s="59">
        <f>ROUND(IF(AQ65="7",BH65,0),2)</f>
        <v>0</v>
      </c>
      <c r="AE65" s="59">
        <f>ROUND(IF(AQ65="7",BI65,0),2)</f>
        <v>0</v>
      </c>
      <c r="AF65" s="59">
        <f>ROUND(IF(AQ65="2",BH65,0),2)</f>
        <v>0</v>
      </c>
      <c r="AG65" s="59">
        <f>ROUND(IF(AQ65="2",BI65,0),2)</f>
        <v>0</v>
      </c>
      <c r="AH65" s="59">
        <f>ROUND(IF(AQ65="0",BJ65,0),2)</f>
        <v>0</v>
      </c>
      <c r="AI65" s="46" t="s">
        <v>107</v>
      </c>
      <c r="AJ65" s="59">
        <f>IF(AN65=0,I65,0)</f>
        <v>0</v>
      </c>
      <c r="AK65" s="59">
        <f>IF(AN65=12,I65,0)</f>
        <v>0</v>
      </c>
      <c r="AL65" s="59">
        <f>IF(AN65=21,I65,0)</f>
        <v>0</v>
      </c>
      <c r="AN65" s="59">
        <v>12</v>
      </c>
      <c r="AO65" s="59">
        <f>H65*0.140415462</f>
        <v>0</v>
      </c>
      <c r="AP65" s="59">
        <f>H65*(1-0.140415462)</f>
        <v>0</v>
      </c>
      <c r="AQ65" s="61" t="s">
        <v>150</v>
      </c>
      <c r="AV65" s="59">
        <f>ROUND(AW65+AX65,2)</f>
        <v>0</v>
      </c>
      <c r="AW65" s="59">
        <f>ROUND(G65*AO65,2)</f>
        <v>0</v>
      </c>
      <c r="AX65" s="59">
        <f>ROUND(G65*AP65,2)</f>
        <v>0</v>
      </c>
      <c r="AY65" s="61" t="s">
        <v>230</v>
      </c>
      <c r="AZ65" s="61" t="s">
        <v>231</v>
      </c>
      <c r="BA65" s="46" t="s">
        <v>118</v>
      </c>
      <c r="BC65" s="59">
        <f>AW65+AX65</f>
        <v>0</v>
      </c>
      <c r="BD65" s="59">
        <f>H65/(100-BE65)*100</f>
        <v>0</v>
      </c>
      <c r="BE65" s="59">
        <v>0</v>
      </c>
      <c r="BF65" s="59">
        <f>L65</f>
        <v>3.2130000000000001E-3</v>
      </c>
      <c r="BH65" s="59">
        <f>G65*AO65</f>
        <v>0</v>
      </c>
      <c r="BI65" s="59">
        <f>G65*AP65</f>
        <v>0</v>
      </c>
      <c r="BJ65" s="59">
        <f>G65*H65</f>
        <v>0</v>
      </c>
      <c r="BK65" s="59"/>
      <c r="BL65" s="59">
        <v>783</v>
      </c>
      <c r="BW65" s="59">
        <v>12</v>
      </c>
      <c r="BX65" s="16" t="s">
        <v>236</v>
      </c>
    </row>
    <row r="66" spans="1:76" x14ac:dyDescent="0.25">
      <c r="A66" s="62"/>
      <c r="D66" s="63" t="s">
        <v>238</v>
      </c>
      <c r="E66" s="63"/>
      <c r="G66" s="64">
        <v>11.9</v>
      </c>
      <c r="M66" s="65"/>
    </row>
    <row r="67" spans="1:76" ht="15" customHeight="1" x14ac:dyDescent="0.25">
      <c r="A67" s="54"/>
      <c r="B67" s="55" t="s">
        <v>107</v>
      </c>
      <c r="C67" s="55" t="s">
        <v>239</v>
      </c>
      <c r="D67" s="104" t="s">
        <v>240</v>
      </c>
      <c r="E67" s="104"/>
      <c r="F67" s="56" t="s">
        <v>88</v>
      </c>
      <c r="G67" s="56" t="s">
        <v>88</v>
      </c>
      <c r="H67" s="56" t="s">
        <v>88</v>
      </c>
      <c r="I67" s="39">
        <f>SUM(I68:I73)</f>
        <v>0</v>
      </c>
      <c r="J67" s="46"/>
      <c r="K67" s="46"/>
      <c r="L67" s="39">
        <f>SUM(L68:L73)</f>
        <v>9.9647940000000004E-2</v>
      </c>
      <c r="M67" s="57"/>
      <c r="AI67" s="46" t="s">
        <v>107</v>
      </c>
      <c r="AS67" s="39">
        <f>SUM(AJ68:AJ73)</f>
        <v>0</v>
      </c>
      <c r="AT67" s="39">
        <f>SUM(AK68:AK73)</f>
        <v>0</v>
      </c>
      <c r="AU67" s="39">
        <f>SUM(AL68:AL73)</f>
        <v>0</v>
      </c>
    </row>
    <row r="68" spans="1:76" ht="15" customHeight="1" x14ac:dyDescent="0.25">
      <c r="A68" s="58" t="s">
        <v>241</v>
      </c>
      <c r="B68" s="18" t="s">
        <v>107</v>
      </c>
      <c r="C68" s="18" t="s">
        <v>242</v>
      </c>
      <c r="D68" s="8" t="s">
        <v>243</v>
      </c>
      <c r="E68" s="8"/>
      <c r="F68" s="18" t="s">
        <v>114</v>
      </c>
      <c r="G68" s="59">
        <v>222.67500000000001</v>
      </c>
      <c r="H68" s="59">
        <v>0</v>
      </c>
      <c r="I68" s="59">
        <f>ROUND(G68*H68,2)</f>
        <v>0</v>
      </c>
      <c r="J68" s="59">
        <v>3.5E-4</v>
      </c>
      <c r="K68" s="59">
        <v>3.5E-4</v>
      </c>
      <c r="L68" s="59">
        <f>G68*K68</f>
        <v>7.7936249999999999E-2</v>
      </c>
      <c r="M68" s="60" t="s">
        <v>115</v>
      </c>
      <c r="Z68" s="59">
        <f>ROUND(IF(AQ68="5",BJ68,0),2)</f>
        <v>0</v>
      </c>
      <c r="AB68" s="59">
        <f>ROUND(IF(AQ68="1",BH68,0),2)</f>
        <v>0</v>
      </c>
      <c r="AC68" s="59">
        <f>ROUND(IF(AQ68="1",BI68,0),2)</f>
        <v>0</v>
      </c>
      <c r="AD68" s="59">
        <f>ROUND(IF(AQ68="7",BH68,0),2)</f>
        <v>0</v>
      </c>
      <c r="AE68" s="59">
        <f>ROUND(IF(AQ68="7",BI68,0),2)</f>
        <v>0</v>
      </c>
      <c r="AF68" s="59">
        <f>ROUND(IF(AQ68="2",BH68,0),2)</f>
        <v>0</v>
      </c>
      <c r="AG68" s="59">
        <f>ROUND(IF(AQ68="2",BI68,0),2)</f>
        <v>0</v>
      </c>
      <c r="AH68" s="59">
        <f>ROUND(IF(AQ68="0",BJ68,0),2)</f>
        <v>0</v>
      </c>
      <c r="AI68" s="46" t="s">
        <v>107</v>
      </c>
      <c r="AJ68" s="59">
        <f>IF(AN68=0,I68,0)</f>
        <v>0</v>
      </c>
      <c r="AK68" s="59">
        <f>IF(AN68=12,I68,0)</f>
        <v>0</v>
      </c>
      <c r="AL68" s="59">
        <f>IF(AN68=21,I68,0)</f>
        <v>0</v>
      </c>
      <c r="AN68" s="59">
        <v>12</v>
      </c>
      <c r="AO68" s="59">
        <f>H68*0.57722441</f>
        <v>0</v>
      </c>
      <c r="AP68" s="59">
        <f>H68*(1-0.57722441)</f>
        <v>0</v>
      </c>
      <c r="AQ68" s="61" t="s">
        <v>150</v>
      </c>
      <c r="AV68" s="59">
        <f>ROUND(AW68+AX68,2)</f>
        <v>0</v>
      </c>
      <c r="AW68" s="59">
        <f>ROUND(G68*AO68,2)</f>
        <v>0</v>
      </c>
      <c r="AX68" s="59">
        <f>ROUND(G68*AP68,2)</f>
        <v>0</v>
      </c>
      <c r="AY68" s="61" t="s">
        <v>244</v>
      </c>
      <c r="AZ68" s="61" t="s">
        <v>231</v>
      </c>
      <c r="BA68" s="46" t="s">
        <v>118</v>
      </c>
      <c r="BC68" s="59">
        <f>AW68+AX68</f>
        <v>0</v>
      </c>
      <c r="BD68" s="59">
        <f>H68/(100-BE68)*100</f>
        <v>0</v>
      </c>
      <c r="BE68" s="59">
        <v>0</v>
      </c>
      <c r="BF68" s="59">
        <f>L68</f>
        <v>7.7936249999999999E-2</v>
      </c>
      <c r="BH68" s="59">
        <f>G68*AO68</f>
        <v>0</v>
      </c>
      <c r="BI68" s="59">
        <f>G68*AP68</f>
        <v>0</v>
      </c>
      <c r="BJ68" s="59">
        <f>G68*H68</f>
        <v>0</v>
      </c>
      <c r="BK68" s="59"/>
      <c r="BL68" s="59">
        <v>784</v>
      </c>
      <c r="BW68" s="59">
        <v>12</v>
      </c>
      <c r="BX68" s="16" t="s">
        <v>243</v>
      </c>
    </row>
    <row r="69" spans="1:76" x14ac:dyDescent="0.25">
      <c r="A69" s="62"/>
      <c r="D69" s="63" t="s">
        <v>246</v>
      </c>
      <c r="E69" s="63"/>
      <c r="G69" s="64">
        <v>137.322</v>
      </c>
      <c r="M69" s="65"/>
    </row>
    <row r="70" spans="1:76" x14ac:dyDescent="0.25">
      <c r="A70" s="62"/>
      <c r="D70" s="63" t="s">
        <v>247</v>
      </c>
      <c r="E70" s="63"/>
      <c r="G70" s="64">
        <v>85.352999999999994</v>
      </c>
      <c r="M70" s="65"/>
    </row>
    <row r="71" spans="1:76" ht="15" customHeight="1" x14ac:dyDescent="0.25">
      <c r="A71" s="58" t="s">
        <v>248</v>
      </c>
      <c r="B71" s="18" t="s">
        <v>107</v>
      </c>
      <c r="C71" s="18" t="s">
        <v>249</v>
      </c>
      <c r="D71" s="8" t="s">
        <v>250</v>
      </c>
      <c r="E71" s="8"/>
      <c r="F71" s="18" t="s">
        <v>114</v>
      </c>
      <c r="G71" s="59">
        <v>23.3</v>
      </c>
      <c r="H71" s="59">
        <v>0</v>
      </c>
      <c r="I71" s="59">
        <f>ROUND(G71*H71,2)</f>
        <v>0</v>
      </c>
      <c r="J71" s="59">
        <v>7.6999999999999996E-4</v>
      </c>
      <c r="K71" s="59">
        <v>7.6999999999999996E-4</v>
      </c>
      <c r="L71" s="59">
        <f>G71*K71</f>
        <v>1.7940999999999999E-2</v>
      </c>
      <c r="M71" s="60" t="s">
        <v>115</v>
      </c>
      <c r="Z71" s="59">
        <f>ROUND(IF(AQ71="5",BJ71,0),2)</f>
        <v>0</v>
      </c>
      <c r="AB71" s="59">
        <f>ROUND(IF(AQ71="1",BH71,0),2)</f>
        <v>0</v>
      </c>
      <c r="AC71" s="59">
        <f>ROUND(IF(AQ71="1",BI71,0),2)</f>
        <v>0</v>
      </c>
      <c r="AD71" s="59">
        <f>ROUND(IF(AQ71="7",BH71,0),2)</f>
        <v>0</v>
      </c>
      <c r="AE71" s="59">
        <f>ROUND(IF(AQ71="7",BI71,0),2)</f>
        <v>0</v>
      </c>
      <c r="AF71" s="59">
        <f>ROUND(IF(AQ71="2",BH71,0),2)</f>
        <v>0</v>
      </c>
      <c r="AG71" s="59">
        <f>ROUND(IF(AQ71="2",BI71,0),2)</f>
        <v>0</v>
      </c>
      <c r="AH71" s="59">
        <f>ROUND(IF(AQ71="0",BJ71,0),2)</f>
        <v>0</v>
      </c>
      <c r="AI71" s="46" t="s">
        <v>107</v>
      </c>
      <c r="AJ71" s="59">
        <f>IF(AN71=0,I71,0)</f>
        <v>0</v>
      </c>
      <c r="AK71" s="59">
        <f>IF(AN71=12,I71,0)</f>
        <v>0</v>
      </c>
      <c r="AL71" s="59">
        <f>IF(AN71=21,I71,0)</f>
        <v>0</v>
      </c>
      <c r="AN71" s="59">
        <v>12</v>
      </c>
      <c r="AO71" s="59">
        <f>H71*0.24888957</f>
        <v>0</v>
      </c>
      <c r="AP71" s="59">
        <f>H71*(1-0.24888957)</f>
        <v>0</v>
      </c>
      <c r="AQ71" s="61" t="s">
        <v>150</v>
      </c>
      <c r="AV71" s="59">
        <f>ROUND(AW71+AX71,2)</f>
        <v>0</v>
      </c>
      <c r="AW71" s="59">
        <f>ROUND(G71*AO71,2)</f>
        <v>0</v>
      </c>
      <c r="AX71" s="59">
        <f>ROUND(G71*AP71,2)</f>
        <v>0</v>
      </c>
      <c r="AY71" s="61" t="s">
        <v>244</v>
      </c>
      <c r="AZ71" s="61" t="s">
        <v>231</v>
      </c>
      <c r="BA71" s="46" t="s">
        <v>118</v>
      </c>
      <c r="BC71" s="59">
        <f>AW71+AX71</f>
        <v>0</v>
      </c>
      <c r="BD71" s="59">
        <f>H71/(100-BE71)*100</f>
        <v>0</v>
      </c>
      <c r="BE71" s="59">
        <v>0</v>
      </c>
      <c r="BF71" s="59">
        <f>L71</f>
        <v>1.7940999999999999E-2</v>
      </c>
      <c r="BH71" s="59">
        <f>G71*AO71</f>
        <v>0</v>
      </c>
      <c r="BI71" s="59">
        <f>G71*AP71</f>
        <v>0</v>
      </c>
      <c r="BJ71" s="59">
        <f>G71*H71</f>
        <v>0</v>
      </c>
      <c r="BK71" s="59"/>
      <c r="BL71" s="59">
        <v>784</v>
      </c>
      <c r="BW71" s="59">
        <v>12</v>
      </c>
      <c r="BX71" s="16" t="s">
        <v>250</v>
      </c>
    </row>
    <row r="72" spans="1:76" x14ac:dyDescent="0.25">
      <c r="A72" s="62"/>
      <c r="D72" s="63" t="s">
        <v>252</v>
      </c>
      <c r="E72" s="63"/>
      <c r="G72" s="64">
        <v>23.3</v>
      </c>
      <c r="M72" s="65"/>
    </row>
    <row r="73" spans="1:76" ht="15" customHeight="1" x14ac:dyDescent="0.25">
      <c r="A73" s="58" t="s">
        <v>253</v>
      </c>
      <c r="B73" s="18" t="s">
        <v>107</v>
      </c>
      <c r="C73" s="18" t="s">
        <v>254</v>
      </c>
      <c r="D73" s="8" t="s">
        <v>255</v>
      </c>
      <c r="E73" s="8"/>
      <c r="F73" s="18" t="s">
        <v>114</v>
      </c>
      <c r="G73" s="59">
        <v>377.06900000000002</v>
      </c>
      <c r="H73" s="59">
        <v>0</v>
      </c>
      <c r="I73" s="59">
        <f>ROUND(G73*H73,2)</f>
        <v>0</v>
      </c>
      <c r="J73" s="59">
        <v>1.0000000000000001E-5</v>
      </c>
      <c r="K73" s="59">
        <v>1.0000000000000001E-5</v>
      </c>
      <c r="L73" s="59">
        <f>G73*K73</f>
        <v>3.7706900000000006E-3</v>
      </c>
      <c r="M73" s="60" t="s">
        <v>115</v>
      </c>
      <c r="Z73" s="59">
        <f>ROUND(IF(AQ73="5",BJ73,0),2)</f>
        <v>0</v>
      </c>
      <c r="AB73" s="59">
        <f>ROUND(IF(AQ73="1",BH73,0),2)</f>
        <v>0</v>
      </c>
      <c r="AC73" s="59">
        <f>ROUND(IF(AQ73="1",BI73,0),2)</f>
        <v>0</v>
      </c>
      <c r="AD73" s="59">
        <f>ROUND(IF(AQ73="7",BH73,0),2)</f>
        <v>0</v>
      </c>
      <c r="AE73" s="59">
        <f>ROUND(IF(AQ73="7",BI73,0),2)</f>
        <v>0</v>
      </c>
      <c r="AF73" s="59">
        <f>ROUND(IF(AQ73="2",BH73,0),2)</f>
        <v>0</v>
      </c>
      <c r="AG73" s="59">
        <f>ROUND(IF(AQ73="2",BI73,0),2)</f>
        <v>0</v>
      </c>
      <c r="AH73" s="59">
        <f>ROUND(IF(AQ73="0",BJ73,0),2)</f>
        <v>0</v>
      </c>
      <c r="AI73" s="46" t="s">
        <v>107</v>
      </c>
      <c r="AJ73" s="59">
        <f>IF(AN73=0,I73,0)</f>
        <v>0</v>
      </c>
      <c r="AK73" s="59">
        <f>IF(AN73=12,I73,0)</f>
        <v>0</v>
      </c>
      <c r="AL73" s="59">
        <f>IF(AN73=21,I73,0)</f>
        <v>0</v>
      </c>
      <c r="AN73" s="59">
        <v>12</v>
      </c>
      <c r="AO73" s="59">
        <f>H73*0.236832607</f>
        <v>0</v>
      </c>
      <c r="AP73" s="59">
        <f>H73*(1-0.236832607)</f>
        <v>0</v>
      </c>
      <c r="AQ73" s="61" t="s">
        <v>150</v>
      </c>
      <c r="AV73" s="59">
        <f>ROUND(AW73+AX73,2)</f>
        <v>0</v>
      </c>
      <c r="AW73" s="59">
        <f>ROUND(G73*AO73,2)</f>
        <v>0</v>
      </c>
      <c r="AX73" s="59">
        <f>ROUND(G73*AP73,2)</f>
        <v>0</v>
      </c>
      <c r="AY73" s="61" t="s">
        <v>244</v>
      </c>
      <c r="AZ73" s="61" t="s">
        <v>231</v>
      </c>
      <c r="BA73" s="46" t="s">
        <v>118</v>
      </c>
      <c r="BC73" s="59">
        <f>AW73+AX73</f>
        <v>0</v>
      </c>
      <c r="BD73" s="59">
        <f>H73/(100-BE73)*100</f>
        <v>0</v>
      </c>
      <c r="BE73" s="59">
        <v>0</v>
      </c>
      <c r="BF73" s="59">
        <f>L73</f>
        <v>3.7706900000000006E-3</v>
      </c>
      <c r="BH73" s="59">
        <f>G73*AO73</f>
        <v>0</v>
      </c>
      <c r="BI73" s="59">
        <f>G73*AP73</f>
        <v>0</v>
      </c>
      <c r="BJ73" s="59">
        <f>G73*H73</f>
        <v>0</v>
      </c>
      <c r="BK73" s="59"/>
      <c r="BL73" s="59">
        <v>784</v>
      </c>
      <c r="BW73" s="59">
        <v>12</v>
      </c>
      <c r="BX73" s="16" t="s">
        <v>255</v>
      </c>
    </row>
    <row r="74" spans="1:76" x14ac:dyDescent="0.25">
      <c r="A74" s="62"/>
      <c r="D74" s="63" t="s">
        <v>257</v>
      </c>
      <c r="E74" s="63"/>
      <c r="G74" s="64">
        <v>274.64499999999998</v>
      </c>
      <c r="M74" s="65"/>
    </row>
    <row r="75" spans="1:76" x14ac:dyDescent="0.25">
      <c r="A75" s="62"/>
      <c r="D75" s="63" t="s">
        <v>258</v>
      </c>
      <c r="E75" s="63"/>
      <c r="G75" s="64">
        <v>102.42400000000001</v>
      </c>
      <c r="M75" s="65"/>
    </row>
    <row r="76" spans="1:76" ht="15" customHeight="1" x14ac:dyDescent="0.25">
      <c r="A76" s="54"/>
      <c r="B76" s="55" t="s">
        <v>107</v>
      </c>
      <c r="C76" s="55" t="s">
        <v>259</v>
      </c>
      <c r="D76" s="104" t="s">
        <v>260</v>
      </c>
      <c r="E76" s="104"/>
      <c r="F76" s="56" t="s">
        <v>88</v>
      </c>
      <c r="G76" s="56" t="s">
        <v>88</v>
      </c>
      <c r="H76" s="56" t="s">
        <v>88</v>
      </c>
      <c r="I76" s="39">
        <f>SUM(I77)</f>
        <v>0</v>
      </c>
      <c r="J76" s="46"/>
      <c r="K76" s="46"/>
      <c r="L76" s="39">
        <f>SUM(L77)</f>
        <v>0.1502406</v>
      </c>
      <c r="M76" s="57"/>
      <c r="AI76" s="46" t="s">
        <v>107</v>
      </c>
      <c r="AS76" s="39">
        <f>SUM(AJ77)</f>
        <v>0</v>
      </c>
      <c r="AT76" s="39">
        <f>SUM(AK77)</f>
        <v>0</v>
      </c>
      <c r="AU76" s="39">
        <f>SUM(AL77)</f>
        <v>0</v>
      </c>
    </row>
    <row r="77" spans="1:76" ht="15" customHeight="1" x14ac:dyDescent="0.25">
      <c r="A77" s="58" t="s">
        <v>261</v>
      </c>
      <c r="B77" s="18" t="s">
        <v>107</v>
      </c>
      <c r="C77" s="18" t="s">
        <v>262</v>
      </c>
      <c r="D77" s="8" t="s">
        <v>263</v>
      </c>
      <c r="E77" s="8"/>
      <c r="F77" s="18" t="s">
        <v>114</v>
      </c>
      <c r="G77" s="59">
        <v>39.33</v>
      </c>
      <c r="H77" s="59">
        <v>0</v>
      </c>
      <c r="I77" s="59">
        <f>ROUND(G77*H77,2)</f>
        <v>0</v>
      </c>
      <c r="J77" s="59">
        <v>3.82E-3</v>
      </c>
      <c r="K77" s="59">
        <v>3.82E-3</v>
      </c>
      <c r="L77" s="59">
        <f>G77*K77</f>
        <v>0.1502406</v>
      </c>
      <c r="M77" s="60" t="s">
        <v>115</v>
      </c>
      <c r="Z77" s="59">
        <f>ROUND(IF(AQ77="5",BJ77,0),2)</f>
        <v>0</v>
      </c>
      <c r="AB77" s="59">
        <f>ROUND(IF(AQ77="1",BH77,0),2)</f>
        <v>0</v>
      </c>
      <c r="AC77" s="59">
        <f>ROUND(IF(AQ77="1",BI77,0),2)</f>
        <v>0</v>
      </c>
      <c r="AD77" s="59">
        <f>ROUND(IF(AQ77="7",BH77,0),2)</f>
        <v>0</v>
      </c>
      <c r="AE77" s="59">
        <f>ROUND(IF(AQ77="7",BI77,0),2)</f>
        <v>0</v>
      </c>
      <c r="AF77" s="59">
        <f>ROUND(IF(AQ77="2",BH77,0),2)</f>
        <v>0</v>
      </c>
      <c r="AG77" s="59">
        <f>ROUND(IF(AQ77="2",BI77,0),2)</f>
        <v>0</v>
      </c>
      <c r="AH77" s="59">
        <f>ROUND(IF(AQ77="0",BJ77,0),2)</f>
        <v>0</v>
      </c>
      <c r="AI77" s="46" t="s">
        <v>107</v>
      </c>
      <c r="AJ77" s="59">
        <f>IF(AN77=0,I77,0)</f>
        <v>0</v>
      </c>
      <c r="AK77" s="59">
        <f>IF(AN77=12,I77,0)</f>
        <v>0</v>
      </c>
      <c r="AL77" s="59">
        <f>IF(AN77=21,I77,0)</f>
        <v>0</v>
      </c>
      <c r="AN77" s="59">
        <v>12</v>
      </c>
      <c r="AO77" s="59">
        <f>H77*0.657241468</f>
        <v>0</v>
      </c>
      <c r="AP77" s="59">
        <f>H77*(1-0.657241468)</f>
        <v>0</v>
      </c>
      <c r="AQ77" s="61" t="s">
        <v>150</v>
      </c>
      <c r="AV77" s="59">
        <f>ROUND(AW77+AX77,2)</f>
        <v>0</v>
      </c>
      <c r="AW77" s="59">
        <f>ROUND(G77*AO77,2)</f>
        <v>0</v>
      </c>
      <c r="AX77" s="59">
        <f>ROUND(G77*AP77,2)</f>
        <v>0</v>
      </c>
      <c r="AY77" s="61" t="s">
        <v>264</v>
      </c>
      <c r="AZ77" s="61" t="s">
        <v>231</v>
      </c>
      <c r="BA77" s="46" t="s">
        <v>118</v>
      </c>
      <c r="BC77" s="59">
        <f>AW77+AX77</f>
        <v>0</v>
      </c>
      <c r="BD77" s="59">
        <f>H77/(100-BE77)*100</f>
        <v>0</v>
      </c>
      <c r="BE77" s="59">
        <v>0</v>
      </c>
      <c r="BF77" s="59">
        <f>L77</f>
        <v>0.1502406</v>
      </c>
      <c r="BH77" s="59">
        <f>G77*AO77</f>
        <v>0</v>
      </c>
      <c r="BI77" s="59">
        <f>G77*AP77</f>
        <v>0</v>
      </c>
      <c r="BJ77" s="59">
        <f>G77*H77</f>
        <v>0</v>
      </c>
      <c r="BK77" s="59"/>
      <c r="BL77" s="59">
        <v>786</v>
      </c>
      <c r="BW77" s="59">
        <v>12</v>
      </c>
      <c r="BX77" s="16" t="s">
        <v>263</v>
      </c>
    </row>
    <row r="78" spans="1:76" x14ac:dyDescent="0.25">
      <c r="A78" s="62"/>
      <c r="D78" s="63" t="s">
        <v>266</v>
      </c>
      <c r="E78" s="63"/>
      <c r="G78" s="64">
        <v>39.33</v>
      </c>
      <c r="M78" s="65"/>
    </row>
    <row r="79" spans="1:76" ht="15" customHeight="1" x14ac:dyDescent="0.25">
      <c r="A79" s="54"/>
      <c r="B79" s="55" t="s">
        <v>107</v>
      </c>
      <c r="C79" s="55" t="s">
        <v>267</v>
      </c>
      <c r="D79" s="104" t="s">
        <v>268</v>
      </c>
      <c r="E79" s="104"/>
      <c r="F79" s="56" t="s">
        <v>88</v>
      </c>
      <c r="G79" s="56" t="s">
        <v>88</v>
      </c>
      <c r="H79" s="56" t="s">
        <v>88</v>
      </c>
      <c r="I79" s="39">
        <f>SUM(I80)</f>
        <v>0</v>
      </c>
      <c r="J79" s="46"/>
      <c r="K79" s="46"/>
      <c r="L79" s="39">
        <f>SUM(L80)</f>
        <v>0</v>
      </c>
      <c r="M79" s="57"/>
      <c r="AI79" s="46" t="s">
        <v>107</v>
      </c>
      <c r="AS79" s="39">
        <f>SUM(AJ80)</f>
        <v>0</v>
      </c>
      <c r="AT79" s="39">
        <f>SUM(AK80)</f>
        <v>0</v>
      </c>
      <c r="AU79" s="39">
        <f>SUM(AL80)</f>
        <v>0</v>
      </c>
    </row>
    <row r="80" spans="1:76" ht="15" customHeight="1" x14ac:dyDescent="0.25">
      <c r="A80" s="58" t="s">
        <v>269</v>
      </c>
      <c r="B80" s="18" t="s">
        <v>107</v>
      </c>
      <c r="C80" s="18" t="s">
        <v>270</v>
      </c>
      <c r="D80" s="8" t="s">
        <v>271</v>
      </c>
      <c r="E80" s="8"/>
      <c r="F80" s="18" t="s">
        <v>272</v>
      </c>
      <c r="G80" s="59">
        <v>30</v>
      </c>
      <c r="H80" s="59">
        <v>0</v>
      </c>
      <c r="I80" s="59">
        <f>ROUND(G80*H80,2)</f>
        <v>0</v>
      </c>
      <c r="J80" s="59">
        <v>0</v>
      </c>
      <c r="K80" s="59">
        <v>0</v>
      </c>
      <c r="L80" s="59">
        <f>G80*K80</f>
        <v>0</v>
      </c>
      <c r="M80" s="60" t="s">
        <v>115</v>
      </c>
      <c r="Z80" s="59">
        <f>ROUND(IF(AQ80="5",BJ80,0),2)</f>
        <v>0</v>
      </c>
      <c r="AB80" s="59">
        <f>ROUND(IF(AQ80="1",BH80,0),2)</f>
        <v>0</v>
      </c>
      <c r="AC80" s="59">
        <f>ROUND(IF(AQ80="1",BI80,0),2)</f>
        <v>0</v>
      </c>
      <c r="AD80" s="59">
        <f>ROUND(IF(AQ80="7",BH80,0),2)</f>
        <v>0</v>
      </c>
      <c r="AE80" s="59">
        <f>ROUND(IF(AQ80="7",BI80,0),2)</f>
        <v>0</v>
      </c>
      <c r="AF80" s="59">
        <f>ROUND(IF(AQ80="2",BH80,0),2)</f>
        <v>0</v>
      </c>
      <c r="AG80" s="59">
        <f>ROUND(IF(AQ80="2",BI80,0),2)</f>
        <v>0</v>
      </c>
      <c r="AH80" s="59">
        <f>ROUND(IF(AQ80="0",BJ80,0),2)</f>
        <v>0</v>
      </c>
      <c r="AI80" s="46" t="s">
        <v>107</v>
      </c>
      <c r="AJ80" s="59">
        <f>IF(AN80=0,I80,0)</f>
        <v>0</v>
      </c>
      <c r="AK80" s="59">
        <f>IF(AN80=12,I80,0)</f>
        <v>0</v>
      </c>
      <c r="AL80" s="59">
        <f>IF(AN80=21,I80,0)</f>
        <v>0</v>
      </c>
      <c r="AN80" s="59">
        <v>12</v>
      </c>
      <c r="AO80" s="59">
        <f>H80*0</f>
        <v>0</v>
      </c>
      <c r="AP80" s="59">
        <f>H80*(1-0)</f>
        <v>0</v>
      </c>
      <c r="AQ80" s="61" t="s">
        <v>111</v>
      </c>
      <c r="AV80" s="59">
        <f>ROUND(AW80+AX80,2)</f>
        <v>0</v>
      </c>
      <c r="AW80" s="59">
        <f>ROUND(G80*AO80,2)</f>
        <v>0</v>
      </c>
      <c r="AX80" s="59">
        <f>ROUND(G80*AP80,2)</f>
        <v>0</v>
      </c>
      <c r="AY80" s="61" t="s">
        <v>273</v>
      </c>
      <c r="AZ80" s="61" t="s">
        <v>274</v>
      </c>
      <c r="BA80" s="46" t="s">
        <v>118</v>
      </c>
      <c r="BC80" s="59">
        <f>AW80+AX80</f>
        <v>0</v>
      </c>
      <c r="BD80" s="59">
        <f>H80/(100-BE80)*100</f>
        <v>0</v>
      </c>
      <c r="BE80" s="59">
        <v>0</v>
      </c>
      <c r="BF80" s="59">
        <f>L80</f>
        <v>0</v>
      </c>
      <c r="BH80" s="59">
        <f>G80*AO80</f>
        <v>0</v>
      </c>
      <c r="BI80" s="59">
        <f>G80*AP80</f>
        <v>0</v>
      </c>
      <c r="BJ80" s="59">
        <f>G80*H80</f>
        <v>0</v>
      </c>
      <c r="BK80" s="59"/>
      <c r="BL80" s="59">
        <v>90</v>
      </c>
      <c r="BW80" s="59">
        <v>12</v>
      </c>
      <c r="BX80" s="16" t="s">
        <v>271</v>
      </c>
    </row>
    <row r="81" spans="1:76" x14ac:dyDescent="0.25">
      <c r="A81" s="62"/>
      <c r="D81" s="63" t="s">
        <v>276</v>
      </c>
      <c r="E81" s="63"/>
      <c r="G81" s="64">
        <v>30</v>
      </c>
      <c r="M81" s="65"/>
    </row>
    <row r="82" spans="1:76" ht="15" customHeight="1" x14ac:dyDescent="0.25">
      <c r="A82" s="54"/>
      <c r="B82" s="55" t="s">
        <v>107</v>
      </c>
      <c r="C82" s="55" t="s">
        <v>277</v>
      </c>
      <c r="D82" s="104" t="s">
        <v>278</v>
      </c>
      <c r="E82" s="104"/>
      <c r="F82" s="56" t="s">
        <v>88</v>
      </c>
      <c r="G82" s="56" t="s">
        <v>88</v>
      </c>
      <c r="H82" s="56" t="s">
        <v>88</v>
      </c>
      <c r="I82" s="39">
        <f>SUM(I83)</f>
        <v>0</v>
      </c>
      <c r="J82" s="46"/>
      <c r="K82" s="46"/>
      <c r="L82" s="39">
        <f>SUM(L83)</f>
        <v>0.1089</v>
      </c>
      <c r="M82" s="57"/>
      <c r="AI82" s="46" t="s">
        <v>107</v>
      </c>
      <c r="AS82" s="39">
        <f>SUM(AJ83)</f>
        <v>0</v>
      </c>
      <c r="AT82" s="39">
        <f>SUM(AK83)</f>
        <v>0</v>
      </c>
      <c r="AU82" s="39">
        <f>SUM(AL83)</f>
        <v>0</v>
      </c>
    </row>
    <row r="83" spans="1:76" ht="15" customHeight="1" x14ac:dyDescent="0.25">
      <c r="A83" s="58" t="s">
        <v>279</v>
      </c>
      <c r="B83" s="18" t="s">
        <v>107</v>
      </c>
      <c r="C83" s="18" t="s">
        <v>280</v>
      </c>
      <c r="D83" s="8" t="s">
        <v>281</v>
      </c>
      <c r="E83" s="8"/>
      <c r="F83" s="18" t="s">
        <v>114</v>
      </c>
      <c r="G83" s="59">
        <v>90</v>
      </c>
      <c r="H83" s="59">
        <v>0</v>
      </c>
      <c r="I83" s="59">
        <f>ROUND(G83*H83,2)</f>
        <v>0</v>
      </c>
      <c r="J83" s="59">
        <v>1.2099999999999999E-3</v>
      </c>
      <c r="K83" s="59">
        <v>1.2099999999999999E-3</v>
      </c>
      <c r="L83" s="59">
        <f>G83*K83</f>
        <v>0.1089</v>
      </c>
      <c r="M83" s="60" t="s">
        <v>115</v>
      </c>
      <c r="Z83" s="59">
        <f>ROUND(IF(AQ83="5",BJ83,0),2)</f>
        <v>0</v>
      </c>
      <c r="AB83" s="59">
        <f>ROUND(IF(AQ83="1",BH83,0),2)</f>
        <v>0</v>
      </c>
      <c r="AC83" s="59">
        <f>ROUND(IF(AQ83="1",BI83,0),2)</f>
        <v>0</v>
      </c>
      <c r="AD83" s="59">
        <f>ROUND(IF(AQ83="7",BH83,0),2)</f>
        <v>0</v>
      </c>
      <c r="AE83" s="59">
        <f>ROUND(IF(AQ83="7",BI83,0),2)</f>
        <v>0</v>
      </c>
      <c r="AF83" s="59">
        <f>ROUND(IF(AQ83="2",BH83,0),2)</f>
        <v>0</v>
      </c>
      <c r="AG83" s="59">
        <f>ROUND(IF(AQ83="2",BI83,0),2)</f>
        <v>0</v>
      </c>
      <c r="AH83" s="59">
        <f>ROUND(IF(AQ83="0",BJ83,0),2)</f>
        <v>0</v>
      </c>
      <c r="AI83" s="46" t="s">
        <v>107</v>
      </c>
      <c r="AJ83" s="59">
        <f>IF(AN83=0,I83,0)</f>
        <v>0</v>
      </c>
      <c r="AK83" s="59">
        <f>IF(AN83=12,I83,0)</f>
        <v>0</v>
      </c>
      <c r="AL83" s="59">
        <f>IF(AN83=21,I83,0)</f>
        <v>0</v>
      </c>
      <c r="AN83" s="59">
        <v>12</v>
      </c>
      <c r="AO83" s="59">
        <f>H83*0.309860944</f>
        <v>0</v>
      </c>
      <c r="AP83" s="59">
        <f>H83*(1-0.309860944)</f>
        <v>0</v>
      </c>
      <c r="AQ83" s="61" t="s">
        <v>111</v>
      </c>
      <c r="AV83" s="59">
        <f>ROUND(AW83+AX83,2)</f>
        <v>0</v>
      </c>
      <c r="AW83" s="59">
        <f>ROUND(G83*AO83,2)</f>
        <v>0</v>
      </c>
      <c r="AX83" s="59">
        <f>ROUND(G83*AP83,2)</f>
        <v>0</v>
      </c>
      <c r="AY83" s="61" t="s">
        <v>282</v>
      </c>
      <c r="AZ83" s="61" t="s">
        <v>274</v>
      </c>
      <c r="BA83" s="46" t="s">
        <v>118</v>
      </c>
      <c r="BC83" s="59">
        <f>AW83+AX83</f>
        <v>0</v>
      </c>
      <c r="BD83" s="59">
        <f>H83/(100-BE83)*100</f>
        <v>0</v>
      </c>
      <c r="BE83" s="59">
        <v>0</v>
      </c>
      <c r="BF83" s="59">
        <f>L83</f>
        <v>0.1089</v>
      </c>
      <c r="BH83" s="59">
        <f>G83*AO83</f>
        <v>0</v>
      </c>
      <c r="BI83" s="59">
        <f>G83*AP83</f>
        <v>0</v>
      </c>
      <c r="BJ83" s="59">
        <f>G83*H83</f>
        <v>0</v>
      </c>
      <c r="BK83" s="59"/>
      <c r="BL83" s="59">
        <v>94</v>
      </c>
      <c r="BW83" s="59">
        <v>12</v>
      </c>
      <c r="BX83" s="16" t="s">
        <v>281</v>
      </c>
    </row>
    <row r="84" spans="1:76" x14ac:dyDescent="0.25">
      <c r="A84" s="62"/>
      <c r="D84" s="63" t="s">
        <v>283</v>
      </c>
      <c r="E84" s="63"/>
      <c r="G84" s="64">
        <v>90</v>
      </c>
      <c r="M84" s="65"/>
    </row>
    <row r="85" spans="1:76" ht="15" customHeight="1" x14ac:dyDescent="0.25">
      <c r="A85" s="54"/>
      <c r="B85" s="55" t="s">
        <v>107</v>
      </c>
      <c r="C85" s="55" t="s">
        <v>284</v>
      </c>
      <c r="D85" s="104" t="s">
        <v>285</v>
      </c>
      <c r="E85" s="104"/>
      <c r="F85" s="56" t="s">
        <v>88</v>
      </c>
      <c r="G85" s="56" t="s">
        <v>88</v>
      </c>
      <c r="H85" s="56" t="s">
        <v>88</v>
      </c>
      <c r="I85" s="39">
        <f>SUM(I86)</f>
        <v>0</v>
      </c>
      <c r="J85" s="46"/>
      <c r="K85" s="46"/>
      <c r="L85" s="39">
        <f>SUM(L86)</f>
        <v>8.9070000000000017E-3</v>
      </c>
      <c r="M85" s="57"/>
      <c r="AI85" s="46" t="s">
        <v>107</v>
      </c>
      <c r="AS85" s="39">
        <f>SUM(AJ86)</f>
        <v>0</v>
      </c>
      <c r="AT85" s="39">
        <f>SUM(AK86)</f>
        <v>0</v>
      </c>
      <c r="AU85" s="39">
        <f>SUM(AL86)</f>
        <v>0</v>
      </c>
    </row>
    <row r="86" spans="1:76" ht="15" customHeight="1" x14ac:dyDescent="0.25">
      <c r="A86" s="58" t="s">
        <v>286</v>
      </c>
      <c r="B86" s="18" t="s">
        <v>107</v>
      </c>
      <c r="C86" s="18" t="s">
        <v>287</v>
      </c>
      <c r="D86" s="8" t="s">
        <v>288</v>
      </c>
      <c r="E86" s="8"/>
      <c r="F86" s="18" t="s">
        <v>114</v>
      </c>
      <c r="G86" s="59">
        <v>222.67500000000001</v>
      </c>
      <c r="H86" s="59">
        <v>0</v>
      </c>
      <c r="I86" s="59">
        <f>ROUND(G86*H86,2)</f>
        <v>0</v>
      </c>
      <c r="J86" s="59">
        <v>4.0000000000000003E-5</v>
      </c>
      <c r="K86" s="59">
        <v>4.0000000000000003E-5</v>
      </c>
      <c r="L86" s="59">
        <f>G86*K86</f>
        <v>8.9070000000000017E-3</v>
      </c>
      <c r="M86" s="60" t="s">
        <v>115</v>
      </c>
      <c r="Z86" s="59">
        <f>ROUND(IF(AQ86="5",BJ86,0),2)</f>
        <v>0</v>
      </c>
      <c r="AB86" s="59">
        <f>ROUND(IF(AQ86="1",BH86,0),2)</f>
        <v>0</v>
      </c>
      <c r="AC86" s="59">
        <f>ROUND(IF(AQ86="1",BI86,0),2)</f>
        <v>0</v>
      </c>
      <c r="AD86" s="59">
        <f>ROUND(IF(AQ86="7",BH86,0),2)</f>
        <v>0</v>
      </c>
      <c r="AE86" s="59">
        <f>ROUND(IF(AQ86="7",BI86,0),2)</f>
        <v>0</v>
      </c>
      <c r="AF86" s="59">
        <f>ROUND(IF(AQ86="2",BH86,0),2)</f>
        <v>0</v>
      </c>
      <c r="AG86" s="59">
        <f>ROUND(IF(AQ86="2",BI86,0),2)</f>
        <v>0</v>
      </c>
      <c r="AH86" s="59">
        <f>ROUND(IF(AQ86="0",BJ86,0),2)</f>
        <v>0</v>
      </c>
      <c r="AI86" s="46" t="s">
        <v>107</v>
      </c>
      <c r="AJ86" s="59">
        <f>IF(AN86=0,I86,0)</f>
        <v>0</v>
      </c>
      <c r="AK86" s="59">
        <f>IF(AN86=12,I86,0)</f>
        <v>0</v>
      </c>
      <c r="AL86" s="59">
        <f>IF(AN86=21,I86,0)</f>
        <v>0</v>
      </c>
      <c r="AN86" s="59">
        <v>12</v>
      </c>
      <c r="AO86" s="59">
        <f>H86*0.012649612</f>
        <v>0</v>
      </c>
      <c r="AP86" s="59">
        <f>H86*(1-0.012649612)</f>
        <v>0</v>
      </c>
      <c r="AQ86" s="61" t="s">
        <v>111</v>
      </c>
      <c r="AV86" s="59">
        <f>ROUND(AW86+AX86,2)</f>
        <v>0</v>
      </c>
      <c r="AW86" s="59">
        <f>ROUND(G86*AO86,2)</f>
        <v>0</v>
      </c>
      <c r="AX86" s="59">
        <f>ROUND(G86*AP86,2)</f>
        <v>0</v>
      </c>
      <c r="AY86" s="61" t="s">
        <v>289</v>
      </c>
      <c r="AZ86" s="61" t="s">
        <v>274</v>
      </c>
      <c r="BA86" s="46" t="s">
        <v>118</v>
      </c>
      <c r="BC86" s="59">
        <f>AW86+AX86</f>
        <v>0</v>
      </c>
      <c r="BD86" s="59">
        <f>H86/(100-BE86)*100</f>
        <v>0</v>
      </c>
      <c r="BE86" s="59">
        <v>0</v>
      </c>
      <c r="BF86" s="59">
        <f>L86</f>
        <v>8.9070000000000017E-3</v>
      </c>
      <c r="BH86" s="59">
        <f>G86*AO86</f>
        <v>0</v>
      </c>
      <c r="BI86" s="59">
        <f>G86*AP86</f>
        <v>0</v>
      </c>
      <c r="BJ86" s="59">
        <f>G86*H86</f>
        <v>0</v>
      </c>
      <c r="BK86" s="59"/>
      <c r="BL86" s="59">
        <v>95</v>
      </c>
      <c r="BW86" s="59">
        <v>12</v>
      </c>
      <c r="BX86" s="16" t="s">
        <v>288</v>
      </c>
    </row>
    <row r="87" spans="1:76" x14ac:dyDescent="0.25">
      <c r="A87" s="62"/>
      <c r="D87" s="63" t="s">
        <v>246</v>
      </c>
      <c r="E87" s="63"/>
      <c r="G87" s="64">
        <v>137.322</v>
      </c>
      <c r="M87" s="65"/>
    </row>
    <row r="88" spans="1:76" x14ac:dyDescent="0.25">
      <c r="A88" s="62"/>
      <c r="D88" s="63" t="s">
        <v>247</v>
      </c>
      <c r="E88" s="63"/>
      <c r="G88" s="64">
        <v>85.352999999999994</v>
      </c>
      <c r="M88" s="65"/>
    </row>
    <row r="89" spans="1:76" ht="15" customHeight="1" x14ac:dyDescent="0.25">
      <c r="A89" s="54"/>
      <c r="B89" s="55" t="s">
        <v>107</v>
      </c>
      <c r="C89" s="55" t="s">
        <v>290</v>
      </c>
      <c r="D89" s="104" t="s">
        <v>291</v>
      </c>
      <c r="E89" s="104"/>
      <c r="F89" s="56" t="s">
        <v>88</v>
      </c>
      <c r="G89" s="56" t="s">
        <v>88</v>
      </c>
      <c r="H89" s="56" t="s">
        <v>88</v>
      </c>
      <c r="I89" s="39">
        <f>SUM(I90:I98)</f>
        <v>0</v>
      </c>
      <c r="J89" s="46"/>
      <c r="K89" s="46"/>
      <c r="L89" s="39">
        <f>SUM(L90:L98)</f>
        <v>2.32362</v>
      </c>
      <c r="M89" s="57"/>
      <c r="AI89" s="46" t="s">
        <v>107</v>
      </c>
      <c r="AS89" s="39">
        <f>SUM(AJ90:AJ98)</f>
        <v>0</v>
      </c>
      <c r="AT89" s="39">
        <f>SUM(AK90:AK98)</f>
        <v>0</v>
      </c>
      <c r="AU89" s="39">
        <f>SUM(AL90:AL98)</f>
        <v>0</v>
      </c>
    </row>
    <row r="90" spans="1:76" ht="15" customHeight="1" x14ac:dyDescent="0.25">
      <c r="A90" s="58" t="s">
        <v>292</v>
      </c>
      <c r="B90" s="18" t="s">
        <v>107</v>
      </c>
      <c r="C90" s="18" t="s">
        <v>293</v>
      </c>
      <c r="D90" s="8" t="s">
        <v>294</v>
      </c>
      <c r="E90" s="8"/>
      <c r="F90" s="18" t="s">
        <v>140</v>
      </c>
      <c r="G90" s="59">
        <v>33.700000000000003</v>
      </c>
      <c r="H90" s="59">
        <v>0</v>
      </c>
      <c r="I90" s="59">
        <f>ROUND(G90*H90,2)</f>
        <v>0</v>
      </c>
      <c r="J90" s="59">
        <v>0</v>
      </c>
      <c r="K90" s="59">
        <v>1.188E-2</v>
      </c>
      <c r="L90" s="59">
        <f>G90*K90</f>
        <v>0.40035600000000005</v>
      </c>
      <c r="M90" s="60" t="s">
        <v>115</v>
      </c>
      <c r="Z90" s="59">
        <f>ROUND(IF(AQ90="5",BJ90,0),2)</f>
        <v>0</v>
      </c>
      <c r="AB90" s="59">
        <f>ROUND(IF(AQ90="1",BH90,0),2)</f>
        <v>0</v>
      </c>
      <c r="AC90" s="59">
        <f>ROUND(IF(AQ90="1",BI90,0),2)</f>
        <v>0</v>
      </c>
      <c r="AD90" s="59">
        <f>ROUND(IF(AQ90="7",BH90,0),2)</f>
        <v>0</v>
      </c>
      <c r="AE90" s="59">
        <f>ROUND(IF(AQ90="7",BI90,0),2)</f>
        <v>0</v>
      </c>
      <c r="AF90" s="59">
        <f>ROUND(IF(AQ90="2",BH90,0),2)</f>
        <v>0</v>
      </c>
      <c r="AG90" s="59">
        <f>ROUND(IF(AQ90="2",BI90,0),2)</f>
        <v>0</v>
      </c>
      <c r="AH90" s="59">
        <f>ROUND(IF(AQ90="0",BJ90,0),2)</f>
        <v>0</v>
      </c>
      <c r="AI90" s="46" t="s">
        <v>107</v>
      </c>
      <c r="AJ90" s="59">
        <f>IF(AN90=0,I90,0)</f>
        <v>0</v>
      </c>
      <c r="AK90" s="59">
        <f>IF(AN90=12,I90,0)</f>
        <v>0</v>
      </c>
      <c r="AL90" s="59">
        <f>IF(AN90=21,I90,0)</f>
        <v>0</v>
      </c>
      <c r="AN90" s="59">
        <v>12</v>
      </c>
      <c r="AO90" s="59">
        <f>H90*0</f>
        <v>0</v>
      </c>
      <c r="AP90" s="59">
        <f>H90*(1-0)</f>
        <v>0</v>
      </c>
      <c r="AQ90" s="61" t="s">
        <v>111</v>
      </c>
      <c r="AV90" s="59">
        <f>ROUND(AW90+AX90,2)</f>
        <v>0</v>
      </c>
      <c r="AW90" s="59">
        <f>ROUND(G90*AO90,2)</f>
        <v>0</v>
      </c>
      <c r="AX90" s="59">
        <f>ROUND(G90*AP90,2)</f>
        <v>0</v>
      </c>
      <c r="AY90" s="61" t="s">
        <v>295</v>
      </c>
      <c r="AZ90" s="61" t="s">
        <v>274</v>
      </c>
      <c r="BA90" s="46" t="s">
        <v>118</v>
      </c>
      <c r="BC90" s="59">
        <f>AW90+AX90</f>
        <v>0</v>
      </c>
      <c r="BD90" s="59">
        <f>H90/(100-BE90)*100</f>
        <v>0</v>
      </c>
      <c r="BE90" s="59">
        <v>0</v>
      </c>
      <c r="BF90" s="59">
        <f>L90</f>
        <v>0.40035600000000005</v>
      </c>
      <c r="BH90" s="59">
        <f>G90*AO90</f>
        <v>0</v>
      </c>
      <c r="BI90" s="59">
        <f>G90*AP90</f>
        <v>0</v>
      </c>
      <c r="BJ90" s="59">
        <f>G90*H90</f>
        <v>0</v>
      </c>
      <c r="BK90" s="59"/>
      <c r="BL90" s="59">
        <v>96</v>
      </c>
      <c r="BW90" s="59">
        <v>12</v>
      </c>
      <c r="BX90" s="16" t="s">
        <v>294</v>
      </c>
    </row>
    <row r="91" spans="1:76" x14ac:dyDescent="0.25">
      <c r="A91" s="62"/>
      <c r="D91" s="63" t="s">
        <v>214</v>
      </c>
      <c r="E91" s="63"/>
      <c r="G91" s="64">
        <v>33.700000000000003</v>
      </c>
      <c r="M91" s="65"/>
    </row>
    <row r="92" spans="1:76" ht="15" customHeight="1" x14ac:dyDescent="0.25">
      <c r="A92" s="58" t="s">
        <v>296</v>
      </c>
      <c r="B92" s="18" t="s">
        <v>107</v>
      </c>
      <c r="C92" s="18" t="s">
        <v>297</v>
      </c>
      <c r="D92" s="8" t="s">
        <v>298</v>
      </c>
      <c r="E92" s="8"/>
      <c r="F92" s="18" t="s">
        <v>299</v>
      </c>
      <c r="G92" s="59">
        <v>38</v>
      </c>
      <c r="H92" s="59">
        <v>0</v>
      </c>
      <c r="I92" s="59">
        <f>ROUND(G92*H92,2)</f>
        <v>0</v>
      </c>
      <c r="J92" s="59">
        <v>0</v>
      </c>
      <c r="K92" s="59">
        <v>0</v>
      </c>
      <c r="L92" s="59">
        <f>G92*K92</f>
        <v>0</v>
      </c>
      <c r="M92" s="60" t="s">
        <v>115</v>
      </c>
      <c r="Z92" s="59">
        <f>ROUND(IF(AQ92="5",BJ92,0),2)</f>
        <v>0</v>
      </c>
      <c r="AB92" s="59">
        <f>ROUND(IF(AQ92="1",BH92,0),2)</f>
        <v>0</v>
      </c>
      <c r="AC92" s="59">
        <f>ROUND(IF(AQ92="1",BI92,0),2)</f>
        <v>0</v>
      </c>
      <c r="AD92" s="59">
        <f>ROUND(IF(AQ92="7",BH92,0),2)</f>
        <v>0</v>
      </c>
      <c r="AE92" s="59">
        <f>ROUND(IF(AQ92="7",BI92,0),2)</f>
        <v>0</v>
      </c>
      <c r="AF92" s="59">
        <f>ROUND(IF(AQ92="2",BH92,0),2)</f>
        <v>0</v>
      </c>
      <c r="AG92" s="59">
        <f>ROUND(IF(AQ92="2",BI92,0),2)</f>
        <v>0</v>
      </c>
      <c r="AH92" s="59">
        <f>ROUND(IF(AQ92="0",BJ92,0),2)</f>
        <v>0</v>
      </c>
      <c r="AI92" s="46" t="s">
        <v>107</v>
      </c>
      <c r="AJ92" s="59">
        <f>IF(AN92=0,I92,0)</f>
        <v>0</v>
      </c>
      <c r="AK92" s="59">
        <f>IF(AN92=12,I92,0)</f>
        <v>0</v>
      </c>
      <c r="AL92" s="59">
        <f>IF(AN92=21,I92,0)</f>
        <v>0</v>
      </c>
      <c r="AN92" s="59">
        <v>12</v>
      </c>
      <c r="AO92" s="59">
        <f>H92*0</f>
        <v>0</v>
      </c>
      <c r="AP92" s="59">
        <f>H92*(1-0)</f>
        <v>0</v>
      </c>
      <c r="AQ92" s="61" t="s">
        <v>111</v>
      </c>
      <c r="AV92" s="59">
        <f>ROUND(AW92+AX92,2)</f>
        <v>0</v>
      </c>
      <c r="AW92" s="59">
        <f>ROUND(G92*AO92,2)</f>
        <v>0</v>
      </c>
      <c r="AX92" s="59">
        <f>ROUND(G92*AP92,2)</f>
        <v>0</v>
      </c>
      <c r="AY92" s="61" t="s">
        <v>295</v>
      </c>
      <c r="AZ92" s="61" t="s">
        <v>274</v>
      </c>
      <c r="BA92" s="46" t="s">
        <v>118</v>
      </c>
      <c r="BC92" s="59">
        <f>AW92+AX92</f>
        <v>0</v>
      </c>
      <c r="BD92" s="59">
        <f>H92/(100-BE92)*100</f>
        <v>0</v>
      </c>
      <c r="BE92" s="59">
        <v>0</v>
      </c>
      <c r="BF92" s="59">
        <f>L92</f>
        <v>0</v>
      </c>
      <c r="BH92" s="59">
        <f>G92*AO92</f>
        <v>0</v>
      </c>
      <c r="BI92" s="59">
        <f>G92*AP92</f>
        <v>0</v>
      </c>
      <c r="BJ92" s="59">
        <f>G92*H92</f>
        <v>0</v>
      </c>
      <c r="BK92" s="59"/>
      <c r="BL92" s="59">
        <v>96</v>
      </c>
      <c r="BW92" s="59">
        <v>12</v>
      </c>
      <c r="BX92" s="16" t="s">
        <v>298</v>
      </c>
    </row>
    <row r="93" spans="1:76" x14ac:dyDescent="0.25">
      <c r="A93" s="62"/>
      <c r="D93" s="63" t="s">
        <v>300</v>
      </c>
      <c r="E93" s="63"/>
      <c r="G93" s="64">
        <v>38</v>
      </c>
      <c r="M93" s="65"/>
    </row>
    <row r="94" spans="1:76" ht="15" customHeight="1" x14ac:dyDescent="0.25">
      <c r="A94" s="58" t="s">
        <v>301</v>
      </c>
      <c r="B94" s="18" t="s">
        <v>107</v>
      </c>
      <c r="C94" s="18" t="s">
        <v>302</v>
      </c>
      <c r="D94" s="8" t="s">
        <v>303</v>
      </c>
      <c r="E94" s="8"/>
      <c r="F94" s="18" t="s">
        <v>114</v>
      </c>
      <c r="G94" s="59">
        <v>37.26</v>
      </c>
      <c r="H94" s="59">
        <v>0</v>
      </c>
      <c r="I94" s="59">
        <f>ROUND(G94*H94,2)</f>
        <v>0</v>
      </c>
      <c r="J94" s="59">
        <v>1E-3</v>
      </c>
      <c r="K94" s="59">
        <v>3.2000000000000001E-2</v>
      </c>
      <c r="L94" s="59">
        <f>G94*K94</f>
        <v>1.19232</v>
      </c>
      <c r="M94" s="60" t="s">
        <v>115</v>
      </c>
      <c r="Z94" s="59">
        <f>ROUND(IF(AQ94="5",BJ94,0),2)</f>
        <v>0</v>
      </c>
      <c r="AB94" s="59">
        <f>ROUND(IF(AQ94="1",BH94,0),2)</f>
        <v>0</v>
      </c>
      <c r="AC94" s="59">
        <f>ROUND(IF(AQ94="1",BI94,0),2)</f>
        <v>0</v>
      </c>
      <c r="AD94" s="59">
        <f>ROUND(IF(AQ94="7",BH94,0),2)</f>
        <v>0</v>
      </c>
      <c r="AE94" s="59">
        <f>ROUND(IF(AQ94="7",BI94,0),2)</f>
        <v>0</v>
      </c>
      <c r="AF94" s="59">
        <f>ROUND(IF(AQ94="2",BH94,0),2)</f>
        <v>0</v>
      </c>
      <c r="AG94" s="59">
        <f>ROUND(IF(AQ94="2",BI94,0),2)</f>
        <v>0</v>
      </c>
      <c r="AH94" s="59">
        <f>ROUND(IF(AQ94="0",BJ94,0),2)</f>
        <v>0</v>
      </c>
      <c r="AI94" s="46" t="s">
        <v>107</v>
      </c>
      <c r="AJ94" s="59">
        <f>IF(AN94=0,I94,0)</f>
        <v>0</v>
      </c>
      <c r="AK94" s="59">
        <f>IF(AN94=12,I94,0)</f>
        <v>0</v>
      </c>
      <c r="AL94" s="59">
        <f>IF(AN94=21,I94,0)</f>
        <v>0</v>
      </c>
      <c r="AN94" s="59">
        <v>12</v>
      </c>
      <c r="AO94" s="59">
        <f>H94*0.133990259</f>
        <v>0</v>
      </c>
      <c r="AP94" s="59">
        <f>H94*(1-0.133990259)</f>
        <v>0</v>
      </c>
      <c r="AQ94" s="61" t="s">
        <v>111</v>
      </c>
      <c r="AV94" s="59">
        <f>ROUND(AW94+AX94,2)</f>
        <v>0</v>
      </c>
      <c r="AW94" s="59">
        <f>ROUND(G94*AO94,2)</f>
        <v>0</v>
      </c>
      <c r="AX94" s="59">
        <f>ROUND(G94*AP94,2)</f>
        <v>0</v>
      </c>
      <c r="AY94" s="61" t="s">
        <v>295</v>
      </c>
      <c r="AZ94" s="61" t="s">
        <v>274</v>
      </c>
      <c r="BA94" s="46" t="s">
        <v>118</v>
      </c>
      <c r="BC94" s="59">
        <f>AW94+AX94</f>
        <v>0</v>
      </c>
      <c r="BD94" s="59">
        <f>H94/(100-BE94)*100</f>
        <v>0</v>
      </c>
      <c r="BE94" s="59">
        <v>0</v>
      </c>
      <c r="BF94" s="59">
        <f>L94</f>
        <v>1.19232</v>
      </c>
      <c r="BH94" s="59">
        <f>G94*AO94</f>
        <v>0</v>
      </c>
      <c r="BI94" s="59">
        <f>G94*AP94</f>
        <v>0</v>
      </c>
      <c r="BJ94" s="59">
        <f>G94*H94</f>
        <v>0</v>
      </c>
      <c r="BK94" s="59"/>
      <c r="BL94" s="59">
        <v>96</v>
      </c>
      <c r="BW94" s="59">
        <v>12</v>
      </c>
      <c r="BX94" s="16" t="s">
        <v>303</v>
      </c>
    </row>
    <row r="95" spans="1:76" x14ac:dyDescent="0.25">
      <c r="A95" s="62"/>
      <c r="D95" s="63" t="s">
        <v>304</v>
      </c>
      <c r="E95" s="63"/>
      <c r="G95" s="64">
        <v>37.26</v>
      </c>
      <c r="M95" s="65"/>
    </row>
    <row r="96" spans="1:76" ht="15" customHeight="1" x14ac:dyDescent="0.25">
      <c r="A96" s="58" t="s">
        <v>305</v>
      </c>
      <c r="B96" s="18" t="s">
        <v>107</v>
      </c>
      <c r="C96" s="18" t="s">
        <v>306</v>
      </c>
      <c r="D96" s="8" t="s">
        <v>307</v>
      </c>
      <c r="E96" s="8"/>
      <c r="F96" s="18" t="s">
        <v>299</v>
      </c>
      <c r="G96" s="59">
        <v>6</v>
      </c>
      <c r="H96" s="59">
        <v>0</v>
      </c>
      <c r="I96" s="59">
        <f>ROUND(G96*H96,2)</f>
        <v>0</v>
      </c>
      <c r="J96" s="59">
        <v>0</v>
      </c>
      <c r="K96" s="59">
        <v>0</v>
      </c>
      <c r="L96" s="59">
        <f>G96*K96</f>
        <v>0</v>
      </c>
      <c r="M96" s="60" t="s">
        <v>115</v>
      </c>
      <c r="Z96" s="59">
        <f>ROUND(IF(AQ96="5",BJ96,0),2)</f>
        <v>0</v>
      </c>
      <c r="AB96" s="59">
        <f>ROUND(IF(AQ96="1",BH96,0),2)</f>
        <v>0</v>
      </c>
      <c r="AC96" s="59">
        <f>ROUND(IF(AQ96="1",BI96,0),2)</f>
        <v>0</v>
      </c>
      <c r="AD96" s="59">
        <f>ROUND(IF(AQ96="7",BH96,0),2)</f>
        <v>0</v>
      </c>
      <c r="AE96" s="59">
        <f>ROUND(IF(AQ96="7",BI96,0),2)</f>
        <v>0</v>
      </c>
      <c r="AF96" s="59">
        <f>ROUND(IF(AQ96="2",BH96,0),2)</f>
        <v>0</v>
      </c>
      <c r="AG96" s="59">
        <f>ROUND(IF(AQ96="2",BI96,0),2)</f>
        <v>0</v>
      </c>
      <c r="AH96" s="59">
        <f>ROUND(IF(AQ96="0",BJ96,0),2)</f>
        <v>0</v>
      </c>
      <c r="AI96" s="46" t="s">
        <v>107</v>
      </c>
      <c r="AJ96" s="59">
        <f>IF(AN96=0,I96,0)</f>
        <v>0</v>
      </c>
      <c r="AK96" s="59">
        <f>IF(AN96=12,I96,0)</f>
        <v>0</v>
      </c>
      <c r="AL96" s="59">
        <f>IF(AN96=21,I96,0)</f>
        <v>0</v>
      </c>
      <c r="AN96" s="59">
        <v>12</v>
      </c>
      <c r="AO96" s="59">
        <f>H96*0</f>
        <v>0</v>
      </c>
      <c r="AP96" s="59">
        <f>H96*(1-0)</f>
        <v>0</v>
      </c>
      <c r="AQ96" s="61" t="s">
        <v>111</v>
      </c>
      <c r="AV96" s="59">
        <f>ROUND(AW96+AX96,2)</f>
        <v>0</v>
      </c>
      <c r="AW96" s="59">
        <f>ROUND(G96*AO96,2)</f>
        <v>0</v>
      </c>
      <c r="AX96" s="59">
        <f>ROUND(G96*AP96,2)</f>
        <v>0</v>
      </c>
      <c r="AY96" s="61" t="s">
        <v>295</v>
      </c>
      <c r="AZ96" s="61" t="s">
        <v>274</v>
      </c>
      <c r="BA96" s="46" t="s">
        <v>118</v>
      </c>
      <c r="BC96" s="59">
        <f>AW96+AX96</f>
        <v>0</v>
      </c>
      <c r="BD96" s="59">
        <f>H96/(100-BE96)*100</f>
        <v>0</v>
      </c>
      <c r="BE96" s="59">
        <v>0</v>
      </c>
      <c r="BF96" s="59">
        <f>L96</f>
        <v>0</v>
      </c>
      <c r="BH96" s="59">
        <f>G96*AO96</f>
        <v>0</v>
      </c>
      <c r="BI96" s="59">
        <f>G96*AP96</f>
        <v>0</v>
      </c>
      <c r="BJ96" s="59">
        <f>G96*H96</f>
        <v>0</v>
      </c>
      <c r="BK96" s="59"/>
      <c r="BL96" s="59">
        <v>96</v>
      </c>
      <c r="BW96" s="59">
        <v>12</v>
      </c>
      <c r="BX96" s="16" t="s">
        <v>307</v>
      </c>
    </row>
    <row r="97" spans="1:76" x14ac:dyDescent="0.25">
      <c r="A97" s="62"/>
      <c r="D97" s="63" t="s">
        <v>145</v>
      </c>
      <c r="E97" s="63"/>
      <c r="G97" s="64">
        <v>6</v>
      </c>
      <c r="M97" s="65"/>
    </row>
    <row r="98" spans="1:76" ht="15" customHeight="1" x14ac:dyDescent="0.25">
      <c r="A98" s="58" t="s">
        <v>308</v>
      </c>
      <c r="B98" s="18" t="s">
        <v>107</v>
      </c>
      <c r="C98" s="18" t="s">
        <v>309</v>
      </c>
      <c r="D98" s="8" t="s">
        <v>310</v>
      </c>
      <c r="E98" s="8"/>
      <c r="F98" s="18" t="s">
        <v>114</v>
      </c>
      <c r="G98" s="59">
        <v>11.420999999999999</v>
      </c>
      <c r="H98" s="59">
        <v>0</v>
      </c>
      <c r="I98" s="59">
        <f>ROUND(G98*H98,2)</f>
        <v>0</v>
      </c>
      <c r="J98" s="59">
        <v>1E-3</v>
      </c>
      <c r="K98" s="59">
        <v>6.4000000000000001E-2</v>
      </c>
      <c r="L98" s="59">
        <f>G98*K98</f>
        <v>0.73094399999999993</v>
      </c>
      <c r="M98" s="60" t="s">
        <v>115</v>
      </c>
      <c r="Z98" s="59">
        <f>ROUND(IF(AQ98="5",BJ98,0),2)</f>
        <v>0</v>
      </c>
      <c r="AB98" s="59">
        <f>ROUND(IF(AQ98="1",BH98,0),2)</f>
        <v>0</v>
      </c>
      <c r="AC98" s="59">
        <f>ROUND(IF(AQ98="1",BI98,0),2)</f>
        <v>0</v>
      </c>
      <c r="AD98" s="59">
        <f>ROUND(IF(AQ98="7",BH98,0),2)</f>
        <v>0</v>
      </c>
      <c r="AE98" s="59">
        <f>ROUND(IF(AQ98="7",BI98,0),2)</f>
        <v>0</v>
      </c>
      <c r="AF98" s="59">
        <f>ROUND(IF(AQ98="2",BH98,0),2)</f>
        <v>0</v>
      </c>
      <c r="AG98" s="59">
        <f>ROUND(IF(AQ98="2",BI98,0),2)</f>
        <v>0</v>
      </c>
      <c r="AH98" s="59">
        <f>ROUND(IF(AQ98="0",BJ98,0),2)</f>
        <v>0</v>
      </c>
      <c r="AI98" s="46" t="s">
        <v>107</v>
      </c>
      <c r="AJ98" s="59">
        <f>IF(AN98=0,I98,0)</f>
        <v>0</v>
      </c>
      <c r="AK98" s="59">
        <f>IF(AN98=12,I98,0)</f>
        <v>0</v>
      </c>
      <c r="AL98" s="59">
        <f>IF(AN98=21,I98,0)</f>
        <v>0</v>
      </c>
      <c r="AN98" s="59">
        <v>12</v>
      </c>
      <c r="AO98" s="59">
        <f>H98*0.067539635</f>
        <v>0</v>
      </c>
      <c r="AP98" s="59">
        <f>H98*(1-0.067539635)</f>
        <v>0</v>
      </c>
      <c r="AQ98" s="61" t="s">
        <v>111</v>
      </c>
      <c r="AV98" s="59">
        <f>ROUND(AW98+AX98,2)</f>
        <v>0</v>
      </c>
      <c r="AW98" s="59">
        <f>ROUND(G98*AO98,2)</f>
        <v>0</v>
      </c>
      <c r="AX98" s="59">
        <f>ROUND(G98*AP98,2)</f>
        <v>0</v>
      </c>
      <c r="AY98" s="61" t="s">
        <v>295</v>
      </c>
      <c r="AZ98" s="61" t="s">
        <v>274</v>
      </c>
      <c r="BA98" s="46" t="s">
        <v>118</v>
      </c>
      <c r="BC98" s="59">
        <f>AW98+AX98</f>
        <v>0</v>
      </c>
      <c r="BD98" s="59">
        <f>H98/(100-BE98)*100</f>
        <v>0</v>
      </c>
      <c r="BE98" s="59">
        <v>0</v>
      </c>
      <c r="BF98" s="59">
        <f>L98</f>
        <v>0.73094399999999993</v>
      </c>
      <c r="BH98" s="59">
        <f>G98*AO98</f>
        <v>0</v>
      </c>
      <c r="BI98" s="59">
        <f>G98*AP98</f>
        <v>0</v>
      </c>
      <c r="BJ98" s="59">
        <f>G98*H98</f>
        <v>0</v>
      </c>
      <c r="BK98" s="59"/>
      <c r="BL98" s="59">
        <v>96</v>
      </c>
      <c r="BW98" s="59">
        <v>12</v>
      </c>
      <c r="BX98" s="16" t="s">
        <v>310</v>
      </c>
    </row>
    <row r="99" spans="1:76" x14ac:dyDescent="0.25">
      <c r="A99" s="62"/>
      <c r="D99" s="63" t="s">
        <v>311</v>
      </c>
      <c r="E99" s="63"/>
      <c r="G99" s="64">
        <v>11.420999999999999</v>
      </c>
      <c r="M99" s="65"/>
    </row>
    <row r="100" spans="1:76" ht="15" customHeight="1" x14ac:dyDescent="0.25">
      <c r="A100" s="54"/>
      <c r="B100" s="55" t="s">
        <v>107</v>
      </c>
      <c r="C100" s="55" t="s">
        <v>312</v>
      </c>
      <c r="D100" s="104" t="s">
        <v>313</v>
      </c>
      <c r="E100" s="104"/>
      <c r="F100" s="56" t="s">
        <v>88</v>
      </c>
      <c r="G100" s="56" t="s">
        <v>88</v>
      </c>
      <c r="H100" s="56" t="s">
        <v>88</v>
      </c>
      <c r="I100" s="39">
        <f>SUM(I101)</f>
        <v>0</v>
      </c>
      <c r="J100" s="46"/>
      <c r="K100" s="46"/>
      <c r="L100" s="39">
        <f>SUM(L101)</f>
        <v>1.0718000000000001</v>
      </c>
      <c r="M100" s="57"/>
      <c r="AI100" s="46" t="s">
        <v>107</v>
      </c>
      <c r="AS100" s="39">
        <f>SUM(AJ101)</f>
        <v>0</v>
      </c>
      <c r="AT100" s="39">
        <f>SUM(AK101)</f>
        <v>0</v>
      </c>
      <c r="AU100" s="39">
        <f>SUM(AL101)</f>
        <v>0</v>
      </c>
    </row>
    <row r="101" spans="1:76" ht="15" customHeight="1" x14ac:dyDescent="0.25">
      <c r="A101" s="58" t="s">
        <v>314</v>
      </c>
      <c r="B101" s="18" t="s">
        <v>107</v>
      </c>
      <c r="C101" s="18" t="s">
        <v>315</v>
      </c>
      <c r="D101" s="8" t="s">
        <v>316</v>
      </c>
      <c r="E101" s="8"/>
      <c r="F101" s="18" t="s">
        <v>114</v>
      </c>
      <c r="G101" s="59">
        <v>23.3</v>
      </c>
      <c r="H101" s="59">
        <v>0</v>
      </c>
      <c r="I101" s="59">
        <f>ROUND(G101*H101,2)</f>
        <v>0</v>
      </c>
      <c r="J101" s="59">
        <v>0</v>
      </c>
      <c r="K101" s="59">
        <v>4.5999999999999999E-2</v>
      </c>
      <c r="L101" s="59">
        <f>G101*K101</f>
        <v>1.0718000000000001</v>
      </c>
      <c r="M101" s="60" t="s">
        <v>115</v>
      </c>
      <c r="Z101" s="59">
        <f>ROUND(IF(AQ101="5",BJ101,0),2)</f>
        <v>0</v>
      </c>
      <c r="AB101" s="59">
        <f>ROUND(IF(AQ101="1",BH101,0),2)</f>
        <v>0</v>
      </c>
      <c r="AC101" s="59">
        <f>ROUND(IF(AQ101="1",BI101,0),2)</f>
        <v>0</v>
      </c>
      <c r="AD101" s="59">
        <f>ROUND(IF(AQ101="7",BH101,0),2)</f>
        <v>0</v>
      </c>
      <c r="AE101" s="59">
        <f>ROUND(IF(AQ101="7",BI101,0),2)</f>
        <v>0</v>
      </c>
      <c r="AF101" s="59">
        <f>ROUND(IF(AQ101="2",BH101,0),2)</f>
        <v>0</v>
      </c>
      <c r="AG101" s="59">
        <f>ROUND(IF(AQ101="2",BI101,0),2)</f>
        <v>0</v>
      </c>
      <c r="AH101" s="59">
        <f>ROUND(IF(AQ101="0",BJ101,0),2)</f>
        <v>0</v>
      </c>
      <c r="AI101" s="46" t="s">
        <v>107</v>
      </c>
      <c r="AJ101" s="59">
        <f>IF(AN101=0,I101,0)</f>
        <v>0</v>
      </c>
      <c r="AK101" s="59">
        <f>IF(AN101=12,I101,0)</f>
        <v>0</v>
      </c>
      <c r="AL101" s="59">
        <f>IF(AN101=21,I101,0)</f>
        <v>0</v>
      </c>
      <c r="AN101" s="59">
        <v>12</v>
      </c>
      <c r="AO101" s="59">
        <f>H101*0</f>
        <v>0</v>
      </c>
      <c r="AP101" s="59">
        <f>H101*(1-0)</f>
        <v>0</v>
      </c>
      <c r="AQ101" s="61" t="s">
        <v>111</v>
      </c>
      <c r="AV101" s="59">
        <f>ROUND(AW101+AX101,2)</f>
        <v>0</v>
      </c>
      <c r="AW101" s="59">
        <f>ROUND(G101*AO101,2)</f>
        <v>0</v>
      </c>
      <c r="AX101" s="59">
        <f>ROUND(G101*AP101,2)</f>
        <v>0</v>
      </c>
      <c r="AY101" s="61" t="s">
        <v>317</v>
      </c>
      <c r="AZ101" s="61" t="s">
        <v>274</v>
      </c>
      <c r="BA101" s="46" t="s">
        <v>118</v>
      </c>
      <c r="BC101" s="59">
        <f>AW101+AX101</f>
        <v>0</v>
      </c>
      <c r="BD101" s="59">
        <f>H101/(100-BE101)*100</f>
        <v>0</v>
      </c>
      <c r="BE101" s="59">
        <v>0</v>
      </c>
      <c r="BF101" s="59">
        <f>L101</f>
        <v>1.0718000000000001</v>
      </c>
      <c r="BH101" s="59">
        <f>G101*AO101</f>
        <v>0</v>
      </c>
      <c r="BI101" s="59">
        <f>G101*AP101</f>
        <v>0</v>
      </c>
      <c r="BJ101" s="59">
        <f>G101*H101</f>
        <v>0</v>
      </c>
      <c r="BK101" s="59"/>
      <c r="BL101" s="59">
        <v>97</v>
      </c>
      <c r="BW101" s="59">
        <v>12</v>
      </c>
      <c r="BX101" s="16" t="s">
        <v>316</v>
      </c>
    </row>
    <row r="102" spans="1:76" x14ac:dyDescent="0.25">
      <c r="A102" s="62"/>
      <c r="D102" s="63" t="s">
        <v>252</v>
      </c>
      <c r="E102" s="63"/>
      <c r="G102" s="64">
        <v>23.3</v>
      </c>
      <c r="M102" s="65"/>
    </row>
    <row r="103" spans="1:76" ht="15" customHeight="1" x14ac:dyDescent="0.25">
      <c r="A103" s="54"/>
      <c r="B103" s="55" t="s">
        <v>107</v>
      </c>
      <c r="C103" s="55" t="s">
        <v>318</v>
      </c>
      <c r="D103" s="104" t="s">
        <v>319</v>
      </c>
      <c r="E103" s="104"/>
      <c r="F103" s="56" t="s">
        <v>88</v>
      </c>
      <c r="G103" s="56" t="s">
        <v>88</v>
      </c>
      <c r="H103" s="56" t="s">
        <v>88</v>
      </c>
      <c r="I103" s="39">
        <f>SUM(I104)</f>
        <v>0</v>
      </c>
      <c r="J103" s="46"/>
      <c r="K103" s="46"/>
      <c r="L103" s="39">
        <f>SUM(L104)</f>
        <v>0</v>
      </c>
      <c r="M103" s="57"/>
      <c r="AI103" s="46" t="s">
        <v>107</v>
      </c>
      <c r="AS103" s="39">
        <f>SUM(AJ104)</f>
        <v>0</v>
      </c>
      <c r="AT103" s="39">
        <f>SUM(AK104)</f>
        <v>0</v>
      </c>
      <c r="AU103" s="39">
        <f>SUM(AL104)</f>
        <v>0</v>
      </c>
    </row>
    <row r="104" spans="1:76" ht="15" customHeight="1" x14ac:dyDescent="0.25">
      <c r="A104" s="58" t="s">
        <v>320</v>
      </c>
      <c r="B104" s="18" t="s">
        <v>107</v>
      </c>
      <c r="C104" s="18" t="s">
        <v>321</v>
      </c>
      <c r="D104" s="8" t="s">
        <v>322</v>
      </c>
      <c r="E104" s="8"/>
      <c r="F104" s="18" t="s">
        <v>224</v>
      </c>
      <c r="G104" s="59">
        <v>1.877</v>
      </c>
      <c r="H104" s="59">
        <v>0</v>
      </c>
      <c r="I104" s="59">
        <f>ROUND(G104*H104,2)</f>
        <v>0</v>
      </c>
      <c r="J104" s="59">
        <v>0</v>
      </c>
      <c r="K104" s="59">
        <v>0</v>
      </c>
      <c r="L104" s="59">
        <f>G104*K104</f>
        <v>0</v>
      </c>
      <c r="M104" s="60" t="s">
        <v>115</v>
      </c>
      <c r="Z104" s="59">
        <f>ROUND(IF(AQ104="5",BJ104,0),2)</f>
        <v>0</v>
      </c>
      <c r="AB104" s="59">
        <f>ROUND(IF(AQ104="1",BH104,0),2)</f>
        <v>0</v>
      </c>
      <c r="AC104" s="59">
        <f>ROUND(IF(AQ104="1",BI104,0),2)</f>
        <v>0</v>
      </c>
      <c r="AD104" s="59">
        <f>ROUND(IF(AQ104="7",BH104,0),2)</f>
        <v>0</v>
      </c>
      <c r="AE104" s="59">
        <f>ROUND(IF(AQ104="7",BI104,0),2)</f>
        <v>0</v>
      </c>
      <c r="AF104" s="59">
        <f>ROUND(IF(AQ104="2",BH104,0),2)</f>
        <v>0</v>
      </c>
      <c r="AG104" s="59">
        <f>ROUND(IF(AQ104="2",BI104,0),2)</f>
        <v>0</v>
      </c>
      <c r="AH104" s="59">
        <f>ROUND(IF(AQ104="0",BJ104,0),2)</f>
        <v>0</v>
      </c>
      <c r="AI104" s="46" t="s">
        <v>107</v>
      </c>
      <c r="AJ104" s="59">
        <f>IF(AN104=0,I104,0)</f>
        <v>0</v>
      </c>
      <c r="AK104" s="59">
        <f>IF(AN104=12,I104,0)</f>
        <v>0</v>
      </c>
      <c r="AL104" s="59">
        <f>IF(AN104=21,I104,0)</f>
        <v>0</v>
      </c>
      <c r="AN104" s="59">
        <v>12</v>
      </c>
      <c r="AO104" s="59">
        <f>H104*0</f>
        <v>0</v>
      </c>
      <c r="AP104" s="59">
        <f>H104*(1-0)</f>
        <v>0</v>
      </c>
      <c r="AQ104" s="61" t="s">
        <v>137</v>
      </c>
      <c r="AV104" s="59">
        <f>ROUND(AW104+AX104,2)</f>
        <v>0</v>
      </c>
      <c r="AW104" s="59">
        <f>ROUND(G104*AO104,2)</f>
        <v>0</v>
      </c>
      <c r="AX104" s="59">
        <f>ROUND(G104*AP104,2)</f>
        <v>0</v>
      </c>
      <c r="AY104" s="61" t="s">
        <v>323</v>
      </c>
      <c r="AZ104" s="61" t="s">
        <v>274</v>
      </c>
      <c r="BA104" s="46" t="s">
        <v>118</v>
      </c>
      <c r="BC104" s="59">
        <f>AW104+AX104</f>
        <v>0</v>
      </c>
      <c r="BD104" s="59">
        <f>H104/(100-BE104)*100</f>
        <v>0</v>
      </c>
      <c r="BE104" s="59">
        <v>0</v>
      </c>
      <c r="BF104" s="59">
        <f>L104</f>
        <v>0</v>
      </c>
      <c r="BH104" s="59">
        <f>G104*AO104</f>
        <v>0</v>
      </c>
      <c r="BI104" s="59">
        <f>G104*AP104</f>
        <v>0</v>
      </c>
      <c r="BJ104" s="59">
        <f>G104*H104</f>
        <v>0</v>
      </c>
      <c r="BK104" s="59"/>
      <c r="BL104" s="59"/>
      <c r="BW104" s="59">
        <v>12</v>
      </c>
      <c r="BX104" s="16" t="s">
        <v>322</v>
      </c>
    </row>
    <row r="105" spans="1:76" ht="15" customHeight="1" x14ac:dyDescent="0.25">
      <c r="A105" s="54"/>
      <c r="B105" s="55" t="s">
        <v>107</v>
      </c>
      <c r="C105" s="55" t="s">
        <v>324</v>
      </c>
      <c r="D105" s="104" t="s">
        <v>325</v>
      </c>
      <c r="E105" s="104"/>
      <c r="F105" s="56" t="s">
        <v>88</v>
      </c>
      <c r="G105" s="56" t="s">
        <v>88</v>
      </c>
      <c r="H105" s="56" t="s">
        <v>88</v>
      </c>
      <c r="I105" s="39">
        <f>SUM(I106:I114)</f>
        <v>0</v>
      </c>
      <c r="J105" s="46"/>
      <c r="K105" s="46"/>
      <c r="L105" s="39">
        <f>SUM(L106:L114)</f>
        <v>0</v>
      </c>
      <c r="M105" s="57"/>
      <c r="AI105" s="46" t="s">
        <v>107</v>
      </c>
      <c r="AS105" s="39">
        <f>SUM(AJ106:AJ114)</f>
        <v>0</v>
      </c>
      <c r="AT105" s="39">
        <f>SUM(AK106:AK114)</f>
        <v>0</v>
      </c>
      <c r="AU105" s="39">
        <f>SUM(AL106:AL114)</f>
        <v>0</v>
      </c>
    </row>
    <row r="106" spans="1:76" ht="15" customHeight="1" x14ac:dyDescent="0.25">
      <c r="A106" s="58" t="s">
        <v>326</v>
      </c>
      <c r="B106" s="18" t="s">
        <v>107</v>
      </c>
      <c r="C106" s="18" t="s">
        <v>327</v>
      </c>
      <c r="D106" s="8" t="s">
        <v>328</v>
      </c>
      <c r="E106" s="8"/>
      <c r="F106" s="18" t="s">
        <v>224</v>
      </c>
      <c r="G106" s="59">
        <v>3.32</v>
      </c>
      <c r="H106" s="59">
        <v>0</v>
      </c>
      <c r="I106" s="59">
        <f>ROUND(G106*H106,2)</f>
        <v>0</v>
      </c>
      <c r="J106" s="59">
        <v>0</v>
      </c>
      <c r="K106" s="59">
        <v>0</v>
      </c>
      <c r="L106" s="59">
        <f>G106*K106</f>
        <v>0</v>
      </c>
      <c r="M106" s="60" t="s">
        <v>115</v>
      </c>
      <c r="Z106" s="59">
        <f>ROUND(IF(AQ106="5",BJ106,0),2)</f>
        <v>0</v>
      </c>
      <c r="AB106" s="59">
        <f>ROUND(IF(AQ106="1",BH106,0),2)</f>
        <v>0</v>
      </c>
      <c r="AC106" s="59">
        <f>ROUND(IF(AQ106="1",BI106,0),2)</f>
        <v>0</v>
      </c>
      <c r="AD106" s="59">
        <f>ROUND(IF(AQ106="7",BH106,0),2)</f>
        <v>0</v>
      </c>
      <c r="AE106" s="59">
        <f>ROUND(IF(AQ106="7",BI106,0),2)</f>
        <v>0</v>
      </c>
      <c r="AF106" s="59">
        <f>ROUND(IF(AQ106="2",BH106,0),2)</f>
        <v>0</v>
      </c>
      <c r="AG106" s="59">
        <f>ROUND(IF(AQ106="2",BI106,0),2)</f>
        <v>0</v>
      </c>
      <c r="AH106" s="59">
        <f>ROUND(IF(AQ106="0",BJ106,0),2)</f>
        <v>0</v>
      </c>
      <c r="AI106" s="46" t="s">
        <v>107</v>
      </c>
      <c r="AJ106" s="59">
        <f>IF(AN106=0,I106,0)</f>
        <v>0</v>
      </c>
      <c r="AK106" s="59">
        <f>IF(AN106=12,I106,0)</f>
        <v>0</v>
      </c>
      <c r="AL106" s="59">
        <f>IF(AN106=21,I106,0)</f>
        <v>0</v>
      </c>
      <c r="AN106" s="59">
        <v>12</v>
      </c>
      <c r="AO106" s="59">
        <f>H106*0</f>
        <v>0</v>
      </c>
      <c r="AP106" s="59">
        <f>H106*(1-0)</f>
        <v>0</v>
      </c>
      <c r="AQ106" s="61" t="s">
        <v>137</v>
      </c>
      <c r="AV106" s="59">
        <f>ROUND(AW106+AX106,2)</f>
        <v>0</v>
      </c>
      <c r="AW106" s="59">
        <f>ROUND(G106*AO106,2)</f>
        <v>0</v>
      </c>
      <c r="AX106" s="59">
        <f>ROUND(G106*AP106,2)</f>
        <v>0</v>
      </c>
      <c r="AY106" s="61" t="s">
        <v>329</v>
      </c>
      <c r="AZ106" s="61" t="s">
        <v>274</v>
      </c>
      <c r="BA106" s="46" t="s">
        <v>118</v>
      </c>
      <c r="BC106" s="59">
        <f>AW106+AX106</f>
        <v>0</v>
      </c>
      <c r="BD106" s="59">
        <f>H106/(100-BE106)*100</f>
        <v>0</v>
      </c>
      <c r="BE106" s="59">
        <v>0</v>
      </c>
      <c r="BF106" s="59">
        <f>L106</f>
        <v>0</v>
      </c>
      <c r="BH106" s="59">
        <f>G106*AO106</f>
        <v>0</v>
      </c>
      <c r="BI106" s="59">
        <f>G106*AP106</f>
        <v>0</v>
      </c>
      <c r="BJ106" s="59">
        <f>G106*H106</f>
        <v>0</v>
      </c>
      <c r="BK106" s="59"/>
      <c r="BL106" s="59"/>
      <c r="BW106" s="59">
        <v>12</v>
      </c>
      <c r="BX106" s="16" t="s">
        <v>328</v>
      </c>
    </row>
    <row r="107" spans="1:76" x14ac:dyDescent="0.25">
      <c r="A107" s="62"/>
      <c r="D107" s="63" t="s">
        <v>330</v>
      </c>
      <c r="E107" s="63"/>
      <c r="G107" s="64">
        <v>3.32</v>
      </c>
      <c r="M107" s="65"/>
    </row>
    <row r="108" spans="1:76" ht="15" customHeight="1" x14ac:dyDescent="0.25">
      <c r="A108" s="58" t="s">
        <v>331</v>
      </c>
      <c r="B108" s="18" t="s">
        <v>107</v>
      </c>
      <c r="C108" s="18" t="s">
        <v>332</v>
      </c>
      <c r="D108" s="8" t="s">
        <v>333</v>
      </c>
      <c r="E108" s="8"/>
      <c r="F108" s="18" t="s">
        <v>224</v>
      </c>
      <c r="G108" s="59">
        <v>3.32</v>
      </c>
      <c r="H108" s="59">
        <v>0</v>
      </c>
      <c r="I108" s="59">
        <f>ROUND(G108*H108,2)</f>
        <v>0</v>
      </c>
      <c r="J108" s="59">
        <v>0</v>
      </c>
      <c r="K108" s="59">
        <v>0</v>
      </c>
      <c r="L108" s="59">
        <f>G108*K108</f>
        <v>0</v>
      </c>
      <c r="M108" s="60" t="s">
        <v>115</v>
      </c>
      <c r="Z108" s="59">
        <f>ROUND(IF(AQ108="5",BJ108,0),2)</f>
        <v>0</v>
      </c>
      <c r="AB108" s="59">
        <f>ROUND(IF(AQ108="1",BH108,0),2)</f>
        <v>0</v>
      </c>
      <c r="AC108" s="59">
        <f>ROUND(IF(AQ108="1",BI108,0),2)</f>
        <v>0</v>
      </c>
      <c r="AD108" s="59">
        <f>ROUND(IF(AQ108="7",BH108,0),2)</f>
        <v>0</v>
      </c>
      <c r="AE108" s="59">
        <f>ROUND(IF(AQ108="7",BI108,0),2)</f>
        <v>0</v>
      </c>
      <c r="AF108" s="59">
        <f>ROUND(IF(AQ108="2",BH108,0),2)</f>
        <v>0</v>
      </c>
      <c r="AG108" s="59">
        <f>ROUND(IF(AQ108="2",BI108,0),2)</f>
        <v>0</v>
      </c>
      <c r="AH108" s="59">
        <f>ROUND(IF(AQ108="0",BJ108,0),2)</f>
        <v>0</v>
      </c>
      <c r="AI108" s="46" t="s">
        <v>107</v>
      </c>
      <c r="AJ108" s="59">
        <f>IF(AN108=0,I108,0)</f>
        <v>0</v>
      </c>
      <c r="AK108" s="59">
        <f>IF(AN108=12,I108,0)</f>
        <v>0</v>
      </c>
      <c r="AL108" s="59">
        <f>IF(AN108=21,I108,0)</f>
        <v>0</v>
      </c>
      <c r="AN108" s="59">
        <v>12</v>
      </c>
      <c r="AO108" s="59">
        <f>H108*0</f>
        <v>0</v>
      </c>
      <c r="AP108" s="59">
        <f>H108*(1-0)</f>
        <v>0</v>
      </c>
      <c r="AQ108" s="61" t="s">
        <v>137</v>
      </c>
      <c r="AV108" s="59">
        <f>ROUND(AW108+AX108,2)</f>
        <v>0</v>
      </c>
      <c r="AW108" s="59">
        <f>ROUND(G108*AO108,2)</f>
        <v>0</v>
      </c>
      <c r="AX108" s="59">
        <f>ROUND(G108*AP108,2)</f>
        <v>0</v>
      </c>
      <c r="AY108" s="61" t="s">
        <v>329</v>
      </c>
      <c r="AZ108" s="61" t="s">
        <v>274</v>
      </c>
      <c r="BA108" s="46" t="s">
        <v>118</v>
      </c>
      <c r="BC108" s="59">
        <f>AW108+AX108</f>
        <v>0</v>
      </c>
      <c r="BD108" s="59">
        <f>H108/(100-BE108)*100</f>
        <v>0</v>
      </c>
      <c r="BE108" s="59">
        <v>0</v>
      </c>
      <c r="BF108" s="59">
        <f>L108</f>
        <v>0</v>
      </c>
      <c r="BH108" s="59">
        <f>G108*AO108</f>
        <v>0</v>
      </c>
      <c r="BI108" s="59">
        <f>G108*AP108</f>
        <v>0</v>
      </c>
      <c r="BJ108" s="59">
        <f>G108*H108</f>
        <v>0</v>
      </c>
      <c r="BK108" s="59"/>
      <c r="BL108" s="59"/>
      <c r="BW108" s="59">
        <v>12</v>
      </c>
      <c r="BX108" s="16" t="s">
        <v>333</v>
      </c>
    </row>
    <row r="109" spans="1:76" x14ac:dyDescent="0.25">
      <c r="A109" s="62"/>
      <c r="D109" s="63" t="s">
        <v>334</v>
      </c>
      <c r="E109" s="63"/>
      <c r="G109" s="64">
        <v>3.32</v>
      </c>
      <c r="M109" s="65"/>
    </row>
    <row r="110" spans="1:76" ht="15" customHeight="1" x14ac:dyDescent="0.25">
      <c r="A110" s="58" t="s">
        <v>335</v>
      </c>
      <c r="B110" s="18" t="s">
        <v>107</v>
      </c>
      <c r="C110" s="18" t="s">
        <v>336</v>
      </c>
      <c r="D110" s="8" t="s">
        <v>337</v>
      </c>
      <c r="E110" s="8"/>
      <c r="F110" s="18" t="s">
        <v>224</v>
      </c>
      <c r="G110" s="59">
        <v>3.32</v>
      </c>
      <c r="H110" s="59">
        <v>0</v>
      </c>
      <c r="I110" s="59">
        <f>ROUND(G110*H110,2)</f>
        <v>0</v>
      </c>
      <c r="J110" s="59">
        <v>0</v>
      </c>
      <c r="K110" s="59">
        <v>0</v>
      </c>
      <c r="L110" s="59">
        <f>G110*K110</f>
        <v>0</v>
      </c>
      <c r="M110" s="60" t="s">
        <v>115</v>
      </c>
      <c r="Z110" s="59">
        <f>ROUND(IF(AQ110="5",BJ110,0),2)</f>
        <v>0</v>
      </c>
      <c r="AB110" s="59">
        <f>ROUND(IF(AQ110="1",BH110,0),2)</f>
        <v>0</v>
      </c>
      <c r="AC110" s="59">
        <f>ROUND(IF(AQ110="1",BI110,0),2)</f>
        <v>0</v>
      </c>
      <c r="AD110" s="59">
        <f>ROUND(IF(AQ110="7",BH110,0),2)</f>
        <v>0</v>
      </c>
      <c r="AE110" s="59">
        <f>ROUND(IF(AQ110="7",BI110,0),2)</f>
        <v>0</v>
      </c>
      <c r="AF110" s="59">
        <f>ROUND(IF(AQ110="2",BH110,0),2)</f>
        <v>0</v>
      </c>
      <c r="AG110" s="59">
        <f>ROUND(IF(AQ110="2",BI110,0),2)</f>
        <v>0</v>
      </c>
      <c r="AH110" s="59">
        <f>ROUND(IF(AQ110="0",BJ110,0),2)</f>
        <v>0</v>
      </c>
      <c r="AI110" s="46" t="s">
        <v>107</v>
      </c>
      <c r="AJ110" s="59">
        <f>IF(AN110=0,I110,0)</f>
        <v>0</v>
      </c>
      <c r="AK110" s="59">
        <f>IF(AN110=12,I110,0)</f>
        <v>0</v>
      </c>
      <c r="AL110" s="59">
        <f>IF(AN110=21,I110,0)</f>
        <v>0</v>
      </c>
      <c r="AN110" s="59">
        <v>12</v>
      </c>
      <c r="AO110" s="59">
        <f>H110*0</f>
        <v>0</v>
      </c>
      <c r="AP110" s="59">
        <f>H110*(1-0)</f>
        <v>0</v>
      </c>
      <c r="AQ110" s="61" t="s">
        <v>137</v>
      </c>
      <c r="AV110" s="59">
        <f>ROUND(AW110+AX110,2)</f>
        <v>0</v>
      </c>
      <c r="AW110" s="59">
        <f>ROUND(G110*AO110,2)</f>
        <v>0</v>
      </c>
      <c r="AX110" s="59">
        <f>ROUND(G110*AP110,2)</f>
        <v>0</v>
      </c>
      <c r="AY110" s="61" t="s">
        <v>329</v>
      </c>
      <c r="AZ110" s="61" t="s">
        <v>274</v>
      </c>
      <c r="BA110" s="46" t="s">
        <v>118</v>
      </c>
      <c r="BC110" s="59">
        <f>AW110+AX110</f>
        <v>0</v>
      </c>
      <c r="BD110" s="59">
        <f>H110/(100-BE110)*100</f>
        <v>0</v>
      </c>
      <c r="BE110" s="59">
        <v>0</v>
      </c>
      <c r="BF110" s="59">
        <f>L110</f>
        <v>0</v>
      </c>
      <c r="BH110" s="59">
        <f>G110*AO110</f>
        <v>0</v>
      </c>
      <c r="BI110" s="59">
        <f>G110*AP110</f>
        <v>0</v>
      </c>
      <c r="BJ110" s="59">
        <f>G110*H110</f>
        <v>0</v>
      </c>
      <c r="BK110" s="59"/>
      <c r="BL110" s="59"/>
      <c r="BW110" s="59">
        <v>12</v>
      </c>
      <c r="BX110" s="16" t="s">
        <v>337</v>
      </c>
    </row>
    <row r="111" spans="1:76" x14ac:dyDescent="0.25">
      <c r="A111" s="62"/>
      <c r="D111" s="63" t="s">
        <v>334</v>
      </c>
      <c r="E111" s="63"/>
      <c r="G111" s="64">
        <v>3.32</v>
      </c>
      <c r="M111" s="65"/>
    </row>
    <row r="112" spans="1:76" ht="15" customHeight="1" x14ac:dyDescent="0.25">
      <c r="A112" s="58" t="s">
        <v>338</v>
      </c>
      <c r="B112" s="18" t="s">
        <v>107</v>
      </c>
      <c r="C112" s="18" t="s">
        <v>339</v>
      </c>
      <c r="D112" s="8" t="s">
        <v>340</v>
      </c>
      <c r="E112" s="8"/>
      <c r="F112" s="18" t="s">
        <v>224</v>
      </c>
      <c r="G112" s="59">
        <v>2.3199999999999998</v>
      </c>
      <c r="H112" s="59">
        <v>0</v>
      </c>
      <c r="I112" s="59">
        <f>ROUND(G112*H112,2)</f>
        <v>0</v>
      </c>
      <c r="J112" s="59">
        <v>0</v>
      </c>
      <c r="K112" s="59">
        <v>0</v>
      </c>
      <c r="L112" s="59">
        <f>G112*K112</f>
        <v>0</v>
      </c>
      <c r="M112" s="60" t="s">
        <v>115</v>
      </c>
      <c r="Z112" s="59">
        <f>ROUND(IF(AQ112="5",BJ112,0),2)</f>
        <v>0</v>
      </c>
      <c r="AB112" s="59">
        <f>ROUND(IF(AQ112="1",BH112,0),2)</f>
        <v>0</v>
      </c>
      <c r="AC112" s="59">
        <f>ROUND(IF(AQ112="1",BI112,0),2)</f>
        <v>0</v>
      </c>
      <c r="AD112" s="59">
        <f>ROUND(IF(AQ112="7",BH112,0),2)</f>
        <v>0</v>
      </c>
      <c r="AE112" s="59">
        <f>ROUND(IF(AQ112="7",BI112,0),2)</f>
        <v>0</v>
      </c>
      <c r="AF112" s="59">
        <f>ROUND(IF(AQ112="2",BH112,0),2)</f>
        <v>0</v>
      </c>
      <c r="AG112" s="59">
        <f>ROUND(IF(AQ112="2",BI112,0),2)</f>
        <v>0</v>
      </c>
      <c r="AH112" s="59">
        <f>ROUND(IF(AQ112="0",BJ112,0),2)</f>
        <v>0</v>
      </c>
      <c r="AI112" s="46" t="s">
        <v>107</v>
      </c>
      <c r="AJ112" s="59">
        <f>IF(AN112=0,I112,0)</f>
        <v>0</v>
      </c>
      <c r="AK112" s="59">
        <f>IF(AN112=12,I112,0)</f>
        <v>0</v>
      </c>
      <c r="AL112" s="59">
        <f>IF(AN112=21,I112,0)</f>
        <v>0</v>
      </c>
      <c r="AN112" s="59">
        <v>12</v>
      </c>
      <c r="AO112" s="59">
        <f>H112*0</f>
        <v>0</v>
      </c>
      <c r="AP112" s="59">
        <f>H112*(1-0)</f>
        <v>0</v>
      </c>
      <c r="AQ112" s="61" t="s">
        <v>137</v>
      </c>
      <c r="AV112" s="59">
        <f>ROUND(AW112+AX112,2)</f>
        <v>0</v>
      </c>
      <c r="AW112" s="59">
        <f>ROUND(G112*AO112,2)</f>
        <v>0</v>
      </c>
      <c r="AX112" s="59">
        <f>ROUND(G112*AP112,2)</f>
        <v>0</v>
      </c>
      <c r="AY112" s="61" t="s">
        <v>329</v>
      </c>
      <c r="AZ112" s="61" t="s">
        <v>274</v>
      </c>
      <c r="BA112" s="46" t="s">
        <v>118</v>
      </c>
      <c r="BC112" s="59">
        <f>AW112+AX112</f>
        <v>0</v>
      </c>
      <c r="BD112" s="59">
        <f>H112/(100-BE112)*100</f>
        <v>0</v>
      </c>
      <c r="BE112" s="59">
        <v>0</v>
      </c>
      <c r="BF112" s="59">
        <f>L112</f>
        <v>0</v>
      </c>
      <c r="BH112" s="59">
        <f>G112*AO112</f>
        <v>0</v>
      </c>
      <c r="BI112" s="59">
        <f>G112*AP112</f>
        <v>0</v>
      </c>
      <c r="BJ112" s="59">
        <f>G112*H112</f>
        <v>0</v>
      </c>
      <c r="BK112" s="59"/>
      <c r="BL112" s="59"/>
      <c r="BW112" s="59">
        <v>12</v>
      </c>
      <c r="BX112" s="16" t="s">
        <v>340</v>
      </c>
    </row>
    <row r="113" spans="1:76" x14ac:dyDescent="0.25">
      <c r="A113" s="62"/>
      <c r="D113" s="63" t="s">
        <v>341</v>
      </c>
      <c r="E113" s="63"/>
      <c r="G113" s="64">
        <v>2.3199999999999998</v>
      </c>
      <c r="M113" s="65"/>
    </row>
    <row r="114" spans="1:76" ht="24" customHeight="1" x14ac:dyDescent="0.25">
      <c r="A114" s="58" t="s">
        <v>342</v>
      </c>
      <c r="B114" s="18" t="s">
        <v>107</v>
      </c>
      <c r="C114" s="18" t="s">
        <v>343</v>
      </c>
      <c r="D114" s="8" t="s">
        <v>344</v>
      </c>
      <c r="E114" s="8"/>
      <c r="F114" s="18" t="s">
        <v>224</v>
      </c>
      <c r="G114" s="59">
        <v>1</v>
      </c>
      <c r="H114" s="59">
        <v>0</v>
      </c>
      <c r="I114" s="59">
        <f>ROUND(G114*H114,2)</f>
        <v>0</v>
      </c>
      <c r="J114" s="59">
        <v>0</v>
      </c>
      <c r="K114" s="59">
        <v>0</v>
      </c>
      <c r="L114" s="59">
        <f>G114*K114</f>
        <v>0</v>
      </c>
      <c r="M114" s="60" t="s">
        <v>115</v>
      </c>
      <c r="Z114" s="59">
        <f>ROUND(IF(AQ114="5",BJ114,0),2)</f>
        <v>0</v>
      </c>
      <c r="AB114" s="59">
        <f>ROUND(IF(AQ114="1",BH114,0),2)</f>
        <v>0</v>
      </c>
      <c r="AC114" s="59">
        <f>ROUND(IF(AQ114="1",BI114,0),2)</f>
        <v>0</v>
      </c>
      <c r="AD114" s="59">
        <f>ROUND(IF(AQ114="7",BH114,0),2)</f>
        <v>0</v>
      </c>
      <c r="AE114" s="59">
        <f>ROUND(IF(AQ114="7",BI114,0),2)</f>
        <v>0</v>
      </c>
      <c r="AF114" s="59">
        <f>ROUND(IF(AQ114="2",BH114,0),2)</f>
        <v>0</v>
      </c>
      <c r="AG114" s="59">
        <f>ROUND(IF(AQ114="2",BI114,0),2)</f>
        <v>0</v>
      </c>
      <c r="AH114" s="59">
        <f>ROUND(IF(AQ114="0",BJ114,0),2)</f>
        <v>0</v>
      </c>
      <c r="AI114" s="46" t="s">
        <v>107</v>
      </c>
      <c r="AJ114" s="59">
        <f>IF(AN114=0,I114,0)</f>
        <v>0</v>
      </c>
      <c r="AK114" s="59">
        <f>IF(AN114=12,I114,0)</f>
        <v>0</v>
      </c>
      <c r="AL114" s="59">
        <f>IF(AN114=21,I114,0)</f>
        <v>0</v>
      </c>
      <c r="AN114" s="59">
        <v>12</v>
      </c>
      <c r="AO114" s="59">
        <f>H114*0</f>
        <v>0</v>
      </c>
      <c r="AP114" s="59">
        <f>H114*(1-0)</f>
        <v>0</v>
      </c>
      <c r="AQ114" s="61" t="s">
        <v>137</v>
      </c>
      <c r="AV114" s="59">
        <f>ROUND(AW114+AX114,2)</f>
        <v>0</v>
      </c>
      <c r="AW114" s="59">
        <f>ROUND(G114*AO114,2)</f>
        <v>0</v>
      </c>
      <c r="AX114" s="59">
        <f>ROUND(G114*AP114,2)</f>
        <v>0</v>
      </c>
      <c r="AY114" s="61" t="s">
        <v>329</v>
      </c>
      <c r="AZ114" s="61" t="s">
        <v>274</v>
      </c>
      <c r="BA114" s="46" t="s">
        <v>118</v>
      </c>
      <c r="BC114" s="59">
        <f>AW114+AX114</f>
        <v>0</v>
      </c>
      <c r="BD114" s="59">
        <f>H114/(100-BE114)*100</f>
        <v>0</v>
      </c>
      <c r="BE114" s="59">
        <v>0</v>
      </c>
      <c r="BF114" s="59">
        <f>L114</f>
        <v>0</v>
      </c>
      <c r="BH114" s="59">
        <f>G114*AO114</f>
        <v>0</v>
      </c>
      <c r="BI114" s="59">
        <f>G114*AP114</f>
        <v>0</v>
      </c>
      <c r="BJ114" s="59">
        <f>G114*H114</f>
        <v>0</v>
      </c>
      <c r="BK114" s="59"/>
      <c r="BL114" s="59"/>
      <c r="BW114" s="59">
        <v>12</v>
      </c>
      <c r="BX114" s="16" t="s">
        <v>344</v>
      </c>
    </row>
    <row r="115" spans="1:76" x14ac:dyDescent="0.25">
      <c r="A115" s="62"/>
      <c r="D115" s="63" t="s">
        <v>345</v>
      </c>
      <c r="E115" s="63"/>
      <c r="G115" s="64">
        <v>1</v>
      </c>
      <c r="M115" s="65"/>
    </row>
    <row r="116" spans="1:76" ht="15" customHeight="1" x14ac:dyDescent="0.25">
      <c r="A116" s="54"/>
      <c r="B116" s="55" t="s">
        <v>349</v>
      </c>
      <c r="C116" s="55"/>
      <c r="D116" s="104" t="s">
        <v>350</v>
      </c>
      <c r="E116" s="104"/>
      <c r="F116" s="56" t="s">
        <v>88</v>
      </c>
      <c r="G116" s="56" t="s">
        <v>88</v>
      </c>
      <c r="H116" s="56" t="s">
        <v>88</v>
      </c>
      <c r="I116" s="39">
        <f>I117+I122+I129+I136+I145+I148+I155+I164+I178+I181+I192+I199+I202+I209+I214+I217+I233+I236+I238</f>
        <v>0</v>
      </c>
      <c r="J116" s="46"/>
      <c r="K116" s="46"/>
      <c r="L116" s="39">
        <f>L117+L122+L129+L136+L145+L148+L155+L164+L178+L181+L192+L199+L202+L209+L214+L217+L233+L236+L238</f>
        <v>16.623819260000001</v>
      </c>
      <c r="M116" s="57"/>
    </row>
    <row r="117" spans="1:76" ht="15" customHeight="1" x14ac:dyDescent="0.25">
      <c r="A117" s="54"/>
      <c r="B117" s="55" t="s">
        <v>349</v>
      </c>
      <c r="C117" s="55" t="s">
        <v>109</v>
      </c>
      <c r="D117" s="104" t="s">
        <v>110</v>
      </c>
      <c r="E117" s="104"/>
      <c r="F117" s="56" t="s">
        <v>88</v>
      </c>
      <c r="G117" s="56" t="s">
        <v>88</v>
      </c>
      <c r="H117" s="56" t="s">
        <v>88</v>
      </c>
      <c r="I117" s="39">
        <f>SUM(I118:I120)</f>
        <v>0</v>
      </c>
      <c r="J117" s="46"/>
      <c r="K117" s="46"/>
      <c r="L117" s="39">
        <f>SUM(L118:L120)</f>
        <v>0.14842520000000001</v>
      </c>
      <c r="M117" s="57"/>
      <c r="AI117" s="46" t="s">
        <v>349</v>
      </c>
      <c r="AS117" s="39">
        <f>SUM(AJ118:AJ120)</f>
        <v>0</v>
      </c>
      <c r="AT117" s="39">
        <f>SUM(AK118:AK120)</f>
        <v>0</v>
      </c>
      <c r="AU117" s="39">
        <f>SUM(AL118:AL120)</f>
        <v>0</v>
      </c>
    </row>
    <row r="118" spans="1:76" ht="15" customHeight="1" x14ac:dyDescent="0.25">
      <c r="A118" s="58" t="s">
        <v>428</v>
      </c>
      <c r="B118" s="18" t="s">
        <v>349</v>
      </c>
      <c r="C118" s="18" t="s">
        <v>112</v>
      </c>
      <c r="D118" s="8" t="s">
        <v>113</v>
      </c>
      <c r="E118" s="8"/>
      <c r="F118" s="18" t="s">
        <v>114</v>
      </c>
      <c r="G118" s="59">
        <v>26.84</v>
      </c>
      <c r="H118" s="59">
        <v>0</v>
      </c>
      <c r="I118" s="59">
        <f>ROUND(G118*H118,2)</f>
        <v>0</v>
      </c>
      <c r="J118" s="59">
        <v>4.5900000000000003E-3</v>
      </c>
      <c r="K118" s="59">
        <v>4.5900000000000003E-3</v>
      </c>
      <c r="L118" s="59">
        <f>G118*K118</f>
        <v>0.1231956</v>
      </c>
      <c r="M118" s="60" t="s">
        <v>115</v>
      </c>
      <c r="Z118" s="59">
        <f>ROUND(IF(AQ118="5",BJ118,0),2)</f>
        <v>0</v>
      </c>
      <c r="AB118" s="59">
        <f>ROUND(IF(AQ118="1",BH118,0),2)</f>
        <v>0</v>
      </c>
      <c r="AC118" s="59">
        <f>ROUND(IF(AQ118="1",BI118,0),2)</f>
        <v>0</v>
      </c>
      <c r="AD118" s="59">
        <f>ROUND(IF(AQ118="7",BH118,0),2)</f>
        <v>0</v>
      </c>
      <c r="AE118" s="59">
        <f>ROUND(IF(AQ118="7",BI118,0),2)</f>
        <v>0</v>
      </c>
      <c r="AF118" s="59">
        <f>ROUND(IF(AQ118="2",BH118,0),2)</f>
        <v>0</v>
      </c>
      <c r="AG118" s="59">
        <f>ROUND(IF(AQ118="2",BI118,0),2)</f>
        <v>0</v>
      </c>
      <c r="AH118" s="59">
        <f>ROUND(IF(AQ118="0",BJ118,0),2)</f>
        <v>0</v>
      </c>
      <c r="AI118" s="46" t="s">
        <v>349</v>
      </c>
      <c r="AJ118" s="59">
        <f>IF(AN118=0,I118,0)</f>
        <v>0</v>
      </c>
      <c r="AK118" s="59">
        <f>IF(AN118=12,I118,0)</f>
        <v>0</v>
      </c>
      <c r="AL118" s="59">
        <f>IF(AN118=21,I118,0)</f>
        <v>0</v>
      </c>
      <c r="AN118" s="59">
        <v>12</v>
      </c>
      <c r="AO118" s="59">
        <f>H118*0.151837697</f>
        <v>0</v>
      </c>
      <c r="AP118" s="59">
        <f>H118*(1-0.151837697)</f>
        <v>0</v>
      </c>
      <c r="AQ118" s="61" t="s">
        <v>111</v>
      </c>
      <c r="AV118" s="59">
        <f>ROUND(AW118+AX118,2)</f>
        <v>0</v>
      </c>
      <c r="AW118" s="59">
        <f>ROUND(G118*AO118,2)</f>
        <v>0</v>
      </c>
      <c r="AX118" s="59">
        <f>ROUND(G118*AP118,2)</f>
        <v>0</v>
      </c>
      <c r="AY118" s="61" t="s">
        <v>116</v>
      </c>
      <c r="AZ118" s="61" t="s">
        <v>351</v>
      </c>
      <c r="BA118" s="46" t="s">
        <v>352</v>
      </c>
      <c r="BC118" s="59">
        <f>AW118+AX118</f>
        <v>0</v>
      </c>
      <c r="BD118" s="59">
        <f>H118/(100-BE118)*100</f>
        <v>0</v>
      </c>
      <c r="BE118" s="59">
        <v>0</v>
      </c>
      <c r="BF118" s="59">
        <f>L118</f>
        <v>0.1231956</v>
      </c>
      <c r="BH118" s="59">
        <f>G118*AO118</f>
        <v>0</v>
      </c>
      <c r="BI118" s="59">
        <f>G118*AP118</f>
        <v>0</v>
      </c>
      <c r="BJ118" s="59">
        <f>G118*H118</f>
        <v>0</v>
      </c>
      <c r="BK118" s="59"/>
      <c r="BL118" s="59">
        <v>60</v>
      </c>
      <c r="BW118" s="59">
        <v>12</v>
      </c>
      <c r="BX118" s="16" t="s">
        <v>113</v>
      </c>
    </row>
    <row r="119" spans="1:76" x14ac:dyDescent="0.25">
      <c r="A119" s="62"/>
      <c r="D119" s="63" t="s">
        <v>120</v>
      </c>
      <c r="E119" s="63"/>
      <c r="G119" s="64">
        <v>26.84</v>
      </c>
      <c r="M119" s="65"/>
    </row>
    <row r="120" spans="1:76" ht="15" customHeight="1" x14ac:dyDescent="0.25">
      <c r="A120" s="58" t="s">
        <v>429</v>
      </c>
      <c r="B120" s="18" t="s">
        <v>349</v>
      </c>
      <c r="C120" s="18" t="s">
        <v>122</v>
      </c>
      <c r="D120" s="8" t="s">
        <v>123</v>
      </c>
      <c r="E120" s="8"/>
      <c r="F120" s="18" t="s">
        <v>114</v>
      </c>
      <c r="G120" s="59">
        <v>53.68</v>
      </c>
      <c r="H120" s="59">
        <v>0</v>
      </c>
      <c r="I120" s="59">
        <f>ROUND(G120*H120,2)</f>
        <v>0</v>
      </c>
      <c r="J120" s="59">
        <v>4.6999999999999999E-4</v>
      </c>
      <c r="K120" s="59">
        <v>4.6999999999999999E-4</v>
      </c>
      <c r="L120" s="59">
        <f>G120*K120</f>
        <v>2.5229599999999998E-2</v>
      </c>
      <c r="M120" s="60" t="s">
        <v>115</v>
      </c>
      <c r="Z120" s="59">
        <f>ROUND(IF(AQ120="5",BJ120,0),2)</f>
        <v>0</v>
      </c>
      <c r="AB120" s="59">
        <f>ROUND(IF(AQ120="1",BH120,0),2)</f>
        <v>0</v>
      </c>
      <c r="AC120" s="59">
        <f>ROUND(IF(AQ120="1",BI120,0),2)</f>
        <v>0</v>
      </c>
      <c r="AD120" s="59">
        <f>ROUND(IF(AQ120="7",BH120,0),2)</f>
        <v>0</v>
      </c>
      <c r="AE120" s="59">
        <f>ROUND(IF(AQ120="7",BI120,0),2)</f>
        <v>0</v>
      </c>
      <c r="AF120" s="59">
        <f>ROUND(IF(AQ120="2",BH120,0),2)</f>
        <v>0</v>
      </c>
      <c r="AG120" s="59">
        <f>ROUND(IF(AQ120="2",BI120,0),2)</f>
        <v>0</v>
      </c>
      <c r="AH120" s="59">
        <f>ROUND(IF(AQ120="0",BJ120,0),2)</f>
        <v>0</v>
      </c>
      <c r="AI120" s="46" t="s">
        <v>349</v>
      </c>
      <c r="AJ120" s="59">
        <f>IF(AN120=0,I120,0)</f>
        <v>0</v>
      </c>
      <c r="AK120" s="59">
        <f>IF(AN120=12,I120,0)</f>
        <v>0</v>
      </c>
      <c r="AL120" s="59">
        <f>IF(AN120=21,I120,0)</f>
        <v>0</v>
      </c>
      <c r="AN120" s="59">
        <v>12</v>
      </c>
      <c r="AO120" s="59">
        <f>H120*0.50964582</f>
        <v>0</v>
      </c>
      <c r="AP120" s="59">
        <f>H120*(1-0.50964582)</f>
        <v>0</v>
      </c>
      <c r="AQ120" s="61" t="s">
        <v>111</v>
      </c>
      <c r="AV120" s="59">
        <f>ROUND(AW120+AX120,2)</f>
        <v>0</v>
      </c>
      <c r="AW120" s="59">
        <f>ROUND(G120*AO120,2)</f>
        <v>0</v>
      </c>
      <c r="AX120" s="59">
        <f>ROUND(G120*AP120,2)</f>
        <v>0</v>
      </c>
      <c r="AY120" s="61" t="s">
        <v>116</v>
      </c>
      <c r="AZ120" s="61" t="s">
        <v>351</v>
      </c>
      <c r="BA120" s="46" t="s">
        <v>352</v>
      </c>
      <c r="BC120" s="59">
        <f>AW120+AX120</f>
        <v>0</v>
      </c>
      <c r="BD120" s="59">
        <f>H120/(100-BE120)*100</f>
        <v>0</v>
      </c>
      <c r="BE120" s="59">
        <v>0</v>
      </c>
      <c r="BF120" s="59">
        <f>L120</f>
        <v>2.5229599999999998E-2</v>
      </c>
      <c r="BH120" s="59">
        <f>G120*AO120</f>
        <v>0</v>
      </c>
      <c r="BI120" s="59">
        <f>G120*AP120</f>
        <v>0</v>
      </c>
      <c r="BJ120" s="59">
        <f>G120*H120</f>
        <v>0</v>
      </c>
      <c r="BK120" s="59"/>
      <c r="BL120" s="59">
        <v>60</v>
      </c>
      <c r="BW120" s="59">
        <v>12</v>
      </c>
      <c r="BX120" s="16" t="s">
        <v>123</v>
      </c>
    </row>
    <row r="121" spans="1:76" x14ac:dyDescent="0.25">
      <c r="A121" s="62"/>
      <c r="D121" s="63" t="s">
        <v>124</v>
      </c>
      <c r="E121" s="63"/>
      <c r="G121" s="64">
        <v>53.68</v>
      </c>
      <c r="M121" s="65"/>
    </row>
    <row r="122" spans="1:76" ht="15" customHeight="1" x14ac:dyDescent="0.25">
      <c r="A122" s="54"/>
      <c r="B122" s="55" t="s">
        <v>349</v>
      </c>
      <c r="C122" s="55" t="s">
        <v>125</v>
      </c>
      <c r="D122" s="104" t="s">
        <v>126</v>
      </c>
      <c r="E122" s="104"/>
      <c r="F122" s="56" t="s">
        <v>88</v>
      </c>
      <c r="G122" s="56" t="s">
        <v>88</v>
      </c>
      <c r="H122" s="56" t="s">
        <v>88</v>
      </c>
      <c r="I122" s="39">
        <f>SUM(I123:I127)</f>
        <v>0</v>
      </c>
      <c r="J122" s="46"/>
      <c r="K122" s="46"/>
      <c r="L122" s="39">
        <f>SUM(L123:L127)</f>
        <v>0.94391039999999993</v>
      </c>
      <c r="M122" s="57"/>
      <c r="AI122" s="46" t="s">
        <v>349</v>
      </c>
      <c r="AS122" s="39">
        <f>SUM(AJ123:AJ127)</f>
        <v>0</v>
      </c>
      <c r="AT122" s="39">
        <f>SUM(AK123:AK127)</f>
        <v>0</v>
      </c>
      <c r="AU122" s="39">
        <f>SUM(AL123:AL127)</f>
        <v>0</v>
      </c>
    </row>
    <row r="123" spans="1:76" ht="15" customHeight="1" x14ac:dyDescent="0.25">
      <c r="A123" s="58" t="s">
        <v>430</v>
      </c>
      <c r="B123" s="18" t="s">
        <v>349</v>
      </c>
      <c r="C123" s="18" t="s">
        <v>128</v>
      </c>
      <c r="D123" s="8" t="s">
        <v>129</v>
      </c>
      <c r="E123" s="8"/>
      <c r="F123" s="18" t="s">
        <v>114</v>
      </c>
      <c r="G123" s="59">
        <v>26.04</v>
      </c>
      <c r="H123" s="59">
        <v>0</v>
      </c>
      <c r="I123" s="59">
        <f>ROUND(G123*H123,2)</f>
        <v>0</v>
      </c>
      <c r="J123" s="59">
        <v>3.5659999999999997E-2</v>
      </c>
      <c r="K123" s="59">
        <v>3.5659999999999997E-2</v>
      </c>
      <c r="L123" s="59">
        <f>G123*K123</f>
        <v>0.92858639999999992</v>
      </c>
      <c r="M123" s="60" t="s">
        <v>115</v>
      </c>
      <c r="Z123" s="59">
        <f>ROUND(IF(AQ123="5",BJ123,0),2)</f>
        <v>0</v>
      </c>
      <c r="AB123" s="59">
        <f>ROUND(IF(AQ123="1",BH123,0),2)</f>
        <v>0</v>
      </c>
      <c r="AC123" s="59">
        <f>ROUND(IF(AQ123="1",BI123,0),2)</f>
        <v>0</v>
      </c>
      <c r="AD123" s="59">
        <f>ROUND(IF(AQ123="7",BH123,0),2)</f>
        <v>0</v>
      </c>
      <c r="AE123" s="59">
        <f>ROUND(IF(AQ123="7",BI123,0),2)</f>
        <v>0</v>
      </c>
      <c r="AF123" s="59">
        <f>ROUND(IF(AQ123="2",BH123,0),2)</f>
        <v>0</v>
      </c>
      <c r="AG123" s="59">
        <f>ROUND(IF(AQ123="2",BI123,0),2)</f>
        <v>0</v>
      </c>
      <c r="AH123" s="59">
        <f>ROUND(IF(AQ123="0",BJ123,0),2)</f>
        <v>0</v>
      </c>
      <c r="AI123" s="46" t="s">
        <v>349</v>
      </c>
      <c r="AJ123" s="59">
        <f>IF(AN123=0,I123,0)</f>
        <v>0</v>
      </c>
      <c r="AK123" s="59">
        <f>IF(AN123=12,I123,0)</f>
        <v>0</v>
      </c>
      <c r="AL123" s="59">
        <f>IF(AN123=21,I123,0)</f>
        <v>0</v>
      </c>
      <c r="AN123" s="59">
        <v>12</v>
      </c>
      <c r="AO123" s="59">
        <f>H123*0.283684158</f>
        <v>0</v>
      </c>
      <c r="AP123" s="59">
        <f>H123*(1-0.283684158)</f>
        <v>0</v>
      </c>
      <c r="AQ123" s="61" t="s">
        <v>111</v>
      </c>
      <c r="AV123" s="59">
        <f>ROUND(AW123+AX123,2)</f>
        <v>0</v>
      </c>
      <c r="AW123" s="59">
        <f>ROUND(G123*AO123,2)</f>
        <v>0</v>
      </c>
      <c r="AX123" s="59">
        <f>ROUND(G123*AP123,2)</f>
        <v>0</v>
      </c>
      <c r="AY123" s="61" t="s">
        <v>130</v>
      </c>
      <c r="AZ123" s="61" t="s">
        <v>351</v>
      </c>
      <c r="BA123" s="46" t="s">
        <v>352</v>
      </c>
      <c r="BC123" s="59">
        <f>AW123+AX123</f>
        <v>0</v>
      </c>
      <c r="BD123" s="59">
        <f>H123/(100-BE123)*100</f>
        <v>0</v>
      </c>
      <c r="BE123" s="59">
        <v>0</v>
      </c>
      <c r="BF123" s="59">
        <f>L123</f>
        <v>0.92858639999999992</v>
      </c>
      <c r="BH123" s="59">
        <f>G123*AO123</f>
        <v>0</v>
      </c>
      <c r="BI123" s="59">
        <f>G123*AP123</f>
        <v>0</v>
      </c>
      <c r="BJ123" s="59">
        <f>G123*H123</f>
        <v>0</v>
      </c>
      <c r="BK123" s="59"/>
      <c r="BL123" s="59">
        <v>61</v>
      </c>
      <c r="BW123" s="59">
        <v>12</v>
      </c>
      <c r="BX123" s="16" t="s">
        <v>129</v>
      </c>
    </row>
    <row r="124" spans="1:76" x14ac:dyDescent="0.25">
      <c r="A124" s="62"/>
      <c r="D124" s="63" t="s">
        <v>353</v>
      </c>
      <c r="E124" s="63"/>
      <c r="G124" s="64">
        <v>26.04</v>
      </c>
      <c r="M124" s="65"/>
    </row>
    <row r="125" spans="1:76" ht="15" customHeight="1" x14ac:dyDescent="0.25">
      <c r="A125" s="58" t="s">
        <v>432</v>
      </c>
      <c r="B125" s="18" t="s">
        <v>349</v>
      </c>
      <c r="C125" s="18" t="s">
        <v>134</v>
      </c>
      <c r="D125" s="8" t="s">
        <v>135</v>
      </c>
      <c r="E125" s="8"/>
      <c r="F125" s="18" t="s">
        <v>114</v>
      </c>
      <c r="G125" s="59">
        <v>57.6</v>
      </c>
      <c r="H125" s="59">
        <v>0</v>
      </c>
      <c r="I125" s="59">
        <f>ROUND(G125*H125,2)</f>
        <v>0</v>
      </c>
      <c r="J125" s="59">
        <v>4.0000000000000003E-5</v>
      </c>
      <c r="K125" s="59">
        <v>4.0000000000000003E-5</v>
      </c>
      <c r="L125" s="59">
        <f>G125*K125</f>
        <v>2.3040000000000001E-3</v>
      </c>
      <c r="M125" s="60" t="s">
        <v>115</v>
      </c>
      <c r="Z125" s="59">
        <f>ROUND(IF(AQ125="5",BJ125,0),2)</f>
        <v>0</v>
      </c>
      <c r="AB125" s="59">
        <f>ROUND(IF(AQ125="1",BH125,0),2)</f>
        <v>0</v>
      </c>
      <c r="AC125" s="59">
        <f>ROUND(IF(AQ125="1",BI125,0),2)</f>
        <v>0</v>
      </c>
      <c r="AD125" s="59">
        <f>ROUND(IF(AQ125="7",BH125,0),2)</f>
        <v>0</v>
      </c>
      <c r="AE125" s="59">
        <f>ROUND(IF(AQ125="7",BI125,0),2)</f>
        <v>0</v>
      </c>
      <c r="AF125" s="59">
        <f>ROUND(IF(AQ125="2",BH125,0),2)</f>
        <v>0</v>
      </c>
      <c r="AG125" s="59">
        <f>ROUND(IF(AQ125="2",BI125,0),2)</f>
        <v>0</v>
      </c>
      <c r="AH125" s="59">
        <f>ROUND(IF(AQ125="0",BJ125,0),2)</f>
        <v>0</v>
      </c>
      <c r="AI125" s="46" t="s">
        <v>349</v>
      </c>
      <c r="AJ125" s="59">
        <f>IF(AN125=0,I125,0)</f>
        <v>0</v>
      </c>
      <c r="AK125" s="59">
        <f>IF(AN125=12,I125,0)</f>
        <v>0</v>
      </c>
      <c r="AL125" s="59">
        <f>IF(AN125=21,I125,0)</f>
        <v>0</v>
      </c>
      <c r="AN125" s="59">
        <v>12</v>
      </c>
      <c r="AO125" s="59">
        <f>H125*0.267961277</f>
        <v>0</v>
      </c>
      <c r="AP125" s="59">
        <f>H125*(1-0.267961277)</f>
        <v>0</v>
      </c>
      <c r="AQ125" s="61" t="s">
        <v>111</v>
      </c>
      <c r="AV125" s="59">
        <f>ROUND(AW125+AX125,2)</f>
        <v>0</v>
      </c>
      <c r="AW125" s="59">
        <f>ROUND(G125*AO125,2)</f>
        <v>0</v>
      </c>
      <c r="AX125" s="59">
        <f>ROUND(G125*AP125,2)</f>
        <v>0</v>
      </c>
      <c r="AY125" s="61" t="s">
        <v>130</v>
      </c>
      <c r="AZ125" s="61" t="s">
        <v>351</v>
      </c>
      <c r="BA125" s="46" t="s">
        <v>352</v>
      </c>
      <c r="BC125" s="59">
        <f>AW125+AX125</f>
        <v>0</v>
      </c>
      <c r="BD125" s="59">
        <f>H125/(100-BE125)*100</f>
        <v>0</v>
      </c>
      <c r="BE125" s="59">
        <v>0</v>
      </c>
      <c r="BF125" s="59">
        <f>L125</f>
        <v>2.3040000000000001E-3</v>
      </c>
      <c r="BH125" s="59">
        <f>G125*AO125</f>
        <v>0</v>
      </c>
      <c r="BI125" s="59">
        <f>G125*AP125</f>
        <v>0</v>
      </c>
      <c r="BJ125" s="59">
        <f>G125*H125</f>
        <v>0</v>
      </c>
      <c r="BK125" s="59"/>
      <c r="BL125" s="59">
        <v>61</v>
      </c>
      <c r="BW125" s="59">
        <v>12</v>
      </c>
      <c r="BX125" s="16" t="s">
        <v>135</v>
      </c>
    </row>
    <row r="126" spans="1:76" x14ac:dyDescent="0.25">
      <c r="A126" s="62"/>
      <c r="D126" s="63" t="s">
        <v>354</v>
      </c>
      <c r="E126" s="63"/>
      <c r="G126" s="64">
        <v>57.6</v>
      </c>
      <c r="M126" s="65"/>
    </row>
    <row r="127" spans="1:76" ht="15" customHeight="1" x14ac:dyDescent="0.25">
      <c r="A127" s="58" t="s">
        <v>434</v>
      </c>
      <c r="B127" s="18" t="s">
        <v>349</v>
      </c>
      <c r="C127" s="18" t="s">
        <v>138</v>
      </c>
      <c r="D127" s="8" t="s">
        <v>139</v>
      </c>
      <c r="E127" s="8"/>
      <c r="F127" s="18" t="s">
        <v>140</v>
      </c>
      <c r="G127" s="59">
        <v>130.19999999999999</v>
      </c>
      <c r="H127" s="59">
        <v>0</v>
      </c>
      <c r="I127" s="59">
        <f>ROUND(G127*H127,2)</f>
        <v>0</v>
      </c>
      <c r="J127" s="59">
        <v>1E-4</v>
      </c>
      <c r="K127" s="59">
        <v>1E-4</v>
      </c>
      <c r="L127" s="59">
        <f>G127*K127</f>
        <v>1.302E-2</v>
      </c>
      <c r="M127" s="60" t="s">
        <v>115</v>
      </c>
      <c r="Z127" s="59">
        <f>ROUND(IF(AQ127="5",BJ127,0),2)</f>
        <v>0</v>
      </c>
      <c r="AB127" s="59">
        <f>ROUND(IF(AQ127="1",BH127,0),2)</f>
        <v>0</v>
      </c>
      <c r="AC127" s="59">
        <f>ROUND(IF(AQ127="1",BI127,0),2)</f>
        <v>0</v>
      </c>
      <c r="AD127" s="59">
        <f>ROUND(IF(AQ127="7",BH127,0),2)</f>
        <v>0</v>
      </c>
      <c r="AE127" s="59">
        <f>ROUND(IF(AQ127="7",BI127,0),2)</f>
        <v>0</v>
      </c>
      <c r="AF127" s="59">
        <f>ROUND(IF(AQ127="2",BH127,0),2)</f>
        <v>0</v>
      </c>
      <c r="AG127" s="59">
        <f>ROUND(IF(AQ127="2",BI127,0),2)</f>
        <v>0</v>
      </c>
      <c r="AH127" s="59">
        <f>ROUND(IF(AQ127="0",BJ127,0),2)</f>
        <v>0</v>
      </c>
      <c r="AI127" s="46" t="s">
        <v>349</v>
      </c>
      <c r="AJ127" s="59">
        <f>IF(AN127=0,I127,0)</f>
        <v>0</v>
      </c>
      <c r="AK127" s="59">
        <f>IF(AN127=12,I127,0)</f>
        <v>0</v>
      </c>
      <c r="AL127" s="59">
        <f>IF(AN127=21,I127,0)</f>
        <v>0</v>
      </c>
      <c r="AN127" s="59">
        <v>12</v>
      </c>
      <c r="AO127" s="59">
        <f>H127*0.367459416</f>
        <v>0</v>
      </c>
      <c r="AP127" s="59">
        <f>H127*(1-0.367459416)</f>
        <v>0</v>
      </c>
      <c r="AQ127" s="61" t="s">
        <v>111</v>
      </c>
      <c r="AV127" s="59">
        <f>ROUND(AW127+AX127,2)</f>
        <v>0</v>
      </c>
      <c r="AW127" s="59">
        <f>ROUND(G127*AO127,2)</f>
        <v>0</v>
      </c>
      <c r="AX127" s="59">
        <f>ROUND(G127*AP127,2)</f>
        <v>0</v>
      </c>
      <c r="AY127" s="61" t="s">
        <v>130</v>
      </c>
      <c r="AZ127" s="61" t="s">
        <v>351</v>
      </c>
      <c r="BA127" s="46" t="s">
        <v>352</v>
      </c>
      <c r="BC127" s="59">
        <f>AW127+AX127</f>
        <v>0</v>
      </c>
      <c r="BD127" s="59">
        <f>H127/(100-BE127)*100</f>
        <v>0</v>
      </c>
      <c r="BE127" s="59">
        <v>0</v>
      </c>
      <c r="BF127" s="59">
        <f>L127</f>
        <v>1.302E-2</v>
      </c>
      <c r="BH127" s="59">
        <f>G127*AO127</f>
        <v>0</v>
      </c>
      <c r="BI127" s="59">
        <f>G127*AP127</f>
        <v>0</v>
      </c>
      <c r="BJ127" s="59">
        <f>G127*H127</f>
        <v>0</v>
      </c>
      <c r="BK127" s="59"/>
      <c r="BL127" s="59">
        <v>61</v>
      </c>
      <c r="BW127" s="59">
        <v>12</v>
      </c>
      <c r="BX127" s="16" t="s">
        <v>139</v>
      </c>
    </row>
    <row r="128" spans="1:76" x14ac:dyDescent="0.25">
      <c r="A128" s="62"/>
      <c r="D128" s="63" t="s">
        <v>355</v>
      </c>
      <c r="E128" s="63"/>
      <c r="G128" s="64">
        <v>130.19999999999999</v>
      </c>
      <c r="M128" s="65"/>
    </row>
    <row r="129" spans="1:76" ht="15" customHeight="1" x14ac:dyDescent="0.25">
      <c r="A129" s="54"/>
      <c r="B129" s="55" t="s">
        <v>349</v>
      </c>
      <c r="C129" s="55" t="s">
        <v>143</v>
      </c>
      <c r="D129" s="104" t="s">
        <v>144</v>
      </c>
      <c r="E129" s="104"/>
      <c r="F129" s="56" t="s">
        <v>88</v>
      </c>
      <c r="G129" s="56" t="s">
        <v>88</v>
      </c>
      <c r="H129" s="56" t="s">
        <v>88</v>
      </c>
      <c r="I129" s="39">
        <f>SUM(I130:I134)</f>
        <v>0</v>
      </c>
      <c r="J129" s="46"/>
      <c r="K129" s="46"/>
      <c r="L129" s="39">
        <f>SUM(L130:L134)</f>
        <v>0.38913170000000002</v>
      </c>
      <c r="M129" s="57"/>
      <c r="AI129" s="46" t="s">
        <v>349</v>
      </c>
      <c r="AS129" s="39">
        <f>SUM(AJ130:AJ134)</f>
        <v>0</v>
      </c>
      <c r="AT129" s="39">
        <f>SUM(AK130:AK134)</f>
        <v>0</v>
      </c>
      <c r="AU129" s="39">
        <f>SUM(AL130:AL134)</f>
        <v>0</v>
      </c>
    </row>
    <row r="130" spans="1:76" ht="15" customHeight="1" x14ac:dyDescent="0.25">
      <c r="A130" s="58" t="s">
        <v>437</v>
      </c>
      <c r="B130" s="18" t="s">
        <v>349</v>
      </c>
      <c r="C130" s="18" t="s">
        <v>146</v>
      </c>
      <c r="D130" s="8" t="s">
        <v>147</v>
      </c>
      <c r="E130" s="8"/>
      <c r="F130" s="18" t="s">
        <v>114</v>
      </c>
      <c r="G130" s="59">
        <v>26.835000000000001</v>
      </c>
      <c r="H130" s="59">
        <v>0</v>
      </c>
      <c r="I130" s="59">
        <f>ROUND(G130*H130,2)</f>
        <v>0</v>
      </c>
      <c r="J130" s="59">
        <v>9.6600000000000002E-3</v>
      </c>
      <c r="K130" s="59">
        <v>9.6600000000000002E-3</v>
      </c>
      <c r="L130" s="59">
        <f>G130*K130</f>
        <v>0.25922610000000001</v>
      </c>
      <c r="M130" s="60" t="s">
        <v>115</v>
      </c>
      <c r="Z130" s="59">
        <f>ROUND(IF(AQ130="5",BJ130,0),2)</f>
        <v>0</v>
      </c>
      <c r="AB130" s="59">
        <f>ROUND(IF(AQ130="1",BH130,0),2)</f>
        <v>0</v>
      </c>
      <c r="AC130" s="59">
        <f>ROUND(IF(AQ130="1",BI130,0),2)</f>
        <v>0</v>
      </c>
      <c r="AD130" s="59">
        <f>ROUND(IF(AQ130="7",BH130,0),2)</f>
        <v>0</v>
      </c>
      <c r="AE130" s="59">
        <f>ROUND(IF(AQ130="7",BI130,0),2)</f>
        <v>0</v>
      </c>
      <c r="AF130" s="59">
        <f>ROUND(IF(AQ130="2",BH130,0),2)</f>
        <v>0</v>
      </c>
      <c r="AG130" s="59">
        <f>ROUND(IF(AQ130="2",BI130,0),2)</f>
        <v>0</v>
      </c>
      <c r="AH130" s="59">
        <f>ROUND(IF(AQ130="0",BJ130,0),2)</f>
        <v>0</v>
      </c>
      <c r="AI130" s="46" t="s">
        <v>349</v>
      </c>
      <c r="AJ130" s="59">
        <f>IF(AN130=0,I130,0)</f>
        <v>0</v>
      </c>
      <c r="AK130" s="59">
        <f>IF(AN130=12,I130,0)</f>
        <v>0</v>
      </c>
      <c r="AL130" s="59">
        <f>IF(AN130=21,I130,0)</f>
        <v>0</v>
      </c>
      <c r="AN130" s="59">
        <v>12</v>
      </c>
      <c r="AO130" s="59">
        <f>H130*0.218564986</f>
        <v>0</v>
      </c>
      <c r="AP130" s="59">
        <f>H130*(1-0.218564986)</f>
        <v>0</v>
      </c>
      <c r="AQ130" s="61" t="s">
        <v>111</v>
      </c>
      <c r="AV130" s="59">
        <f>ROUND(AW130+AX130,2)</f>
        <v>0</v>
      </c>
      <c r="AW130" s="59">
        <f>ROUND(G130*AO130,2)</f>
        <v>0</v>
      </c>
      <c r="AX130" s="59">
        <f>ROUND(G130*AP130,2)</f>
        <v>0</v>
      </c>
      <c r="AY130" s="61" t="s">
        <v>148</v>
      </c>
      <c r="AZ130" s="61" t="s">
        <v>351</v>
      </c>
      <c r="BA130" s="46" t="s">
        <v>352</v>
      </c>
      <c r="BC130" s="59">
        <f>AW130+AX130</f>
        <v>0</v>
      </c>
      <c r="BD130" s="59">
        <f>H130/(100-BE130)*100</f>
        <v>0</v>
      </c>
      <c r="BE130" s="59">
        <v>0</v>
      </c>
      <c r="BF130" s="59">
        <f>L130</f>
        <v>0.25922610000000001</v>
      </c>
      <c r="BH130" s="59">
        <f>G130*AO130</f>
        <v>0</v>
      </c>
      <c r="BI130" s="59">
        <f>G130*AP130</f>
        <v>0</v>
      </c>
      <c r="BJ130" s="59">
        <f>G130*H130</f>
        <v>0</v>
      </c>
      <c r="BK130" s="59"/>
      <c r="BL130" s="59">
        <v>62</v>
      </c>
      <c r="BW130" s="59">
        <v>12</v>
      </c>
      <c r="BX130" s="16" t="s">
        <v>147</v>
      </c>
    </row>
    <row r="131" spans="1:76" x14ac:dyDescent="0.25">
      <c r="A131" s="62"/>
      <c r="D131" s="63" t="s">
        <v>149</v>
      </c>
      <c r="E131" s="63"/>
      <c r="G131" s="64">
        <v>26.835000000000001</v>
      </c>
      <c r="M131" s="65"/>
    </row>
    <row r="132" spans="1:76" ht="15" customHeight="1" x14ac:dyDescent="0.25">
      <c r="A132" s="58" t="s">
        <v>441</v>
      </c>
      <c r="B132" s="18" t="s">
        <v>349</v>
      </c>
      <c r="C132" s="18" t="s">
        <v>151</v>
      </c>
      <c r="D132" s="8" t="s">
        <v>152</v>
      </c>
      <c r="E132" s="8"/>
      <c r="F132" s="18" t="s">
        <v>114</v>
      </c>
      <c r="G132" s="59">
        <v>26.84</v>
      </c>
      <c r="H132" s="59">
        <v>0</v>
      </c>
      <c r="I132" s="59">
        <f>ROUND(G132*H132,2)</f>
        <v>0</v>
      </c>
      <c r="J132" s="59">
        <v>4.3099999999999996E-3</v>
      </c>
      <c r="K132" s="59">
        <v>4.3099999999999996E-3</v>
      </c>
      <c r="L132" s="59">
        <f>G132*K132</f>
        <v>0.11568039999999999</v>
      </c>
      <c r="M132" s="60" t="s">
        <v>115</v>
      </c>
      <c r="Z132" s="59">
        <f>ROUND(IF(AQ132="5",BJ132,0),2)</f>
        <v>0</v>
      </c>
      <c r="AB132" s="59">
        <f>ROUND(IF(AQ132="1",BH132,0),2)</f>
        <v>0</v>
      </c>
      <c r="AC132" s="59">
        <f>ROUND(IF(AQ132="1",BI132,0),2)</f>
        <v>0</v>
      </c>
      <c r="AD132" s="59">
        <f>ROUND(IF(AQ132="7",BH132,0),2)</f>
        <v>0</v>
      </c>
      <c r="AE132" s="59">
        <f>ROUND(IF(AQ132="7",BI132,0),2)</f>
        <v>0</v>
      </c>
      <c r="AF132" s="59">
        <f>ROUND(IF(AQ132="2",BH132,0),2)</f>
        <v>0</v>
      </c>
      <c r="AG132" s="59">
        <f>ROUND(IF(AQ132="2",BI132,0),2)</f>
        <v>0</v>
      </c>
      <c r="AH132" s="59">
        <f>ROUND(IF(AQ132="0",BJ132,0),2)</f>
        <v>0</v>
      </c>
      <c r="AI132" s="46" t="s">
        <v>349</v>
      </c>
      <c r="AJ132" s="59">
        <f>IF(AN132=0,I132,0)</f>
        <v>0</v>
      </c>
      <c r="AK132" s="59">
        <f>IF(AN132=12,I132,0)</f>
        <v>0</v>
      </c>
      <c r="AL132" s="59">
        <f>IF(AN132=21,I132,0)</f>
        <v>0</v>
      </c>
      <c r="AN132" s="59">
        <v>12</v>
      </c>
      <c r="AO132" s="59">
        <f>H132*0.224526803</f>
        <v>0</v>
      </c>
      <c r="AP132" s="59">
        <f>H132*(1-0.224526803)</f>
        <v>0</v>
      </c>
      <c r="AQ132" s="61" t="s">
        <v>111</v>
      </c>
      <c r="AV132" s="59">
        <f>ROUND(AW132+AX132,2)</f>
        <v>0</v>
      </c>
      <c r="AW132" s="59">
        <f>ROUND(G132*AO132,2)</f>
        <v>0</v>
      </c>
      <c r="AX132" s="59">
        <f>ROUND(G132*AP132,2)</f>
        <v>0</v>
      </c>
      <c r="AY132" s="61" t="s">
        <v>148</v>
      </c>
      <c r="AZ132" s="61" t="s">
        <v>351</v>
      </c>
      <c r="BA132" s="46" t="s">
        <v>352</v>
      </c>
      <c r="BC132" s="59">
        <f>AW132+AX132</f>
        <v>0</v>
      </c>
      <c r="BD132" s="59">
        <f>H132/(100-BE132)*100</f>
        <v>0</v>
      </c>
      <c r="BE132" s="59">
        <v>0</v>
      </c>
      <c r="BF132" s="59">
        <f>L132</f>
        <v>0.11568039999999999</v>
      </c>
      <c r="BH132" s="59">
        <f>G132*AO132</f>
        <v>0</v>
      </c>
      <c r="BI132" s="59">
        <f>G132*AP132</f>
        <v>0</v>
      </c>
      <c r="BJ132" s="59">
        <f>G132*H132</f>
        <v>0</v>
      </c>
      <c r="BK132" s="59"/>
      <c r="BL132" s="59">
        <v>62</v>
      </c>
      <c r="BW132" s="59">
        <v>12</v>
      </c>
      <c r="BX132" s="16" t="s">
        <v>152</v>
      </c>
    </row>
    <row r="133" spans="1:76" x14ac:dyDescent="0.25">
      <c r="A133" s="62"/>
      <c r="D133" s="63" t="s">
        <v>120</v>
      </c>
      <c r="E133" s="63"/>
      <c r="G133" s="64">
        <v>26.84</v>
      </c>
      <c r="M133" s="65"/>
    </row>
    <row r="134" spans="1:76" ht="15" customHeight="1" x14ac:dyDescent="0.25">
      <c r="A134" s="58" t="s">
        <v>445</v>
      </c>
      <c r="B134" s="18" t="s">
        <v>349</v>
      </c>
      <c r="C134" s="18" t="s">
        <v>155</v>
      </c>
      <c r="D134" s="8" t="s">
        <v>156</v>
      </c>
      <c r="E134" s="8"/>
      <c r="F134" s="18" t="s">
        <v>114</v>
      </c>
      <c r="G134" s="59">
        <v>26.84</v>
      </c>
      <c r="H134" s="59">
        <v>0</v>
      </c>
      <c r="I134" s="59">
        <f>ROUND(G134*H134,2)</f>
        <v>0</v>
      </c>
      <c r="J134" s="59">
        <v>5.2999999999999998E-4</v>
      </c>
      <c r="K134" s="59">
        <v>5.2999999999999998E-4</v>
      </c>
      <c r="L134" s="59">
        <f>G134*K134</f>
        <v>1.4225199999999999E-2</v>
      </c>
      <c r="M134" s="60" t="s">
        <v>115</v>
      </c>
      <c r="Z134" s="59">
        <f>ROUND(IF(AQ134="5",BJ134,0),2)</f>
        <v>0</v>
      </c>
      <c r="AB134" s="59">
        <f>ROUND(IF(AQ134="1",BH134,0),2)</f>
        <v>0</v>
      </c>
      <c r="AC134" s="59">
        <f>ROUND(IF(AQ134="1",BI134,0),2)</f>
        <v>0</v>
      </c>
      <c r="AD134" s="59">
        <f>ROUND(IF(AQ134="7",BH134,0),2)</f>
        <v>0</v>
      </c>
      <c r="AE134" s="59">
        <f>ROUND(IF(AQ134="7",BI134,0),2)</f>
        <v>0</v>
      </c>
      <c r="AF134" s="59">
        <f>ROUND(IF(AQ134="2",BH134,0),2)</f>
        <v>0</v>
      </c>
      <c r="AG134" s="59">
        <f>ROUND(IF(AQ134="2",BI134,0),2)</f>
        <v>0</v>
      </c>
      <c r="AH134" s="59">
        <f>ROUND(IF(AQ134="0",BJ134,0),2)</f>
        <v>0</v>
      </c>
      <c r="AI134" s="46" t="s">
        <v>349</v>
      </c>
      <c r="AJ134" s="59">
        <f>IF(AN134=0,I134,0)</f>
        <v>0</v>
      </c>
      <c r="AK134" s="59">
        <f>IF(AN134=12,I134,0)</f>
        <v>0</v>
      </c>
      <c r="AL134" s="59">
        <f>IF(AN134=21,I134,0)</f>
        <v>0</v>
      </c>
      <c r="AN134" s="59">
        <v>12</v>
      </c>
      <c r="AO134" s="59">
        <f>H134*0.475328947</f>
        <v>0</v>
      </c>
      <c r="AP134" s="59">
        <f>H134*(1-0.475328947)</f>
        <v>0</v>
      </c>
      <c r="AQ134" s="61" t="s">
        <v>111</v>
      </c>
      <c r="AV134" s="59">
        <f>ROUND(AW134+AX134,2)</f>
        <v>0</v>
      </c>
      <c r="AW134" s="59">
        <f>ROUND(G134*AO134,2)</f>
        <v>0</v>
      </c>
      <c r="AX134" s="59">
        <f>ROUND(G134*AP134,2)</f>
        <v>0</v>
      </c>
      <c r="AY134" s="61" t="s">
        <v>148</v>
      </c>
      <c r="AZ134" s="61" t="s">
        <v>351</v>
      </c>
      <c r="BA134" s="46" t="s">
        <v>352</v>
      </c>
      <c r="BC134" s="59">
        <f>AW134+AX134</f>
        <v>0</v>
      </c>
      <c r="BD134" s="59">
        <f>H134/(100-BE134)*100</f>
        <v>0</v>
      </c>
      <c r="BE134" s="59">
        <v>0</v>
      </c>
      <c r="BF134" s="59">
        <f>L134</f>
        <v>1.4225199999999999E-2</v>
      </c>
      <c r="BH134" s="59">
        <f>G134*AO134</f>
        <v>0</v>
      </c>
      <c r="BI134" s="59">
        <f>G134*AP134</f>
        <v>0</v>
      </c>
      <c r="BJ134" s="59">
        <f>G134*H134</f>
        <v>0</v>
      </c>
      <c r="BK134" s="59"/>
      <c r="BL134" s="59">
        <v>62</v>
      </c>
      <c r="BW134" s="59">
        <v>12</v>
      </c>
      <c r="BX134" s="16" t="s">
        <v>156</v>
      </c>
    </row>
    <row r="135" spans="1:76" x14ac:dyDescent="0.25">
      <c r="A135" s="62"/>
      <c r="D135" s="63" t="s">
        <v>120</v>
      </c>
      <c r="E135" s="63"/>
      <c r="G135" s="64">
        <v>26.84</v>
      </c>
      <c r="M135" s="65"/>
    </row>
    <row r="136" spans="1:76" ht="15" customHeight="1" x14ac:dyDescent="0.25">
      <c r="A136" s="54"/>
      <c r="B136" s="55" t="s">
        <v>349</v>
      </c>
      <c r="C136" s="55" t="s">
        <v>356</v>
      </c>
      <c r="D136" s="104" t="s">
        <v>357</v>
      </c>
      <c r="E136" s="104"/>
      <c r="F136" s="56" t="s">
        <v>88</v>
      </c>
      <c r="G136" s="56" t="s">
        <v>88</v>
      </c>
      <c r="H136" s="56" t="s">
        <v>88</v>
      </c>
      <c r="I136" s="39">
        <f>SUM(I137:I143)</f>
        <v>0</v>
      </c>
      <c r="J136" s="46"/>
      <c r="K136" s="46"/>
      <c r="L136" s="39">
        <f>SUM(L137:L143)</f>
        <v>2.5745817999999998</v>
      </c>
      <c r="M136" s="57"/>
      <c r="AI136" s="46" t="s">
        <v>349</v>
      </c>
      <c r="AS136" s="39">
        <f>SUM(AJ137:AJ143)</f>
        <v>0</v>
      </c>
      <c r="AT136" s="39">
        <f>SUM(AK137:AK143)</f>
        <v>0</v>
      </c>
      <c r="AU136" s="39">
        <f>SUM(AL137:AL143)</f>
        <v>0</v>
      </c>
    </row>
    <row r="137" spans="1:76" ht="15" customHeight="1" x14ac:dyDescent="0.25">
      <c r="A137" s="58" t="s">
        <v>449</v>
      </c>
      <c r="B137" s="18" t="s">
        <v>349</v>
      </c>
      <c r="C137" s="18" t="s">
        <v>358</v>
      </c>
      <c r="D137" s="8" t="s">
        <v>359</v>
      </c>
      <c r="E137" s="8"/>
      <c r="F137" s="18" t="s">
        <v>360</v>
      </c>
      <c r="G137" s="59">
        <v>1.115</v>
      </c>
      <c r="H137" s="59">
        <v>0</v>
      </c>
      <c r="I137" s="59">
        <f>ROUND(G137*H137,2)</f>
        <v>0</v>
      </c>
      <c r="J137" s="59">
        <v>1.919</v>
      </c>
      <c r="K137" s="59">
        <v>1.919</v>
      </c>
      <c r="L137" s="59">
        <f>G137*K137</f>
        <v>2.1396850000000001</v>
      </c>
      <c r="M137" s="60" t="s">
        <v>115</v>
      </c>
      <c r="Z137" s="59">
        <f>ROUND(IF(AQ137="5",BJ137,0),2)</f>
        <v>0</v>
      </c>
      <c r="AB137" s="59">
        <f>ROUND(IF(AQ137="1",BH137,0),2)</f>
        <v>0</v>
      </c>
      <c r="AC137" s="59">
        <f>ROUND(IF(AQ137="1",BI137,0),2)</f>
        <v>0</v>
      </c>
      <c r="AD137" s="59">
        <f>ROUND(IF(AQ137="7",BH137,0),2)</f>
        <v>0</v>
      </c>
      <c r="AE137" s="59">
        <f>ROUND(IF(AQ137="7",BI137,0),2)</f>
        <v>0</v>
      </c>
      <c r="AF137" s="59">
        <f>ROUND(IF(AQ137="2",BH137,0),2)</f>
        <v>0</v>
      </c>
      <c r="AG137" s="59">
        <f>ROUND(IF(AQ137="2",BI137,0),2)</f>
        <v>0</v>
      </c>
      <c r="AH137" s="59">
        <f>ROUND(IF(AQ137="0",BJ137,0),2)</f>
        <v>0</v>
      </c>
      <c r="AI137" s="46" t="s">
        <v>349</v>
      </c>
      <c r="AJ137" s="59">
        <f>IF(AN137=0,I137,0)</f>
        <v>0</v>
      </c>
      <c r="AK137" s="59">
        <f>IF(AN137=12,I137,0)</f>
        <v>0</v>
      </c>
      <c r="AL137" s="59">
        <f>IF(AN137=21,I137,0)</f>
        <v>0</v>
      </c>
      <c r="AN137" s="59">
        <v>12</v>
      </c>
      <c r="AO137" s="59">
        <f>H137*0.822201844</f>
        <v>0</v>
      </c>
      <c r="AP137" s="59">
        <f>H137*(1-0.822201844)</f>
        <v>0</v>
      </c>
      <c r="AQ137" s="61" t="s">
        <v>111</v>
      </c>
      <c r="AV137" s="59">
        <f>ROUND(AW137+AX137,2)</f>
        <v>0</v>
      </c>
      <c r="AW137" s="59">
        <f>ROUND(G137*AO137,2)</f>
        <v>0</v>
      </c>
      <c r="AX137" s="59">
        <f>ROUND(G137*AP137,2)</f>
        <v>0</v>
      </c>
      <c r="AY137" s="61" t="s">
        <v>361</v>
      </c>
      <c r="AZ137" s="61" t="s">
        <v>351</v>
      </c>
      <c r="BA137" s="46" t="s">
        <v>352</v>
      </c>
      <c r="BC137" s="59">
        <f>AW137+AX137</f>
        <v>0</v>
      </c>
      <c r="BD137" s="59">
        <f>H137/(100-BE137)*100</f>
        <v>0</v>
      </c>
      <c r="BE137" s="59">
        <v>0</v>
      </c>
      <c r="BF137" s="59">
        <f>L137</f>
        <v>2.1396850000000001</v>
      </c>
      <c r="BH137" s="59">
        <f>G137*AO137</f>
        <v>0</v>
      </c>
      <c r="BI137" s="59">
        <f>G137*AP137</f>
        <v>0</v>
      </c>
      <c r="BJ137" s="59">
        <f>G137*H137</f>
        <v>0</v>
      </c>
      <c r="BK137" s="59"/>
      <c r="BL137" s="59">
        <v>63</v>
      </c>
      <c r="BW137" s="59">
        <v>12</v>
      </c>
      <c r="BX137" s="16" t="s">
        <v>359</v>
      </c>
    </row>
    <row r="138" spans="1:76" x14ac:dyDescent="0.25">
      <c r="A138" s="62"/>
      <c r="D138" s="63" t="s">
        <v>362</v>
      </c>
      <c r="E138" s="63"/>
      <c r="G138" s="64">
        <v>1.115</v>
      </c>
      <c r="M138" s="65"/>
    </row>
    <row r="139" spans="1:76" ht="15" customHeight="1" x14ac:dyDescent="0.25">
      <c r="A139" s="58" t="s">
        <v>451</v>
      </c>
      <c r="B139" s="18" t="s">
        <v>349</v>
      </c>
      <c r="C139" s="18" t="s">
        <v>363</v>
      </c>
      <c r="D139" s="8" t="s">
        <v>364</v>
      </c>
      <c r="E139" s="8"/>
      <c r="F139" s="18" t="s">
        <v>114</v>
      </c>
      <c r="G139" s="59">
        <v>22.3</v>
      </c>
      <c r="H139" s="59">
        <v>0</v>
      </c>
      <c r="I139" s="59">
        <f>ROUND(G139*H139,2)</f>
        <v>0</v>
      </c>
      <c r="J139" s="59">
        <v>1.5959999999999998E-2</v>
      </c>
      <c r="K139" s="59">
        <v>1.5959999999999998E-2</v>
      </c>
      <c r="L139" s="59">
        <f>G139*K139</f>
        <v>0.355908</v>
      </c>
      <c r="M139" s="60" t="s">
        <v>115</v>
      </c>
      <c r="Z139" s="59">
        <f>ROUND(IF(AQ139="5",BJ139,0),2)</f>
        <v>0</v>
      </c>
      <c r="AB139" s="59">
        <f>ROUND(IF(AQ139="1",BH139,0),2)</f>
        <v>0</v>
      </c>
      <c r="AC139" s="59">
        <f>ROUND(IF(AQ139="1",BI139,0),2)</f>
        <v>0</v>
      </c>
      <c r="AD139" s="59">
        <f>ROUND(IF(AQ139="7",BH139,0),2)</f>
        <v>0</v>
      </c>
      <c r="AE139" s="59">
        <f>ROUND(IF(AQ139="7",BI139,0),2)</f>
        <v>0</v>
      </c>
      <c r="AF139" s="59">
        <f>ROUND(IF(AQ139="2",BH139,0),2)</f>
        <v>0</v>
      </c>
      <c r="AG139" s="59">
        <f>ROUND(IF(AQ139="2",BI139,0),2)</f>
        <v>0</v>
      </c>
      <c r="AH139" s="59">
        <f>ROUND(IF(AQ139="0",BJ139,0),2)</f>
        <v>0</v>
      </c>
      <c r="AI139" s="46" t="s">
        <v>349</v>
      </c>
      <c r="AJ139" s="59">
        <f>IF(AN139=0,I139,0)</f>
        <v>0</v>
      </c>
      <c r="AK139" s="59">
        <f>IF(AN139=12,I139,0)</f>
        <v>0</v>
      </c>
      <c r="AL139" s="59">
        <f>IF(AN139=21,I139,0)</f>
        <v>0</v>
      </c>
      <c r="AN139" s="59">
        <v>12</v>
      </c>
      <c r="AO139" s="59">
        <f>H139*0.665801611</f>
        <v>0</v>
      </c>
      <c r="AP139" s="59">
        <f>H139*(1-0.665801611)</f>
        <v>0</v>
      </c>
      <c r="AQ139" s="61" t="s">
        <v>111</v>
      </c>
      <c r="AV139" s="59">
        <f>ROUND(AW139+AX139,2)</f>
        <v>0</v>
      </c>
      <c r="AW139" s="59">
        <f>ROUND(G139*AO139,2)</f>
        <v>0</v>
      </c>
      <c r="AX139" s="59">
        <f>ROUND(G139*AP139,2)</f>
        <v>0</v>
      </c>
      <c r="AY139" s="61" t="s">
        <v>361</v>
      </c>
      <c r="AZ139" s="61" t="s">
        <v>351</v>
      </c>
      <c r="BA139" s="46" t="s">
        <v>352</v>
      </c>
      <c r="BC139" s="59">
        <f>AW139+AX139</f>
        <v>0</v>
      </c>
      <c r="BD139" s="59">
        <f>H139/(100-BE139)*100</f>
        <v>0</v>
      </c>
      <c r="BE139" s="59">
        <v>0</v>
      </c>
      <c r="BF139" s="59">
        <f>L139</f>
        <v>0.355908</v>
      </c>
      <c r="BH139" s="59">
        <f>G139*AO139</f>
        <v>0</v>
      </c>
      <c r="BI139" s="59">
        <f>G139*AP139</f>
        <v>0</v>
      </c>
      <c r="BJ139" s="59">
        <f>G139*H139</f>
        <v>0</v>
      </c>
      <c r="BK139" s="59"/>
      <c r="BL139" s="59">
        <v>63</v>
      </c>
      <c r="BW139" s="59">
        <v>12</v>
      </c>
      <c r="BX139" s="16" t="s">
        <v>364</v>
      </c>
    </row>
    <row r="140" spans="1:76" x14ac:dyDescent="0.25">
      <c r="A140" s="62"/>
      <c r="D140" s="63" t="s">
        <v>365</v>
      </c>
      <c r="E140" s="63"/>
      <c r="G140" s="64">
        <v>22.3</v>
      </c>
      <c r="M140" s="65"/>
    </row>
    <row r="141" spans="1:76" ht="15" customHeight="1" x14ac:dyDescent="0.25">
      <c r="A141" s="58" t="s">
        <v>452</v>
      </c>
      <c r="B141" s="18" t="s">
        <v>349</v>
      </c>
      <c r="C141" s="18" t="s">
        <v>366</v>
      </c>
      <c r="D141" s="8" t="s">
        <v>367</v>
      </c>
      <c r="E141" s="8"/>
      <c r="F141" s="18" t="s">
        <v>114</v>
      </c>
      <c r="G141" s="59">
        <v>5.61</v>
      </c>
      <c r="H141" s="59">
        <v>0</v>
      </c>
      <c r="I141" s="59">
        <f>ROUND(G141*H141,2)</f>
        <v>0</v>
      </c>
      <c r="J141" s="59">
        <v>1.4080000000000001E-2</v>
      </c>
      <c r="K141" s="59">
        <v>1.4080000000000001E-2</v>
      </c>
      <c r="L141" s="59">
        <f>G141*K141</f>
        <v>7.8988800000000012E-2</v>
      </c>
      <c r="M141" s="60" t="s">
        <v>115</v>
      </c>
      <c r="Z141" s="59">
        <f>ROUND(IF(AQ141="5",BJ141,0),2)</f>
        <v>0</v>
      </c>
      <c r="AB141" s="59">
        <f>ROUND(IF(AQ141="1",BH141,0),2)</f>
        <v>0</v>
      </c>
      <c r="AC141" s="59">
        <f>ROUND(IF(AQ141="1",BI141,0),2)</f>
        <v>0</v>
      </c>
      <c r="AD141" s="59">
        <f>ROUND(IF(AQ141="7",BH141,0),2)</f>
        <v>0</v>
      </c>
      <c r="AE141" s="59">
        <f>ROUND(IF(AQ141="7",BI141,0),2)</f>
        <v>0</v>
      </c>
      <c r="AF141" s="59">
        <f>ROUND(IF(AQ141="2",BH141,0),2)</f>
        <v>0</v>
      </c>
      <c r="AG141" s="59">
        <f>ROUND(IF(AQ141="2",BI141,0),2)</f>
        <v>0</v>
      </c>
      <c r="AH141" s="59">
        <f>ROUND(IF(AQ141="0",BJ141,0),2)</f>
        <v>0</v>
      </c>
      <c r="AI141" s="46" t="s">
        <v>349</v>
      </c>
      <c r="AJ141" s="59">
        <f>IF(AN141=0,I141,0)</f>
        <v>0</v>
      </c>
      <c r="AK141" s="59">
        <f>IF(AN141=12,I141,0)</f>
        <v>0</v>
      </c>
      <c r="AL141" s="59">
        <f>IF(AN141=21,I141,0)</f>
        <v>0</v>
      </c>
      <c r="AN141" s="59">
        <v>12</v>
      </c>
      <c r="AO141" s="59">
        <f>H141*0.434931647</f>
        <v>0</v>
      </c>
      <c r="AP141" s="59">
        <f>H141*(1-0.434931647)</f>
        <v>0</v>
      </c>
      <c r="AQ141" s="61" t="s">
        <v>111</v>
      </c>
      <c r="AV141" s="59">
        <f>ROUND(AW141+AX141,2)</f>
        <v>0</v>
      </c>
      <c r="AW141" s="59">
        <f>ROUND(G141*AO141,2)</f>
        <v>0</v>
      </c>
      <c r="AX141" s="59">
        <f>ROUND(G141*AP141,2)</f>
        <v>0</v>
      </c>
      <c r="AY141" s="61" t="s">
        <v>361</v>
      </c>
      <c r="AZ141" s="61" t="s">
        <v>351</v>
      </c>
      <c r="BA141" s="46" t="s">
        <v>352</v>
      </c>
      <c r="BC141" s="59">
        <f>AW141+AX141</f>
        <v>0</v>
      </c>
      <c r="BD141" s="59">
        <f>H141/(100-BE141)*100</f>
        <v>0</v>
      </c>
      <c r="BE141" s="59">
        <v>0</v>
      </c>
      <c r="BF141" s="59">
        <f>L141</f>
        <v>7.8988800000000012E-2</v>
      </c>
      <c r="BH141" s="59">
        <f>G141*AO141</f>
        <v>0</v>
      </c>
      <c r="BI141" s="59">
        <f>G141*AP141</f>
        <v>0</v>
      </c>
      <c r="BJ141" s="59">
        <f>G141*H141</f>
        <v>0</v>
      </c>
      <c r="BK141" s="59"/>
      <c r="BL141" s="59">
        <v>63</v>
      </c>
      <c r="BW141" s="59">
        <v>12</v>
      </c>
      <c r="BX141" s="16" t="s">
        <v>367</v>
      </c>
    </row>
    <row r="142" spans="1:76" x14ac:dyDescent="0.25">
      <c r="A142" s="62"/>
      <c r="D142" s="63" t="s">
        <v>368</v>
      </c>
      <c r="E142" s="63"/>
      <c r="G142" s="64">
        <v>5.61</v>
      </c>
      <c r="M142" s="65"/>
    </row>
    <row r="143" spans="1:76" ht="15" customHeight="1" x14ac:dyDescent="0.25">
      <c r="A143" s="58" t="s">
        <v>456</v>
      </c>
      <c r="B143" s="18" t="s">
        <v>349</v>
      </c>
      <c r="C143" s="18" t="s">
        <v>369</v>
      </c>
      <c r="D143" s="8" t="s">
        <v>370</v>
      </c>
      <c r="E143" s="8"/>
      <c r="F143" s="18" t="s">
        <v>114</v>
      </c>
      <c r="G143" s="59">
        <v>5.61</v>
      </c>
      <c r="H143" s="59">
        <v>0</v>
      </c>
      <c r="I143" s="59">
        <f>ROUND(G143*H143,2)</f>
        <v>0</v>
      </c>
      <c r="J143" s="59">
        <v>0</v>
      </c>
      <c r="K143" s="59">
        <v>0</v>
      </c>
      <c r="L143" s="59">
        <f>G143*K143</f>
        <v>0</v>
      </c>
      <c r="M143" s="60" t="s">
        <v>115</v>
      </c>
      <c r="Z143" s="59">
        <f>ROUND(IF(AQ143="5",BJ143,0),2)</f>
        <v>0</v>
      </c>
      <c r="AB143" s="59">
        <f>ROUND(IF(AQ143="1",BH143,0),2)</f>
        <v>0</v>
      </c>
      <c r="AC143" s="59">
        <f>ROUND(IF(AQ143="1",BI143,0),2)</f>
        <v>0</v>
      </c>
      <c r="AD143" s="59">
        <f>ROUND(IF(AQ143="7",BH143,0),2)</f>
        <v>0</v>
      </c>
      <c r="AE143" s="59">
        <f>ROUND(IF(AQ143="7",BI143,0),2)</f>
        <v>0</v>
      </c>
      <c r="AF143" s="59">
        <f>ROUND(IF(AQ143="2",BH143,0),2)</f>
        <v>0</v>
      </c>
      <c r="AG143" s="59">
        <f>ROUND(IF(AQ143="2",BI143,0),2)</f>
        <v>0</v>
      </c>
      <c r="AH143" s="59">
        <f>ROUND(IF(AQ143="0",BJ143,0),2)</f>
        <v>0</v>
      </c>
      <c r="AI143" s="46" t="s">
        <v>349</v>
      </c>
      <c r="AJ143" s="59">
        <f>IF(AN143=0,I143,0)</f>
        <v>0</v>
      </c>
      <c r="AK143" s="59">
        <f>IF(AN143=12,I143,0)</f>
        <v>0</v>
      </c>
      <c r="AL143" s="59">
        <f>IF(AN143=21,I143,0)</f>
        <v>0</v>
      </c>
      <c r="AN143" s="59">
        <v>12</v>
      </c>
      <c r="AO143" s="59">
        <f>H143*0</f>
        <v>0</v>
      </c>
      <c r="AP143" s="59">
        <f>H143*(1-0)</f>
        <v>0</v>
      </c>
      <c r="AQ143" s="61" t="s">
        <v>111</v>
      </c>
      <c r="AV143" s="59">
        <f>ROUND(AW143+AX143,2)</f>
        <v>0</v>
      </c>
      <c r="AW143" s="59">
        <f>ROUND(G143*AO143,2)</f>
        <v>0</v>
      </c>
      <c r="AX143" s="59">
        <f>ROUND(G143*AP143,2)</f>
        <v>0</v>
      </c>
      <c r="AY143" s="61" t="s">
        <v>361</v>
      </c>
      <c r="AZ143" s="61" t="s">
        <v>351</v>
      </c>
      <c r="BA143" s="46" t="s">
        <v>352</v>
      </c>
      <c r="BC143" s="59">
        <f>AW143+AX143</f>
        <v>0</v>
      </c>
      <c r="BD143" s="59">
        <f>H143/(100-BE143)*100</f>
        <v>0</v>
      </c>
      <c r="BE143" s="59">
        <v>0</v>
      </c>
      <c r="BF143" s="59">
        <f>L143</f>
        <v>0</v>
      </c>
      <c r="BH143" s="59">
        <f>G143*AO143</f>
        <v>0</v>
      </c>
      <c r="BI143" s="59">
        <f>G143*AP143</f>
        <v>0</v>
      </c>
      <c r="BJ143" s="59">
        <f>G143*H143</f>
        <v>0</v>
      </c>
      <c r="BK143" s="59"/>
      <c r="BL143" s="59">
        <v>63</v>
      </c>
      <c r="BW143" s="59">
        <v>12</v>
      </c>
      <c r="BX143" s="16" t="s">
        <v>370</v>
      </c>
    </row>
    <row r="144" spans="1:76" x14ac:dyDescent="0.25">
      <c r="A144" s="62"/>
      <c r="D144" s="63" t="s">
        <v>371</v>
      </c>
      <c r="E144" s="63"/>
      <c r="G144" s="64">
        <v>5.61</v>
      </c>
      <c r="M144" s="65"/>
    </row>
    <row r="145" spans="1:76" ht="15" customHeight="1" x14ac:dyDescent="0.25">
      <c r="A145" s="54"/>
      <c r="B145" s="55" t="s">
        <v>349</v>
      </c>
      <c r="C145" s="55" t="s">
        <v>157</v>
      </c>
      <c r="D145" s="104" t="s">
        <v>158</v>
      </c>
      <c r="E145" s="104"/>
      <c r="F145" s="56" t="s">
        <v>88</v>
      </c>
      <c r="G145" s="56" t="s">
        <v>88</v>
      </c>
      <c r="H145" s="56" t="s">
        <v>88</v>
      </c>
      <c r="I145" s="39">
        <f>SUM(I146)</f>
        <v>0</v>
      </c>
      <c r="J145" s="46"/>
      <c r="K145" s="46"/>
      <c r="L145" s="39">
        <f>SUM(L146)</f>
        <v>0.15338399999999999</v>
      </c>
      <c r="M145" s="57"/>
      <c r="AI145" s="46" t="s">
        <v>349</v>
      </c>
      <c r="AS145" s="39">
        <f>SUM(AJ146)</f>
        <v>0</v>
      </c>
      <c r="AT145" s="39">
        <f>SUM(AK146)</f>
        <v>0</v>
      </c>
      <c r="AU145" s="39">
        <f>SUM(AL146)</f>
        <v>0</v>
      </c>
    </row>
    <row r="146" spans="1:76" ht="15" customHeight="1" x14ac:dyDescent="0.25">
      <c r="A146" s="58" t="s">
        <v>457</v>
      </c>
      <c r="B146" s="18" t="s">
        <v>349</v>
      </c>
      <c r="C146" s="18" t="s">
        <v>160</v>
      </c>
      <c r="D146" s="8" t="s">
        <v>161</v>
      </c>
      <c r="E146" s="8"/>
      <c r="F146" s="18" t="s">
        <v>140</v>
      </c>
      <c r="G146" s="59">
        <v>24.9</v>
      </c>
      <c r="H146" s="59">
        <v>0</v>
      </c>
      <c r="I146" s="59">
        <f>ROUND(G146*H146,2)</f>
        <v>0</v>
      </c>
      <c r="J146" s="59">
        <v>6.1599999999999997E-3</v>
      </c>
      <c r="K146" s="59">
        <v>6.1599999999999997E-3</v>
      </c>
      <c r="L146" s="59">
        <f>G146*K146</f>
        <v>0.15338399999999999</v>
      </c>
      <c r="M146" s="60" t="s">
        <v>115</v>
      </c>
      <c r="Z146" s="59">
        <f>ROUND(IF(AQ146="5",BJ146,0),2)</f>
        <v>0</v>
      </c>
      <c r="AB146" s="59">
        <f>ROUND(IF(AQ146="1",BH146,0),2)</f>
        <v>0</v>
      </c>
      <c r="AC146" s="59">
        <f>ROUND(IF(AQ146="1",BI146,0),2)</f>
        <v>0</v>
      </c>
      <c r="AD146" s="59">
        <f>ROUND(IF(AQ146="7",BH146,0),2)</f>
        <v>0</v>
      </c>
      <c r="AE146" s="59">
        <f>ROUND(IF(AQ146="7",BI146,0),2)</f>
        <v>0</v>
      </c>
      <c r="AF146" s="59">
        <f>ROUND(IF(AQ146="2",BH146,0),2)</f>
        <v>0</v>
      </c>
      <c r="AG146" s="59">
        <f>ROUND(IF(AQ146="2",BI146,0),2)</f>
        <v>0</v>
      </c>
      <c r="AH146" s="59">
        <f>ROUND(IF(AQ146="0",BJ146,0),2)</f>
        <v>0</v>
      </c>
      <c r="AI146" s="46" t="s">
        <v>349</v>
      </c>
      <c r="AJ146" s="59">
        <f>IF(AN146=0,I146,0)</f>
        <v>0</v>
      </c>
      <c r="AK146" s="59">
        <f>IF(AN146=12,I146,0)</f>
        <v>0</v>
      </c>
      <c r="AL146" s="59">
        <f>IF(AN146=21,I146,0)</f>
        <v>0</v>
      </c>
      <c r="AN146" s="59">
        <v>12</v>
      </c>
      <c r="AO146" s="59">
        <f>H146*0.526177858</f>
        <v>0</v>
      </c>
      <c r="AP146" s="59">
        <f>H146*(1-0.526177858)</f>
        <v>0</v>
      </c>
      <c r="AQ146" s="61" t="s">
        <v>111</v>
      </c>
      <c r="AV146" s="59">
        <f>ROUND(AW146+AX146,2)</f>
        <v>0</v>
      </c>
      <c r="AW146" s="59">
        <f>ROUND(G146*AO146,2)</f>
        <v>0</v>
      </c>
      <c r="AX146" s="59">
        <f>ROUND(G146*AP146,2)</f>
        <v>0</v>
      </c>
      <c r="AY146" s="61" t="s">
        <v>162</v>
      </c>
      <c r="AZ146" s="61" t="s">
        <v>351</v>
      </c>
      <c r="BA146" s="46" t="s">
        <v>352</v>
      </c>
      <c r="BC146" s="59">
        <f>AW146+AX146</f>
        <v>0</v>
      </c>
      <c r="BD146" s="59">
        <f>H146/(100-BE146)*100</f>
        <v>0</v>
      </c>
      <c r="BE146" s="59">
        <v>0</v>
      </c>
      <c r="BF146" s="59">
        <f>L146</f>
        <v>0.15338399999999999</v>
      </c>
      <c r="BH146" s="59">
        <f>G146*AO146</f>
        <v>0</v>
      </c>
      <c r="BI146" s="59">
        <f>G146*AP146</f>
        <v>0</v>
      </c>
      <c r="BJ146" s="59">
        <f>G146*H146</f>
        <v>0</v>
      </c>
      <c r="BK146" s="59"/>
      <c r="BL146" s="59">
        <v>64</v>
      </c>
      <c r="BW146" s="59">
        <v>12</v>
      </c>
      <c r="BX146" s="16" t="s">
        <v>161</v>
      </c>
    </row>
    <row r="147" spans="1:76" x14ac:dyDescent="0.25">
      <c r="A147" s="62"/>
      <c r="D147" s="63" t="s">
        <v>372</v>
      </c>
      <c r="E147" s="63"/>
      <c r="G147" s="64">
        <v>24.9</v>
      </c>
      <c r="M147" s="65"/>
    </row>
    <row r="148" spans="1:76" ht="15" customHeight="1" x14ac:dyDescent="0.25">
      <c r="A148" s="54"/>
      <c r="B148" s="55" t="s">
        <v>349</v>
      </c>
      <c r="C148" s="55" t="s">
        <v>373</v>
      </c>
      <c r="D148" s="104" t="s">
        <v>374</v>
      </c>
      <c r="E148" s="104"/>
      <c r="F148" s="56" t="s">
        <v>88</v>
      </c>
      <c r="G148" s="56" t="s">
        <v>88</v>
      </c>
      <c r="H148" s="56" t="s">
        <v>88</v>
      </c>
      <c r="I148" s="39">
        <f>SUM(I149:I153)</f>
        <v>0</v>
      </c>
      <c r="J148" s="46"/>
      <c r="K148" s="46"/>
      <c r="L148" s="39">
        <f>SUM(L149:L153)</f>
        <v>0.31602040000000003</v>
      </c>
      <c r="M148" s="57"/>
      <c r="AI148" s="46" t="s">
        <v>349</v>
      </c>
      <c r="AS148" s="39">
        <f>SUM(AJ149:AJ153)</f>
        <v>0</v>
      </c>
      <c r="AT148" s="39">
        <f>SUM(AK149:AK153)</f>
        <v>0</v>
      </c>
      <c r="AU148" s="39">
        <f>SUM(AL149:AL153)</f>
        <v>0</v>
      </c>
    </row>
    <row r="149" spans="1:76" ht="15" customHeight="1" x14ac:dyDescent="0.25">
      <c r="A149" s="58" t="s">
        <v>459</v>
      </c>
      <c r="B149" s="18" t="s">
        <v>349</v>
      </c>
      <c r="C149" s="18" t="s">
        <v>375</v>
      </c>
      <c r="D149" s="8" t="s">
        <v>376</v>
      </c>
      <c r="E149" s="8"/>
      <c r="F149" s="18" t="s">
        <v>114</v>
      </c>
      <c r="G149" s="59">
        <v>22.3</v>
      </c>
      <c r="H149" s="59">
        <v>0</v>
      </c>
      <c r="I149" s="59">
        <f>ROUND(G149*H149,2)</f>
        <v>0</v>
      </c>
      <c r="J149" s="59">
        <v>0</v>
      </c>
      <c r="K149" s="59">
        <v>9.7400000000000004E-3</v>
      </c>
      <c r="L149" s="59">
        <f>G149*K149</f>
        <v>0.21720200000000001</v>
      </c>
      <c r="M149" s="60" t="s">
        <v>115</v>
      </c>
      <c r="Z149" s="59">
        <f>ROUND(IF(AQ149="5",BJ149,0),2)</f>
        <v>0</v>
      </c>
      <c r="AB149" s="59">
        <f>ROUND(IF(AQ149="1",BH149,0),2)</f>
        <v>0</v>
      </c>
      <c r="AC149" s="59">
        <f>ROUND(IF(AQ149="1",BI149,0),2)</f>
        <v>0</v>
      </c>
      <c r="AD149" s="59">
        <f>ROUND(IF(AQ149="7",BH149,0),2)</f>
        <v>0</v>
      </c>
      <c r="AE149" s="59">
        <f>ROUND(IF(AQ149="7",BI149,0),2)</f>
        <v>0</v>
      </c>
      <c r="AF149" s="59">
        <f>ROUND(IF(AQ149="2",BH149,0),2)</f>
        <v>0</v>
      </c>
      <c r="AG149" s="59">
        <f>ROUND(IF(AQ149="2",BI149,0),2)</f>
        <v>0</v>
      </c>
      <c r="AH149" s="59">
        <f>ROUND(IF(AQ149="0",BJ149,0),2)</f>
        <v>0</v>
      </c>
      <c r="AI149" s="46" t="s">
        <v>349</v>
      </c>
      <c r="AJ149" s="59">
        <f>IF(AN149=0,I149,0)</f>
        <v>0</v>
      </c>
      <c r="AK149" s="59">
        <f>IF(AN149=12,I149,0)</f>
        <v>0</v>
      </c>
      <c r="AL149" s="59">
        <f>IF(AN149=21,I149,0)</f>
        <v>0</v>
      </c>
      <c r="AN149" s="59">
        <v>12</v>
      </c>
      <c r="AO149" s="59">
        <f>H149*0</f>
        <v>0</v>
      </c>
      <c r="AP149" s="59">
        <f>H149*(1-0)</f>
        <v>0</v>
      </c>
      <c r="AQ149" s="61" t="s">
        <v>150</v>
      </c>
      <c r="AV149" s="59">
        <f>ROUND(AW149+AX149,2)</f>
        <v>0</v>
      </c>
      <c r="AW149" s="59">
        <f>ROUND(G149*AO149,2)</f>
        <v>0</v>
      </c>
      <c r="AX149" s="59">
        <f>ROUND(G149*AP149,2)</f>
        <v>0</v>
      </c>
      <c r="AY149" s="61" t="s">
        <v>377</v>
      </c>
      <c r="AZ149" s="61" t="s">
        <v>378</v>
      </c>
      <c r="BA149" s="46" t="s">
        <v>352</v>
      </c>
      <c r="BC149" s="59">
        <f>AW149+AX149</f>
        <v>0</v>
      </c>
      <c r="BD149" s="59">
        <f>H149/(100-BE149)*100</f>
        <v>0</v>
      </c>
      <c r="BE149" s="59">
        <v>0</v>
      </c>
      <c r="BF149" s="59">
        <f>L149</f>
        <v>0.21720200000000001</v>
      </c>
      <c r="BH149" s="59">
        <f>G149*AO149</f>
        <v>0</v>
      </c>
      <c r="BI149" s="59">
        <f>G149*AP149</f>
        <v>0</v>
      </c>
      <c r="BJ149" s="59">
        <f>G149*H149</f>
        <v>0</v>
      </c>
      <c r="BK149" s="59"/>
      <c r="BL149" s="59">
        <v>711</v>
      </c>
      <c r="BW149" s="59">
        <v>12</v>
      </c>
      <c r="BX149" s="16" t="s">
        <v>376</v>
      </c>
    </row>
    <row r="150" spans="1:76" x14ac:dyDescent="0.25">
      <c r="A150" s="62"/>
      <c r="D150" s="63" t="s">
        <v>379</v>
      </c>
      <c r="E150" s="63"/>
      <c r="G150" s="64">
        <v>22.3</v>
      </c>
      <c r="M150" s="65"/>
    </row>
    <row r="151" spans="1:76" ht="15" customHeight="1" x14ac:dyDescent="0.25">
      <c r="A151" s="58" t="s">
        <v>460</v>
      </c>
      <c r="B151" s="18" t="s">
        <v>349</v>
      </c>
      <c r="C151" s="18" t="s">
        <v>380</v>
      </c>
      <c r="D151" s="8" t="s">
        <v>381</v>
      </c>
      <c r="E151" s="8"/>
      <c r="F151" s="18" t="s">
        <v>114</v>
      </c>
      <c r="G151" s="59">
        <v>24.37</v>
      </c>
      <c r="H151" s="59">
        <v>0</v>
      </c>
      <c r="I151" s="59">
        <f>ROUND(G151*H151,2)</f>
        <v>0</v>
      </c>
      <c r="J151" s="59">
        <v>3.47E-3</v>
      </c>
      <c r="K151" s="59">
        <v>3.47E-3</v>
      </c>
      <c r="L151" s="59">
        <f>G151*K151</f>
        <v>8.4563899999999997E-2</v>
      </c>
      <c r="M151" s="60" t="s">
        <v>115</v>
      </c>
      <c r="Z151" s="59">
        <f>ROUND(IF(AQ151="5",BJ151,0),2)</f>
        <v>0</v>
      </c>
      <c r="AB151" s="59">
        <f>ROUND(IF(AQ151="1",BH151,0),2)</f>
        <v>0</v>
      </c>
      <c r="AC151" s="59">
        <f>ROUND(IF(AQ151="1",BI151,0),2)</f>
        <v>0</v>
      </c>
      <c r="AD151" s="59">
        <f>ROUND(IF(AQ151="7",BH151,0),2)</f>
        <v>0</v>
      </c>
      <c r="AE151" s="59">
        <f>ROUND(IF(AQ151="7",BI151,0),2)</f>
        <v>0</v>
      </c>
      <c r="AF151" s="59">
        <f>ROUND(IF(AQ151="2",BH151,0),2)</f>
        <v>0</v>
      </c>
      <c r="AG151" s="59">
        <f>ROUND(IF(AQ151="2",BI151,0),2)</f>
        <v>0</v>
      </c>
      <c r="AH151" s="59">
        <f>ROUND(IF(AQ151="0",BJ151,0),2)</f>
        <v>0</v>
      </c>
      <c r="AI151" s="46" t="s">
        <v>349</v>
      </c>
      <c r="AJ151" s="59">
        <f>IF(AN151=0,I151,0)</f>
        <v>0</v>
      </c>
      <c r="AK151" s="59">
        <f>IF(AN151=12,I151,0)</f>
        <v>0</v>
      </c>
      <c r="AL151" s="59">
        <f>IF(AN151=21,I151,0)</f>
        <v>0</v>
      </c>
      <c r="AN151" s="59">
        <v>12</v>
      </c>
      <c r="AO151" s="59">
        <f>H151*0.729088049</f>
        <v>0</v>
      </c>
      <c r="AP151" s="59">
        <f>H151*(1-0.729088049)</f>
        <v>0</v>
      </c>
      <c r="AQ151" s="61" t="s">
        <v>150</v>
      </c>
      <c r="AV151" s="59">
        <f>ROUND(AW151+AX151,2)</f>
        <v>0</v>
      </c>
      <c r="AW151" s="59">
        <f>ROUND(G151*AO151,2)</f>
        <v>0</v>
      </c>
      <c r="AX151" s="59">
        <f>ROUND(G151*AP151,2)</f>
        <v>0</v>
      </c>
      <c r="AY151" s="61" t="s">
        <v>377</v>
      </c>
      <c r="AZ151" s="61" t="s">
        <v>378</v>
      </c>
      <c r="BA151" s="46" t="s">
        <v>352</v>
      </c>
      <c r="BC151" s="59">
        <f>AW151+AX151</f>
        <v>0</v>
      </c>
      <c r="BD151" s="59">
        <f>H151/(100-BE151)*100</f>
        <v>0</v>
      </c>
      <c r="BE151" s="59">
        <v>0</v>
      </c>
      <c r="BF151" s="59">
        <f>L151</f>
        <v>8.4563899999999997E-2</v>
      </c>
      <c r="BH151" s="59">
        <f>G151*AO151</f>
        <v>0</v>
      </c>
      <c r="BI151" s="59">
        <f>G151*AP151</f>
        <v>0</v>
      </c>
      <c r="BJ151" s="59">
        <f>G151*H151</f>
        <v>0</v>
      </c>
      <c r="BK151" s="59"/>
      <c r="BL151" s="59">
        <v>711</v>
      </c>
      <c r="BW151" s="59">
        <v>12</v>
      </c>
      <c r="BX151" s="16" t="s">
        <v>381</v>
      </c>
    </row>
    <row r="152" spans="1:76" x14ac:dyDescent="0.25">
      <c r="A152" s="62"/>
      <c r="D152" s="63" t="s">
        <v>382</v>
      </c>
      <c r="E152" s="63"/>
      <c r="G152" s="64">
        <v>24.37</v>
      </c>
      <c r="M152" s="65"/>
    </row>
    <row r="153" spans="1:76" ht="15" customHeight="1" x14ac:dyDescent="0.25">
      <c r="A153" s="58" t="s">
        <v>462</v>
      </c>
      <c r="B153" s="18" t="s">
        <v>349</v>
      </c>
      <c r="C153" s="18" t="s">
        <v>383</v>
      </c>
      <c r="D153" s="8" t="s">
        <v>384</v>
      </c>
      <c r="E153" s="8"/>
      <c r="F153" s="18" t="s">
        <v>140</v>
      </c>
      <c r="G153" s="59">
        <v>33.15</v>
      </c>
      <c r="H153" s="59">
        <v>0</v>
      </c>
      <c r="I153" s="59">
        <f>ROUND(G153*H153,2)</f>
        <v>0</v>
      </c>
      <c r="J153" s="59">
        <v>4.2999999999999999E-4</v>
      </c>
      <c r="K153" s="59">
        <v>4.2999999999999999E-4</v>
      </c>
      <c r="L153" s="59">
        <f>G153*K153</f>
        <v>1.42545E-2</v>
      </c>
      <c r="M153" s="60" t="s">
        <v>115</v>
      </c>
      <c r="Z153" s="59">
        <f>ROUND(IF(AQ153="5",BJ153,0),2)</f>
        <v>0</v>
      </c>
      <c r="AB153" s="59">
        <f>ROUND(IF(AQ153="1",BH153,0),2)</f>
        <v>0</v>
      </c>
      <c r="AC153" s="59">
        <f>ROUND(IF(AQ153="1",BI153,0),2)</f>
        <v>0</v>
      </c>
      <c r="AD153" s="59">
        <f>ROUND(IF(AQ153="7",BH153,0),2)</f>
        <v>0</v>
      </c>
      <c r="AE153" s="59">
        <f>ROUND(IF(AQ153="7",BI153,0),2)</f>
        <v>0</v>
      </c>
      <c r="AF153" s="59">
        <f>ROUND(IF(AQ153="2",BH153,0),2)</f>
        <v>0</v>
      </c>
      <c r="AG153" s="59">
        <f>ROUND(IF(AQ153="2",BI153,0),2)</f>
        <v>0</v>
      </c>
      <c r="AH153" s="59">
        <f>ROUND(IF(AQ153="0",BJ153,0),2)</f>
        <v>0</v>
      </c>
      <c r="AI153" s="46" t="s">
        <v>349</v>
      </c>
      <c r="AJ153" s="59">
        <f>IF(AN153=0,I153,0)</f>
        <v>0</v>
      </c>
      <c r="AK153" s="59">
        <f>IF(AN153=12,I153,0)</f>
        <v>0</v>
      </c>
      <c r="AL153" s="59">
        <f>IF(AN153=21,I153,0)</f>
        <v>0</v>
      </c>
      <c r="AN153" s="59">
        <v>12</v>
      </c>
      <c r="AO153" s="59">
        <f>H153*0.767483743</f>
        <v>0</v>
      </c>
      <c r="AP153" s="59">
        <f>H153*(1-0.767483743)</f>
        <v>0</v>
      </c>
      <c r="AQ153" s="61" t="s">
        <v>150</v>
      </c>
      <c r="AV153" s="59">
        <f>ROUND(AW153+AX153,2)</f>
        <v>0</v>
      </c>
      <c r="AW153" s="59">
        <f>ROUND(G153*AO153,2)</f>
        <v>0</v>
      </c>
      <c r="AX153" s="59">
        <f>ROUND(G153*AP153,2)</f>
        <v>0</v>
      </c>
      <c r="AY153" s="61" t="s">
        <v>377</v>
      </c>
      <c r="AZ153" s="61" t="s">
        <v>378</v>
      </c>
      <c r="BA153" s="46" t="s">
        <v>352</v>
      </c>
      <c r="BC153" s="59">
        <f>AW153+AX153</f>
        <v>0</v>
      </c>
      <c r="BD153" s="59">
        <f>H153/(100-BE153)*100</f>
        <v>0</v>
      </c>
      <c r="BE153" s="59">
        <v>0</v>
      </c>
      <c r="BF153" s="59">
        <f>L153</f>
        <v>1.42545E-2</v>
      </c>
      <c r="BH153" s="59">
        <f>G153*AO153</f>
        <v>0</v>
      </c>
      <c r="BI153" s="59">
        <f>G153*AP153</f>
        <v>0</v>
      </c>
      <c r="BJ153" s="59">
        <f>G153*H153</f>
        <v>0</v>
      </c>
      <c r="BK153" s="59"/>
      <c r="BL153" s="59">
        <v>711</v>
      </c>
      <c r="BW153" s="59">
        <v>12</v>
      </c>
      <c r="BX153" s="16" t="s">
        <v>384</v>
      </c>
    </row>
    <row r="154" spans="1:76" x14ac:dyDescent="0.25">
      <c r="A154" s="62"/>
      <c r="D154" s="63" t="s">
        <v>385</v>
      </c>
      <c r="E154" s="63"/>
      <c r="G154" s="64">
        <v>33.15</v>
      </c>
      <c r="M154" s="65"/>
    </row>
    <row r="155" spans="1:76" ht="15" customHeight="1" x14ac:dyDescent="0.25">
      <c r="A155" s="54"/>
      <c r="B155" s="55" t="s">
        <v>349</v>
      </c>
      <c r="C155" s="55" t="s">
        <v>165</v>
      </c>
      <c r="D155" s="104" t="s">
        <v>166</v>
      </c>
      <c r="E155" s="104"/>
      <c r="F155" s="56" t="s">
        <v>88</v>
      </c>
      <c r="G155" s="56" t="s">
        <v>88</v>
      </c>
      <c r="H155" s="56" t="s">
        <v>88</v>
      </c>
      <c r="I155" s="39">
        <f>SUM(I156:I162)</f>
        <v>0</v>
      </c>
      <c r="J155" s="46"/>
      <c r="K155" s="46"/>
      <c r="L155" s="39">
        <f>SUM(L156:L162)</f>
        <v>9.1239999999999988E-2</v>
      </c>
      <c r="M155" s="57"/>
      <c r="AI155" s="46" t="s">
        <v>349</v>
      </c>
      <c r="AS155" s="39">
        <f>SUM(AJ156:AJ162)</f>
        <v>0</v>
      </c>
      <c r="AT155" s="39">
        <f>SUM(AK156:AK162)</f>
        <v>0</v>
      </c>
      <c r="AU155" s="39">
        <f>SUM(AL156:AL162)</f>
        <v>0</v>
      </c>
    </row>
    <row r="156" spans="1:76" ht="15" customHeight="1" x14ac:dyDescent="0.25">
      <c r="A156" s="58" t="s">
        <v>464</v>
      </c>
      <c r="B156" s="18" t="s">
        <v>349</v>
      </c>
      <c r="C156" s="18" t="s">
        <v>168</v>
      </c>
      <c r="D156" s="8" t="s">
        <v>169</v>
      </c>
      <c r="E156" s="8"/>
      <c r="F156" s="18" t="s">
        <v>140</v>
      </c>
      <c r="G156" s="59">
        <v>6</v>
      </c>
      <c r="H156" s="59">
        <v>0</v>
      </c>
      <c r="I156" s="59">
        <f>ROUND(G156*H156,2)</f>
        <v>0</v>
      </c>
      <c r="J156" s="59">
        <v>0</v>
      </c>
      <c r="K156" s="59">
        <v>1.3500000000000001E-3</v>
      </c>
      <c r="L156" s="59">
        <f>G156*K156</f>
        <v>8.0999999999999996E-3</v>
      </c>
      <c r="M156" s="60" t="s">
        <v>115</v>
      </c>
      <c r="Z156" s="59">
        <f>ROUND(IF(AQ156="5",BJ156,0),2)</f>
        <v>0</v>
      </c>
      <c r="AB156" s="59">
        <f>ROUND(IF(AQ156="1",BH156,0),2)</f>
        <v>0</v>
      </c>
      <c r="AC156" s="59">
        <f>ROUND(IF(AQ156="1",BI156,0),2)</f>
        <v>0</v>
      </c>
      <c r="AD156" s="59">
        <f>ROUND(IF(AQ156="7",BH156,0),2)</f>
        <v>0</v>
      </c>
      <c r="AE156" s="59">
        <f>ROUND(IF(AQ156="7",BI156,0),2)</f>
        <v>0</v>
      </c>
      <c r="AF156" s="59">
        <f>ROUND(IF(AQ156="2",BH156,0),2)</f>
        <v>0</v>
      </c>
      <c r="AG156" s="59">
        <f>ROUND(IF(AQ156="2",BI156,0),2)</f>
        <v>0</v>
      </c>
      <c r="AH156" s="59">
        <f>ROUND(IF(AQ156="0",BJ156,0),2)</f>
        <v>0</v>
      </c>
      <c r="AI156" s="46" t="s">
        <v>349</v>
      </c>
      <c r="AJ156" s="59">
        <f>IF(AN156=0,I156,0)</f>
        <v>0</v>
      </c>
      <c r="AK156" s="59">
        <f>IF(AN156=12,I156,0)</f>
        <v>0</v>
      </c>
      <c r="AL156" s="59">
        <f>IF(AN156=21,I156,0)</f>
        <v>0</v>
      </c>
      <c r="AN156" s="59">
        <v>12</v>
      </c>
      <c r="AO156" s="59">
        <f>H156*0</f>
        <v>0</v>
      </c>
      <c r="AP156" s="59">
        <f>H156*(1-0)</f>
        <v>0</v>
      </c>
      <c r="AQ156" s="61" t="s">
        <v>150</v>
      </c>
      <c r="AV156" s="59">
        <f>ROUND(AW156+AX156,2)</f>
        <v>0</v>
      </c>
      <c r="AW156" s="59">
        <f>ROUND(G156*AO156,2)</f>
        <v>0</v>
      </c>
      <c r="AX156" s="59">
        <f>ROUND(G156*AP156,2)</f>
        <v>0</v>
      </c>
      <c r="AY156" s="61" t="s">
        <v>170</v>
      </c>
      <c r="AZ156" s="61" t="s">
        <v>386</v>
      </c>
      <c r="BA156" s="46" t="s">
        <v>352</v>
      </c>
      <c r="BC156" s="59">
        <f>AW156+AX156</f>
        <v>0</v>
      </c>
      <c r="BD156" s="59">
        <f>H156/(100-BE156)*100</f>
        <v>0</v>
      </c>
      <c r="BE156" s="59">
        <v>0</v>
      </c>
      <c r="BF156" s="59">
        <f>L156</f>
        <v>8.0999999999999996E-3</v>
      </c>
      <c r="BH156" s="59">
        <f>G156*AO156</f>
        <v>0</v>
      </c>
      <c r="BI156" s="59">
        <f>G156*AP156</f>
        <v>0</v>
      </c>
      <c r="BJ156" s="59">
        <f>G156*H156</f>
        <v>0</v>
      </c>
      <c r="BK156" s="59"/>
      <c r="BL156" s="59">
        <v>764</v>
      </c>
      <c r="BW156" s="59">
        <v>12</v>
      </c>
      <c r="BX156" s="16" t="s">
        <v>169</v>
      </c>
    </row>
    <row r="157" spans="1:76" x14ac:dyDescent="0.25">
      <c r="A157" s="62"/>
      <c r="D157" s="63" t="s">
        <v>145</v>
      </c>
      <c r="E157" s="63"/>
      <c r="G157" s="64">
        <v>6</v>
      </c>
      <c r="M157" s="65"/>
    </row>
    <row r="158" spans="1:76" ht="15" customHeight="1" x14ac:dyDescent="0.25">
      <c r="A158" s="58" t="s">
        <v>484</v>
      </c>
      <c r="B158" s="18" t="s">
        <v>349</v>
      </c>
      <c r="C158" s="18" t="s">
        <v>173</v>
      </c>
      <c r="D158" s="8" t="s">
        <v>174</v>
      </c>
      <c r="E158" s="8"/>
      <c r="F158" s="18" t="s">
        <v>140</v>
      </c>
      <c r="G158" s="59">
        <v>6</v>
      </c>
      <c r="H158" s="59">
        <v>0</v>
      </c>
      <c r="I158" s="59">
        <f>ROUND(G158*H158,2)</f>
        <v>0</v>
      </c>
      <c r="J158" s="59">
        <v>3.9500000000000004E-3</v>
      </c>
      <c r="K158" s="59">
        <v>3.9500000000000004E-3</v>
      </c>
      <c r="L158" s="59">
        <f>G158*K158</f>
        <v>2.3700000000000002E-2</v>
      </c>
      <c r="M158" s="60" t="s">
        <v>115</v>
      </c>
      <c r="Z158" s="59">
        <f>ROUND(IF(AQ158="5",BJ158,0),2)</f>
        <v>0</v>
      </c>
      <c r="AB158" s="59">
        <f>ROUND(IF(AQ158="1",BH158,0),2)</f>
        <v>0</v>
      </c>
      <c r="AC158" s="59">
        <f>ROUND(IF(AQ158="1",BI158,0),2)</f>
        <v>0</v>
      </c>
      <c r="AD158" s="59">
        <f>ROUND(IF(AQ158="7",BH158,0),2)</f>
        <v>0</v>
      </c>
      <c r="AE158" s="59">
        <f>ROUND(IF(AQ158="7",BI158,0),2)</f>
        <v>0</v>
      </c>
      <c r="AF158" s="59">
        <f>ROUND(IF(AQ158="2",BH158,0),2)</f>
        <v>0</v>
      </c>
      <c r="AG158" s="59">
        <f>ROUND(IF(AQ158="2",BI158,0),2)</f>
        <v>0</v>
      </c>
      <c r="AH158" s="59">
        <f>ROUND(IF(AQ158="0",BJ158,0),2)</f>
        <v>0</v>
      </c>
      <c r="AI158" s="46" t="s">
        <v>349</v>
      </c>
      <c r="AJ158" s="59">
        <f>IF(AN158=0,I158,0)</f>
        <v>0</v>
      </c>
      <c r="AK158" s="59">
        <f>IF(AN158=12,I158,0)</f>
        <v>0</v>
      </c>
      <c r="AL158" s="59">
        <f>IF(AN158=21,I158,0)</f>
        <v>0</v>
      </c>
      <c r="AN158" s="59">
        <v>12</v>
      </c>
      <c r="AO158" s="59">
        <f>H158*0.565634409</f>
        <v>0</v>
      </c>
      <c r="AP158" s="59">
        <f>H158*(1-0.565634409)</f>
        <v>0</v>
      </c>
      <c r="AQ158" s="61" t="s">
        <v>150</v>
      </c>
      <c r="AV158" s="59">
        <f>ROUND(AW158+AX158,2)</f>
        <v>0</v>
      </c>
      <c r="AW158" s="59">
        <f>ROUND(G158*AO158,2)</f>
        <v>0</v>
      </c>
      <c r="AX158" s="59">
        <f>ROUND(G158*AP158,2)</f>
        <v>0</v>
      </c>
      <c r="AY158" s="61" t="s">
        <v>170</v>
      </c>
      <c r="AZ158" s="61" t="s">
        <v>386</v>
      </c>
      <c r="BA158" s="46" t="s">
        <v>352</v>
      </c>
      <c r="BC158" s="59">
        <f>AW158+AX158</f>
        <v>0</v>
      </c>
      <c r="BD158" s="59">
        <f>H158/(100-BE158)*100</f>
        <v>0</v>
      </c>
      <c r="BE158" s="59">
        <v>0</v>
      </c>
      <c r="BF158" s="59">
        <f>L158</f>
        <v>2.3700000000000002E-2</v>
      </c>
      <c r="BH158" s="59">
        <f>G158*AO158</f>
        <v>0</v>
      </c>
      <c r="BI158" s="59">
        <f>G158*AP158</f>
        <v>0</v>
      </c>
      <c r="BJ158" s="59">
        <f>G158*H158</f>
        <v>0</v>
      </c>
      <c r="BK158" s="59"/>
      <c r="BL158" s="59">
        <v>764</v>
      </c>
      <c r="BW158" s="59">
        <v>12</v>
      </c>
      <c r="BX158" s="16" t="s">
        <v>174</v>
      </c>
    </row>
    <row r="159" spans="1:76" x14ac:dyDescent="0.25">
      <c r="A159" s="62"/>
      <c r="D159" s="63" t="s">
        <v>145</v>
      </c>
      <c r="E159" s="63"/>
      <c r="G159" s="64">
        <v>6</v>
      </c>
      <c r="M159" s="65"/>
    </row>
    <row r="160" spans="1:76" ht="15" customHeight="1" x14ac:dyDescent="0.25">
      <c r="A160" s="58" t="s">
        <v>531</v>
      </c>
      <c r="B160" s="18" t="s">
        <v>349</v>
      </c>
      <c r="C160" s="18" t="s">
        <v>177</v>
      </c>
      <c r="D160" s="8" t="s">
        <v>178</v>
      </c>
      <c r="E160" s="8"/>
      <c r="F160" s="18" t="s">
        <v>140</v>
      </c>
      <c r="G160" s="59">
        <v>24.9</v>
      </c>
      <c r="H160" s="59">
        <v>0</v>
      </c>
      <c r="I160" s="59">
        <f>ROUND(G160*H160,2)</f>
        <v>0</v>
      </c>
      <c r="J160" s="59">
        <v>1.4599999999999999E-3</v>
      </c>
      <c r="K160" s="59">
        <v>1.4599999999999999E-3</v>
      </c>
      <c r="L160" s="59">
        <f>G160*K160</f>
        <v>3.6353999999999997E-2</v>
      </c>
      <c r="M160" s="60" t="s">
        <v>115</v>
      </c>
      <c r="Z160" s="59">
        <f>ROUND(IF(AQ160="5",BJ160,0),2)</f>
        <v>0</v>
      </c>
      <c r="AB160" s="59">
        <f>ROUND(IF(AQ160="1",BH160,0),2)</f>
        <v>0</v>
      </c>
      <c r="AC160" s="59">
        <f>ROUND(IF(AQ160="1",BI160,0),2)</f>
        <v>0</v>
      </c>
      <c r="AD160" s="59">
        <f>ROUND(IF(AQ160="7",BH160,0),2)</f>
        <v>0</v>
      </c>
      <c r="AE160" s="59">
        <f>ROUND(IF(AQ160="7",BI160,0),2)</f>
        <v>0</v>
      </c>
      <c r="AF160" s="59">
        <f>ROUND(IF(AQ160="2",BH160,0),2)</f>
        <v>0</v>
      </c>
      <c r="AG160" s="59">
        <f>ROUND(IF(AQ160="2",BI160,0),2)</f>
        <v>0</v>
      </c>
      <c r="AH160" s="59">
        <f>ROUND(IF(AQ160="0",BJ160,0),2)</f>
        <v>0</v>
      </c>
      <c r="AI160" s="46" t="s">
        <v>349</v>
      </c>
      <c r="AJ160" s="59">
        <f>IF(AN160=0,I160,0)</f>
        <v>0</v>
      </c>
      <c r="AK160" s="59">
        <f>IF(AN160=12,I160,0)</f>
        <v>0</v>
      </c>
      <c r="AL160" s="59">
        <f>IF(AN160=21,I160,0)</f>
        <v>0</v>
      </c>
      <c r="AN160" s="59">
        <v>12</v>
      </c>
      <c r="AO160" s="59">
        <f>H160*0.113898183</f>
        <v>0</v>
      </c>
      <c r="AP160" s="59">
        <f>H160*(1-0.113898183)</f>
        <v>0</v>
      </c>
      <c r="AQ160" s="61" t="s">
        <v>150</v>
      </c>
      <c r="AV160" s="59">
        <f>ROUND(AW160+AX160,2)</f>
        <v>0</v>
      </c>
      <c r="AW160" s="59">
        <f>ROUND(G160*AO160,2)</f>
        <v>0</v>
      </c>
      <c r="AX160" s="59">
        <f>ROUND(G160*AP160,2)</f>
        <v>0</v>
      </c>
      <c r="AY160" s="61" t="s">
        <v>170</v>
      </c>
      <c r="AZ160" s="61" t="s">
        <v>386</v>
      </c>
      <c r="BA160" s="46" t="s">
        <v>352</v>
      </c>
      <c r="BC160" s="59">
        <f>AW160+AX160</f>
        <v>0</v>
      </c>
      <c r="BD160" s="59">
        <f>H160/(100-BE160)*100</f>
        <v>0</v>
      </c>
      <c r="BE160" s="59">
        <v>0</v>
      </c>
      <c r="BF160" s="59">
        <f>L160</f>
        <v>3.6353999999999997E-2</v>
      </c>
      <c r="BH160" s="59">
        <f>G160*AO160</f>
        <v>0</v>
      </c>
      <c r="BI160" s="59">
        <f>G160*AP160</f>
        <v>0</v>
      </c>
      <c r="BJ160" s="59">
        <f>G160*H160</f>
        <v>0</v>
      </c>
      <c r="BK160" s="59"/>
      <c r="BL160" s="59">
        <v>764</v>
      </c>
      <c r="BW160" s="59">
        <v>12</v>
      </c>
      <c r="BX160" s="16" t="s">
        <v>178</v>
      </c>
    </row>
    <row r="161" spans="1:76" x14ac:dyDescent="0.25">
      <c r="A161" s="62"/>
      <c r="D161" s="63" t="s">
        <v>387</v>
      </c>
      <c r="E161" s="63"/>
      <c r="G161" s="64">
        <v>24.9</v>
      </c>
      <c r="M161" s="65"/>
    </row>
    <row r="162" spans="1:76" ht="15" customHeight="1" x14ac:dyDescent="0.25">
      <c r="A162" s="58" t="s">
        <v>109</v>
      </c>
      <c r="B162" s="18" t="s">
        <v>349</v>
      </c>
      <c r="C162" s="18" t="s">
        <v>388</v>
      </c>
      <c r="D162" s="8" t="s">
        <v>389</v>
      </c>
      <c r="E162" s="8"/>
      <c r="F162" s="18" t="s">
        <v>140</v>
      </c>
      <c r="G162" s="59">
        <v>19.399999999999999</v>
      </c>
      <c r="H162" s="59">
        <v>0</v>
      </c>
      <c r="I162" s="59">
        <f>ROUND(G162*H162,2)</f>
        <v>0</v>
      </c>
      <c r="J162" s="59">
        <v>1.1900000000000001E-3</v>
      </c>
      <c r="K162" s="59">
        <v>1.1900000000000001E-3</v>
      </c>
      <c r="L162" s="59">
        <f>G162*K162</f>
        <v>2.3085999999999999E-2</v>
      </c>
      <c r="M162" s="60" t="s">
        <v>115</v>
      </c>
      <c r="Z162" s="59">
        <f>ROUND(IF(AQ162="5",BJ162,0),2)</f>
        <v>0</v>
      </c>
      <c r="AB162" s="59">
        <f>ROUND(IF(AQ162="1",BH162,0),2)</f>
        <v>0</v>
      </c>
      <c r="AC162" s="59">
        <f>ROUND(IF(AQ162="1",BI162,0),2)</f>
        <v>0</v>
      </c>
      <c r="AD162" s="59">
        <f>ROUND(IF(AQ162="7",BH162,0),2)</f>
        <v>0</v>
      </c>
      <c r="AE162" s="59">
        <f>ROUND(IF(AQ162="7",BI162,0),2)</f>
        <v>0</v>
      </c>
      <c r="AF162" s="59">
        <f>ROUND(IF(AQ162="2",BH162,0),2)</f>
        <v>0</v>
      </c>
      <c r="AG162" s="59">
        <f>ROUND(IF(AQ162="2",BI162,0),2)</f>
        <v>0</v>
      </c>
      <c r="AH162" s="59">
        <f>ROUND(IF(AQ162="0",BJ162,0),2)</f>
        <v>0</v>
      </c>
      <c r="AI162" s="46" t="s">
        <v>349</v>
      </c>
      <c r="AJ162" s="59">
        <f>IF(AN162=0,I162,0)</f>
        <v>0</v>
      </c>
      <c r="AK162" s="59">
        <f>IF(AN162=12,I162,0)</f>
        <v>0</v>
      </c>
      <c r="AL162" s="59">
        <f>IF(AN162=21,I162,0)</f>
        <v>0</v>
      </c>
      <c r="AN162" s="59">
        <v>12</v>
      </c>
      <c r="AO162" s="59">
        <f>H162*0.381899982</f>
        <v>0</v>
      </c>
      <c r="AP162" s="59">
        <f>H162*(1-0.381899982)</f>
        <v>0</v>
      </c>
      <c r="AQ162" s="61" t="s">
        <v>150</v>
      </c>
      <c r="AV162" s="59">
        <f>ROUND(AW162+AX162,2)</f>
        <v>0</v>
      </c>
      <c r="AW162" s="59">
        <f>ROUND(G162*AO162,2)</f>
        <v>0</v>
      </c>
      <c r="AX162" s="59">
        <f>ROUND(G162*AP162,2)</f>
        <v>0</v>
      </c>
      <c r="AY162" s="61" t="s">
        <v>170</v>
      </c>
      <c r="AZ162" s="61" t="s">
        <v>386</v>
      </c>
      <c r="BA162" s="46" t="s">
        <v>352</v>
      </c>
      <c r="BC162" s="59">
        <f>AW162+AX162</f>
        <v>0</v>
      </c>
      <c r="BD162" s="59">
        <f>H162/(100-BE162)*100</f>
        <v>0</v>
      </c>
      <c r="BE162" s="59">
        <v>0</v>
      </c>
      <c r="BF162" s="59">
        <f>L162</f>
        <v>2.3085999999999999E-2</v>
      </c>
      <c r="BH162" s="59">
        <f>G162*AO162</f>
        <v>0</v>
      </c>
      <c r="BI162" s="59">
        <f>G162*AP162</f>
        <v>0</v>
      </c>
      <c r="BJ162" s="59">
        <f>G162*H162</f>
        <v>0</v>
      </c>
      <c r="BK162" s="59"/>
      <c r="BL162" s="59">
        <v>764</v>
      </c>
      <c r="BW162" s="59">
        <v>12</v>
      </c>
      <c r="BX162" s="16" t="s">
        <v>389</v>
      </c>
    </row>
    <row r="163" spans="1:76" x14ac:dyDescent="0.25">
      <c r="A163" s="62"/>
      <c r="D163" s="63" t="s">
        <v>390</v>
      </c>
      <c r="E163" s="63"/>
      <c r="G163" s="64">
        <v>19.399999999999999</v>
      </c>
      <c r="M163" s="65"/>
    </row>
    <row r="164" spans="1:76" ht="15" customHeight="1" x14ac:dyDescent="0.25">
      <c r="A164" s="54"/>
      <c r="B164" s="55" t="s">
        <v>349</v>
      </c>
      <c r="C164" s="55" t="s">
        <v>181</v>
      </c>
      <c r="D164" s="104" t="s">
        <v>182</v>
      </c>
      <c r="E164" s="104"/>
      <c r="F164" s="56" t="s">
        <v>88</v>
      </c>
      <c r="G164" s="56" t="s">
        <v>88</v>
      </c>
      <c r="H164" s="56" t="s">
        <v>88</v>
      </c>
      <c r="I164" s="39">
        <f>SUM(I165:I177)</f>
        <v>0</v>
      </c>
      <c r="J164" s="46"/>
      <c r="K164" s="46"/>
      <c r="L164" s="39">
        <f>SUM(L165:L177)</f>
        <v>2.3335080000000006</v>
      </c>
      <c r="M164" s="57"/>
      <c r="AI164" s="46" t="s">
        <v>349</v>
      </c>
      <c r="AS164" s="39">
        <f>SUM(AJ165:AJ177)</f>
        <v>0</v>
      </c>
      <c r="AT164" s="39">
        <f>SUM(AK165:AK177)</f>
        <v>0</v>
      </c>
      <c r="AU164" s="39">
        <f>SUM(AL165:AL177)</f>
        <v>0</v>
      </c>
    </row>
    <row r="165" spans="1:76" ht="15" customHeight="1" x14ac:dyDescent="0.25">
      <c r="A165" s="58" t="s">
        <v>125</v>
      </c>
      <c r="B165" s="18" t="s">
        <v>349</v>
      </c>
      <c r="C165" s="18" t="s">
        <v>191</v>
      </c>
      <c r="D165" s="8" t="s">
        <v>192</v>
      </c>
      <c r="E165" s="8"/>
      <c r="F165" s="18" t="s">
        <v>114</v>
      </c>
      <c r="G165" s="59">
        <v>57.6</v>
      </c>
      <c r="H165" s="59">
        <v>0</v>
      </c>
      <c r="I165" s="59">
        <f>ROUND(G165*H165,2)</f>
        <v>0</v>
      </c>
      <c r="J165" s="59">
        <v>4.0370000000000003E-2</v>
      </c>
      <c r="K165" s="59">
        <v>4.0370000000000003E-2</v>
      </c>
      <c r="L165" s="59">
        <f>G165*K165</f>
        <v>2.3253120000000003</v>
      </c>
      <c r="M165" s="60" t="s">
        <v>115</v>
      </c>
      <c r="Z165" s="59">
        <f>ROUND(IF(AQ165="5",BJ165,0),2)</f>
        <v>0</v>
      </c>
      <c r="AB165" s="59">
        <f>ROUND(IF(AQ165="1",BH165,0),2)</f>
        <v>0</v>
      </c>
      <c r="AC165" s="59">
        <f>ROUND(IF(AQ165="1",BI165,0),2)</f>
        <v>0</v>
      </c>
      <c r="AD165" s="59">
        <f>ROUND(IF(AQ165="7",BH165,0),2)</f>
        <v>0</v>
      </c>
      <c r="AE165" s="59">
        <f>ROUND(IF(AQ165="7",BI165,0),2)</f>
        <v>0</v>
      </c>
      <c r="AF165" s="59">
        <f>ROUND(IF(AQ165="2",BH165,0),2)</f>
        <v>0</v>
      </c>
      <c r="AG165" s="59">
        <f>ROUND(IF(AQ165="2",BI165,0),2)</f>
        <v>0</v>
      </c>
      <c r="AH165" s="59">
        <f>ROUND(IF(AQ165="0",BJ165,0),2)</f>
        <v>0</v>
      </c>
      <c r="AI165" s="46" t="s">
        <v>349</v>
      </c>
      <c r="AJ165" s="59">
        <f>IF(AN165=0,I165,0)</f>
        <v>0</v>
      </c>
      <c r="AK165" s="59">
        <f>IF(AN165=12,I165,0)</f>
        <v>0</v>
      </c>
      <c r="AL165" s="59">
        <f>IF(AN165=21,I165,0)</f>
        <v>0</v>
      </c>
      <c r="AN165" s="59">
        <v>12</v>
      </c>
      <c r="AO165" s="59">
        <f>H165*0.920036743</f>
        <v>0</v>
      </c>
      <c r="AP165" s="59">
        <f>H165*(1-0.920036743)</f>
        <v>0</v>
      </c>
      <c r="AQ165" s="61" t="s">
        <v>150</v>
      </c>
      <c r="AV165" s="59">
        <f>ROUND(AW165+AX165,2)</f>
        <v>0</v>
      </c>
      <c r="AW165" s="59">
        <f>ROUND(G165*AO165,2)</f>
        <v>0</v>
      </c>
      <c r="AX165" s="59">
        <f>ROUND(G165*AP165,2)</f>
        <v>0</v>
      </c>
      <c r="AY165" s="61" t="s">
        <v>187</v>
      </c>
      <c r="AZ165" s="61" t="s">
        <v>386</v>
      </c>
      <c r="BA165" s="46" t="s">
        <v>352</v>
      </c>
      <c r="BC165" s="59">
        <f>AW165+AX165</f>
        <v>0</v>
      </c>
      <c r="BD165" s="59">
        <f>H165/(100-BE165)*100</f>
        <v>0</v>
      </c>
      <c r="BE165" s="59">
        <v>0</v>
      </c>
      <c r="BF165" s="59">
        <f>L165</f>
        <v>2.3253120000000003</v>
      </c>
      <c r="BH165" s="59">
        <f>G165*AO165</f>
        <v>0</v>
      </c>
      <c r="BI165" s="59">
        <f>G165*AP165</f>
        <v>0</v>
      </c>
      <c r="BJ165" s="59">
        <f>G165*H165</f>
        <v>0</v>
      </c>
      <c r="BK165" s="59"/>
      <c r="BL165" s="59">
        <v>766</v>
      </c>
      <c r="BW165" s="59">
        <v>12</v>
      </c>
      <c r="BX165" s="16" t="s">
        <v>192</v>
      </c>
    </row>
    <row r="166" spans="1:76" x14ac:dyDescent="0.25">
      <c r="A166" s="62"/>
      <c r="D166" s="63" t="s">
        <v>391</v>
      </c>
      <c r="E166" s="63"/>
      <c r="G166" s="64">
        <v>9</v>
      </c>
      <c r="M166" s="65"/>
    </row>
    <row r="167" spans="1:76" x14ac:dyDescent="0.25">
      <c r="A167" s="62"/>
      <c r="D167" s="63" t="s">
        <v>392</v>
      </c>
      <c r="E167" s="63"/>
      <c r="G167" s="64">
        <v>5.4</v>
      </c>
      <c r="M167" s="65"/>
    </row>
    <row r="168" spans="1:76" x14ac:dyDescent="0.25">
      <c r="A168" s="62"/>
      <c r="D168" s="63" t="s">
        <v>393</v>
      </c>
      <c r="E168" s="63"/>
      <c r="G168" s="64">
        <v>21.6</v>
      </c>
      <c r="M168" s="65"/>
    </row>
    <row r="169" spans="1:76" x14ac:dyDescent="0.25">
      <c r="A169" s="62"/>
      <c r="D169" s="63" t="s">
        <v>394</v>
      </c>
      <c r="E169" s="63"/>
      <c r="G169" s="64">
        <v>14.4</v>
      </c>
      <c r="M169" s="65"/>
    </row>
    <row r="170" spans="1:76" x14ac:dyDescent="0.25">
      <c r="A170" s="62"/>
      <c r="D170" s="63" t="s">
        <v>395</v>
      </c>
      <c r="E170" s="63"/>
      <c r="G170" s="64">
        <v>7.2</v>
      </c>
      <c r="M170" s="65"/>
    </row>
    <row r="171" spans="1:76" ht="15" customHeight="1" x14ac:dyDescent="0.25">
      <c r="A171" s="58" t="s">
        <v>143</v>
      </c>
      <c r="B171" s="18" t="s">
        <v>349</v>
      </c>
      <c r="C171" s="18" t="s">
        <v>206</v>
      </c>
      <c r="D171" s="8" t="s">
        <v>207</v>
      </c>
      <c r="E171" s="8"/>
      <c r="F171" s="18" t="s">
        <v>140</v>
      </c>
      <c r="G171" s="59">
        <v>130.19999999999999</v>
      </c>
      <c r="H171" s="59">
        <v>0</v>
      </c>
      <c r="I171" s="59">
        <f>ROUND(G171*H171,2)</f>
        <v>0</v>
      </c>
      <c r="J171" s="59">
        <v>4.0000000000000003E-5</v>
      </c>
      <c r="K171" s="59">
        <v>4.0000000000000003E-5</v>
      </c>
      <c r="L171" s="59">
        <f>G171*K171</f>
        <v>5.208E-3</v>
      </c>
      <c r="M171" s="60" t="s">
        <v>115</v>
      </c>
      <c r="Z171" s="59">
        <f>ROUND(IF(AQ171="5",BJ171,0),2)</f>
        <v>0</v>
      </c>
      <c r="AB171" s="59">
        <f>ROUND(IF(AQ171="1",BH171,0),2)</f>
        <v>0</v>
      </c>
      <c r="AC171" s="59">
        <f>ROUND(IF(AQ171="1",BI171,0),2)</f>
        <v>0</v>
      </c>
      <c r="AD171" s="59">
        <f>ROUND(IF(AQ171="7",BH171,0),2)</f>
        <v>0</v>
      </c>
      <c r="AE171" s="59">
        <f>ROUND(IF(AQ171="7",BI171,0),2)</f>
        <v>0</v>
      </c>
      <c r="AF171" s="59">
        <f>ROUND(IF(AQ171="2",BH171,0),2)</f>
        <v>0</v>
      </c>
      <c r="AG171" s="59">
        <f>ROUND(IF(AQ171="2",BI171,0),2)</f>
        <v>0</v>
      </c>
      <c r="AH171" s="59">
        <f>ROUND(IF(AQ171="0",BJ171,0),2)</f>
        <v>0</v>
      </c>
      <c r="AI171" s="46" t="s">
        <v>349</v>
      </c>
      <c r="AJ171" s="59">
        <f>IF(AN171=0,I171,0)</f>
        <v>0</v>
      </c>
      <c r="AK171" s="59">
        <f>IF(AN171=12,I171,0)</f>
        <v>0</v>
      </c>
      <c r="AL171" s="59">
        <f>IF(AN171=21,I171,0)</f>
        <v>0</v>
      </c>
      <c r="AN171" s="59">
        <v>12</v>
      </c>
      <c r="AO171" s="59">
        <f>H171*0.41255311</f>
        <v>0</v>
      </c>
      <c r="AP171" s="59">
        <f>H171*(1-0.41255311)</f>
        <v>0</v>
      </c>
      <c r="AQ171" s="61" t="s">
        <v>150</v>
      </c>
      <c r="AV171" s="59">
        <f>ROUND(AW171+AX171,2)</f>
        <v>0</v>
      </c>
      <c r="AW171" s="59">
        <f>ROUND(G171*AO171,2)</f>
        <v>0</v>
      </c>
      <c r="AX171" s="59">
        <f>ROUND(G171*AP171,2)</f>
        <v>0</v>
      </c>
      <c r="AY171" s="61" t="s">
        <v>187</v>
      </c>
      <c r="AZ171" s="61" t="s">
        <v>386</v>
      </c>
      <c r="BA171" s="46" t="s">
        <v>352</v>
      </c>
      <c r="BC171" s="59">
        <f>AW171+AX171</f>
        <v>0</v>
      </c>
      <c r="BD171" s="59">
        <f>H171/(100-BE171)*100</f>
        <v>0</v>
      </c>
      <c r="BE171" s="59">
        <v>0</v>
      </c>
      <c r="BF171" s="59">
        <f>L171</f>
        <v>5.208E-3</v>
      </c>
      <c r="BH171" s="59">
        <f>G171*AO171</f>
        <v>0</v>
      </c>
      <c r="BI171" s="59">
        <f>G171*AP171</f>
        <v>0</v>
      </c>
      <c r="BJ171" s="59">
        <f>G171*H171</f>
        <v>0</v>
      </c>
      <c r="BK171" s="59"/>
      <c r="BL171" s="59">
        <v>766</v>
      </c>
      <c r="BW171" s="59">
        <v>12</v>
      </c>
      <c r="BX171" s="16" t="s">
        <v>207</v>
      </c>
    </row>
    <row r="172" spans="1:76" x14ac:dyDescent="0.25">
      <c r="A172" s="62"/>
      <c r="D172" s="63" t="s">
        <v>396</v>
      </c>
      <c r="E172" s="63"/>
      <c r="G172" s="64">
        <v>130.19999999999999</v>
      </c>
      <c r="M172" s="65"/>
    </row>
    <row r="173" spans="1:76" ht="15" customHeight="1" x14ac:dyDescent="0.25">
      <c r="A173" s="58" t="s">
        <v>356</v>
      </c>
      <c r="B173" s="18" t="s">
        <v>349</v>
      </c>
      <c r="C173" s="18" t="s">
        <v>211</v>
      </c>
      <c r="D173" s="8" t="s">
        <v>212</v>
      </c>
      <c r="E173" s="8"/>
      <c r="F173" s="18" t="s">
        <v>140</v>
      </c>
      <c r="G173" s="59">
        <v>24.9</v>
      </c>
      <c r="H173" s="59">
        <v>0</v>
      </c>
      <c r="I173" s="59">
        <f>ROUND(G173*H173,2)</f>
        <v>0</v>
      </c>
      <c r="J173" s="59">
        <v>1.2E-4</v>
      </c>
      <c r="K173" s="59">
        <v>1.2E-4</v>
      </c>
      <c r="L173" s="59">
        <f>G173*K173</f>
        <v>2.9879999999999998E-3</v>
      </c>
      <c r="M173" s="60" t="s">
        <v>115</v>
      </c>
      <c r="Z173" s="59">
        <f>ROUND(IF(AQ173="5",BJ173,0),2)</f>
        <v>0</v>
      </c>
      <c r="AB173" s="59">
        <f>ROUND(IF(AQ173="1",BH173,0),2)</f>
        <v>0</v>
      </c>
      <c r="AC173" s="59">
        <f>ROUND(IF(AQ173="1",BI173,0),2)</f>
        <v>0</v>
      </c>
      <c r="AD173" s="59">
        <f>ROUND(IF(AQ173="7",BH173,0),2)</f>
        <v>0</v>
      </c>
      <c r="AE173" s="59">
        <f>ROUND(IF(AQ173="7",BI173,0),2)</f>
        <v>0</v>
      </c>
      <c r="AF173" s="59">
        <f>ROUND(IF(AQ173="2",BH173,0),2)</f>
        <v>0</v>
      </c>
      <c r="AG173" s="59">
        <f>ROUND(IF(AQ173="2",BI173,0),2)</f>
        <v>0</v>
      </c>
      <c r="AH173" s="59">
        <f>ROUND(IF(AQ173="0",BJ173,0),2)</f>
        <v>0</v>
      </c>
      <c r="AI173" s="46" t="s">
        <v>349</v>
      </c>
      <c r="AJ173" s="59">
        <f>IF(AN173=0,I173,0)</f>
        <v>0</v>
      </c>
      <c r="AK173" s="59">
        <f>IF(AN173=12,I173,0)</f>
        <v>0</v>
      </c>
      <c r="AL173" s="59">
        <f>IF(AN173=21,I173,0)</f>
        <v>0</v>
      </c>
      <c r="AN173" s="59">
        <v>12</v>
      </c>
      <c r="AO173" s="59">
        <f>H173*0.319457388</f>
        <v>0</v>
      </c>
      <c r="AP173" s="59">
        <f>H173*(1-0.319457388)</f>
        <v>0</v>
      </c>
      <c r="AQ173" s="61" t="s">
        <v>150</v>
      </c>
      <c r="AV173" s="59">
        <f>ROUND(AW173+AX173,2)</f>
        <v>0</v>
      </c>
      <c r="AW173" s="59">
        <f>ROUND(G173*AO173,2)</f>
        <v>0</v>
      </c>
      <c r="AX173" s="59">
        <f>ROUND(G173*AP173,2)</f>
        <v>0</v>
      </c>
      <c r="AY173" s="61" t="s">
        <v>187</v>
      </c>
      <c r="AZ173" s="61" t="s">
        <v>386</v>
      </c>
      <c r="BA173" s="46" t="s">
        <v>352</v>
      </c>
      <c r="BC173" s="59">
        <f>AW173+AX173</f>
        <v>0</v>
      </c>
      <c r="BD173" s="59">
        <f>H173/(100-BE173)*100</f>
        <v>0</v>
      </c>
      <c r="BE173" s="59">
        <v>0</v>
      </c>
      <c r="BF173" s="59">
        <f>L173</f>
        <v>2.9879999999999998E-3</v>
      </c>
      <c r="BH173" s="59">
        <f>G173*AO173</f>
        <v>0</v>
      </c>
      <c r="BI173" s="59">
        <f>G173*AP173</f>
        <v>0</v>
      </c>
      <c r="BJ173" s="59">
        <f>G173*H173</f>
        <v>0</v>
      </c>
      <c r="BK173" s="59"/>
      <c r="BL173" s="59">
        <v>766</v>
      </c>
      <c r="BW173" s="59">
        <v>12</v>
      </c>
      <c r="BX173" s="16" t="s">
        <v>212</v>
      </c>
    </row>
    <row r="174" spans="1:76" x14ac:dyDescent="0.25">
      <c r="A174" s="62"/>
      <c r="D174" s="63" t="s">
        <v>387</v>
      </c>
      <c r="E174" s="63"/>
      <c r="G174" s="64">
        <v>24.9</v>
      </c>
      <c r="M174" s="65"/>
    </row>
    <row r="175" spans="1:76" ht="15" customHeight="1" x14ac:dyDescent="0.25">
      <c r="A175" s="58" t="s">
        <v>157</v>
      </c>
      <c r="B175" s="18" t="s">
        <v>349</v>
      </c>
      <c r="C175" s="18" t="s">
        <v>216</v>
      </c>
      <c r="D175" s="8" t="s">
        <v>217</v>
      </c>
      <c r="E175" s="8"/>
      <c r="F175" s="18" t="s">
        <v>218</v>
      </c>
      <c r="G175" s="59">
        <v>12</v>
      </c>
      <c r="H175" s="59">
        <v>0</v>
      </c>
      <c r="I175" s="59">
        <f>ROUND(G175*H175,2)</f>
        <v>0</v>
      </c>
      <c r="J175" s="59">
        <v>0</v>
      </c>
      <c r="K175" s="59">
        <v>0</v>
      </c>
      <c r="L175" s="59">
        <f>G175*K175</f>
        <v>0</v>
      </c>
      <c r="M175" s="60"/>
      <c r="Z175" s="59">
        <f>ROUND(IF(AQ175="5",BJ175,0),2)</f>
        <v>0</v>
      </c>
      <c r="AB175" s="59">
        <f>ROUND(IF(AQ175="1",BH175,0),2)</f>
        <v>0</v>
      </c>
      <c r="AC175" s="59">
        <f>ROUND(IF(AQ175="1",BI175,0),2)</f>
        <v>0</v>
      </c>
      <c r="AD175" s="59">
        <f>ROUND(IF(AQ175="7",BH175,0),2)</f>
        <v>0</v>
      </c>
      <c r="AE175" s="59">
        <f>ROUND(IF(AQ175="7",BI175,0),2)</f>
        <v>0</v>
      </c>
      <c r="AF175" s="59">
        <f>ROUND(IF(AQ175="2",BH175,0),2)</f>
        <v>0</v>
      </c>
      <c r="AG175" s="59">
        <f>ROUND(IF(AQ175="2",BI175,0),2)</f>
        <v>0</v>
      </c>
      <c r="AH175" s="59">
        <f>ROUND(IF(AQ175="0",BJ175,0),2)</f>
        <v>0</v>
      </c>
      <c r="AI175" s="46" t="s">
        <v>349</v>
      </c>
      <c r="AJ175" s="59">
        <f>IF(AN175=0,I175,0)</f>
        <v>0</v>
      </c>
      <c r="AK175" s="59">
        <f>IF(AN175=12,I175,0)</f>
        <v>0</v>
      </c>
      <c r="AL175" s="59">
        <f>IF(AN175=21,I175,0)</f>
        <v>0</v>
      </c>
      <c r="AN175" s="59">
        <v>12</v>
      </c>
      <c r="AO175" s="59">
        <f>H175*0</f>
        <v>0</v>
      </c>
      <c r="AP175" s="59">
        <f>H175*(1-0)</f>
        <v>0</v>
      </c>
      <c r="AQ175" s="61" t="s">
        <v>150</v>
      </c>
      <c r="AV175" s="59">
        <f>ROUND(AW175+AX175,2)</f>
        <v>0</v>
      </c>
      <c r="AW175" s="59">
        <f>ROUND(G175*AO175,2)</f>
        <v>0</v>
      </c>
      <c r="AX175" s="59">
        <f>ROUND(G175*AP175,2)</f>
        <v>0</v>
      </c>
      <c r="AY175" s="61" t="s">
        <v>187</v>
      </c>
      <c r="AZ175" s="61" t="s">
        <v>386</v>
      </c>
      <c r="BA175" s="46" t="s">
        <v>352</v>
      </c>
      <c r="BC175" s="59">
        <f>AW175+AX175</f>
        <v>0</v>
      </c>
      <c r="BD175" s="59">
        <f>H175/(100-BE175)*100</f>
        <v>0</v>
      </c>
      <c r="BE175" s="59">
        <v>0</v>
      </c>
      <c r="BF175" s="59">
        <f>L175</f>
        <v>0</v>
      </c>
      <c r="BH175" s="59">
        <f>G175*AO175</f>
        <v>0</v>
      </c>
      <c r="BI175" s="59">
        <f>G175*AP175</f>
        <v>0</v>
      </c>
      <c r="BJ175" s="59">
        <f>G175*H175</f>
        <v>0</v>
      </c>
      <c r="BK175" s="59"/>
      <c r="BL175" s="59">
        <v>766</v>
      </c>
      <c r="BW175" s="59">
        <v>12</v>
      </c>
      <c r="BX175" s="16" t="s">
        <v>217</v>
      </c>
    </row>
    <row r="176" spans="1:76" x14ac:dyDescent="0.25">
      <c r="A176" s="62"/>
      <c r="D176" s="63" t="s">
        <v>176</v>
      </c>
      <c r="E176" s="63"/>
      <c r="G176" s="64">
        <v>12</v>
      </c>
      <c r="M176" s="65"/>
    </row>
    <row r="177" spans="1:76" ht="15" customHeight="1" x14ac:dyDescent="0.25">
      <c r="A177" s="58" t="s">
        <v>532</v>
      </c>
      <c r="B177" s="18" t="s">
        <v>349</v>
      </c>
      <c r="C177" s="18" t="s">
        <v>222</v>
      </c>
      <c r="D177" s="8" t="s">
        <v>223</v>
      </c>
      <c r="E177" s="8"/>
      <c r="F177" s="18" t="s">
        <v>224</v>
      </c>
      <c r="G177" s="59">
        <v>1.859</v>
      </c>
      <c r="H177" s="59">
        <v>0</v>
      </c>
      <c r="I177" s="59">
        <f>ROUND(G177*H177,2)</f>
        <v>0</v>
      </c>
      <c r="J177" s="59">
        <v>0</v>
      </c>
      <c r="K177" s="59">
        <v>0</v>
      </c>
      <c r="L177" s="59">
        <f>G177*K177</f>
        <v>0</v>
      </c>
      <c r="M177" s="60" t="s">
        <v>115</v>
      </c>
      <c r="Z177" s="59">
        <f>ROUND(IF(AQ177="5",BJ177,0),2)</f>
        <v>0</v>
      </c>
      <c r="AB177" s="59">
        <f>ROUND(IF(AQ177="1",BH177,0),2)</f>
        <v>0</v>
      </c>
      <c r="AC177" s="59">
        <f>ROUND(IF(AQ177="1",BI177,0),2)</f>
        <v>0</v>
      </c>
      <c r="AD177" s="59">
        <f>ROUND(IF(AQ177="7",BH177,0),2)</f>
        <v>0</v>
      </c>
      <c r="AE177" s="59">
        <f>ROUND(IF(AQ177="7",BI177,0),2)</f>
        <v>0</v>
      </c>
      <c r="AF177" s="59">
        <f>ROUND(IF(AQ177="2",BH177,0),2)</f>
        <v>0</v>
      </c>
      <c r="AG177" s="59">
        <f>ROUND(IF(AQ177="2",BI177,0),2)</f>
        <v>0</v>
      </c>
      <c r="AH177" s="59">
        <f>ROUND(IF(AQ177="0",BJ177,0),2)</f>
        <v>0</v>
      </c>
      <c r="AI177" s="46" t="s">
        <v>349</v>
      </c>
      <c r="AJ177" s="59">
        <f>IF(AN177=0,I177,0)</f>
        <v>0</v>
      </c>
      <c r="AK177" s="59">
        <f>IF(AN177=12,I177,0)</f>
        <v>0</v>
      </c>
      <c r="AL177" s="59">
        <f>IF(AN177=21,I177,0)</f>
        <v>0</v>
      </c>
      <c r="AN177" s="59">
        <v>12</v>
      </c>
      <c r="AO177" s="59">
        <f>H177*0</f>
        <v>0</v>
      </c>
      <c r="AP177" s="59">
        <f>H177*(1-0)</f>
        <v>0</v>
      </c>
      <c r="AQ177" s="61" t="s">
        <v>137</v>
      </c>
      <c r="AV177" s="59">
        <f>ROUND(AW177+AX177,2)</f>
        <v>0</v>
      </c>
      <c r="AW177" s="59">
        <f>ROUND(G177*AO177,2)</f>
        <v>0</v>
      </c>
      <c r="AX177" s="59">
        <f>ROUND(G177*AP177,2)</f>
        <v>0</v>
      </c>
      <c r="AY177" s="61" t="s">
        <v>187</v>
      </c>
      <c r="AZ177" s="61" t="s">
        <v>386</v>
      </c>
      <c r="BA177" s="46" t="s">
        <v>352</v>
      </c>
      <c r="BC177" s="59">
        <f>AW177+AX177</f>
        <v>0</v>
      </c>
      <c r="BD177" s="59">
        <f>H177/(100-BE177)*100</f>
        <v>0</v>
      </c>
      <c r="BE177" s="59">
        <v>0</v>
      </c>
      <c r="BF177" s="59">
        <f>L177</f>
        <v>0</v>
      </c>
      <c r="BH177" s="59">
        <f>G177*AO177</f>
        <v>0</v>
      </c>
      <c r="BI177" s="59">
        <f>G177*AP177</f>
        <v>0</v>
      </c>
      <c r="BJ177" s="59">
        <f>G177*H177</f>
        <v>0</v>
      </c>
      <c r="BK177" s="59"/>
      <c r="BL177" s="59">
        <v>766</v>
      </c>
      <c r="BW177" s="59">
        <v>12</v>
      </c>
      <c r="BX177" s="16" t="s">
        <v>223</v>
      </c>
    </row>
    <row r="178" spans="1:76" ht="15" customHeight="1" x14ac:dyDescent="0.25">
      <c r="A178" s="54"/>
      <c r="B178" s="55" t="s">
        <v>349</v>
      </c>
      <c r="C178" s="55" t="s">
        <v>397</v>
      </c>
      <c r="D178" s="104" t="s">
        <v>398</v>
      </c>
      <c r="E178" s="104"/>
      <c r="F178" s="56" t="s">
        <v>88</v>
      </c>
      <c r="G178" s="56" t="s">
        <v>88</v>
      </c>
      <c r="H178" s="56" t="s">
        <v>88</v>
      </c>
      <c r="I178" s="39">
        <f>SUM(I179)</f>
        <v>0</v>
      </c>
      <c r="J178" s="46"/>
      <c r="K178" s="46"/>
      <c r="L178" s="39">
        <f>SUM(L179)</f>
        <v>0.261324</v>
      </c>
      <c r="M178" s="57"/>
      <c r="AI178" s="46" t="s">
        <v>349</v>
      </c>
      <c r="AS178" s="39">
        <f>SUM(AJ179)</f>
        <v>0</v>
      </c>
      <c r="AT178" s="39">
        <f>SUM(AK179)</f>
        <v>0</v>
      </c>
      <c r="AU178" s="39">
        <f>SUM(AL179)</f>
        <v>0</v>
      </c>
    </row>
    <row r="179" spans="1:76" ht="15" customHeight="1" x14ac:dyDescent="0.25">
      <c r="A179" s="58" t="s">
        <v>533</v>
      </c>
      <c r="B179" s="18" t="s">
        <v>349</v>
      </c>
      <c r="C179" s="18" t="s">
        <v>399</v>
      </c>
      <c r="D179" s="8" t="s">
        <v>400</v>
      </c>
      <c r="E179" s="8"/>
      <c r="F179" s="18" t="s">
        <v>114</v>
      </c>
      <c r="G179" s="59">
        <v>24.4</v>
      </c>
      <c r="H179" s="59">
        <v>0</v>
      </c>
      <c r="I179" s="59">
        <f>ROUND(G179*H179,2)</f>
        <v>0</v>
      </c>
      <c r="J179" s="59">
        <v>1.0710000000000001E-2</v>
      </c>
      <c r="K179" s="59">
        <v>1.0710000000000001E-2</v>
      </c>
      <c r="L179" s="59">
        <f>G179*K179</f>
        <v>0.261324</v>
      </c>
      <c r="M179" s="60" t="s">
        <v>115</v>
      </c>
      <c r="Z179" s="59">
        <f>ROUND(IF(AQ179="5",BJ179,0),2)</f>
        <v>0</v>
      </c>
      <c r="AB179" s="59">
        <f>ROUND(IF(AQ179="1",BH179,0),2)</f>
        <v>0</v>
      </c>
      <c r="AC179" s="59">
        <f>ROUND(IF(AQ179="1",BI179,0),2)</f>
        <v>0</v>
      </c>
      <c r="AD179" s="59">
        <f>ROUND(IF(AQ179="7",BH179,0),2)</f>
        <v>0</v>
      </c>
      <c r="AE179" s="59">
        <f>ROUND(IF(AQ179="7",BI179,0),2)</f>
        <v>0</v>
      </c>
      <c r="AF179" s="59">
        <f>ROUND(IF(AQ179="2",BH179,0),2)</f>
        <v>0</v>
      </c>
      <c r="AG179" s="59">
        <f>ROUND(IF(AQ179="2",BI179,0),2)</f>
        <v>0</v>
      </c>
      <c r="AH179" s="59">
        <f>ROUND(IF(AQ179="0",BJ179,0),2)</f>
        <v>0</v>
      </c>
      <c r="AI179" s="46" t="s">
        <v>349</v>
      </c>
      <c r="AJ179" s="59">
        <f>IF(AN179=0,I179,0)</f>
        <v>0</v>
      </c>
      <c r="AK179" s="59">
        <f>IF(AN179=12,I179,0)</f>
        <v>0</v>
      </c>
      <c r="AL179" s="59">
        <f>IF(AN179=21,I179,0)</f>
        <v>0</v>
      </c>
      <c r="AN179" s="59">
        <v>12</v>
      </c>
      <c r="AO179" s="59">
        <f>H179*0.791824982</f>
        <v>0</v>
      </c>
      <c r="AP179" s="59">
        <f>H179*(1-0.791824982)</f>
        <v>0</v>
      </c>
      <c r="AQ179" s="61" t="s">
        <v>150</v>
      </c>
      <c r="AV179" s="59">
        <f>ROUND(AW179+AX179,2)</f>
        <v>0</v>
      </c>
      <c r="AW179" s="59">
        <f>ROUND(G179*AO179,2)</f>
        <v>0</v>
      </c>
      <c r="AX179" s="59">
        <f>ROUND(G179*AP179,2)</f>
        <v>0</v>
      </c>
      <c r="AY179" s="61" t="s">
        <v>401</v>
      </c>
      <c r="AZ179" s="61" t="s">
        <v>402</v>
      </c>
      <c r="BA179" s="46" t="s">
        <v>352</v>
      </c>
      <c r="BC179" s="59">
        <f>AW179+AX179</f>
        <v>0</v>
      </c>
      <c r="BD179" s="59">
        <f>H179/(100-BE179)*100</f>
        <v>0</v>
      </c>
      <c r="BE179" s="59">
        <v>0</v>
      </c>
      <c r="BF179" s="59">
        <f>L179</f>
        <v>0.261324</v>
      </c>
      <c r="BH179" s="59">
        <f>G179*AO179</f>
        <v>0</v>
      </c>
      <c r="BI179" s="59">
        <f>G179*AP179</f>
        <v>0</v>
      </c>
      <c r="BJ179" s="59">
        <f>G179*H179</f>
        <v>0</v>
      </c>
      <c r="BK179" s="59"/>
      <c r="BL179" s="59">
        <v>777</v>
      </c>
      <c r="BW179" s="59">
        <v>12</v>
      </c>
      <c r="BX179" s="16" t="s">
        <v>400</v>
      </c>
    </row>
    <row r="180" spans="1:76" x14ac:dyDescent="0.25">
      <c r="A180" s="62"/>
      <c r="D180" s="63" t="s">
        <v>403</v>
      </c>
      <c r="E180" s="63"/>
      <c r="G180" s="64">
        <v>24.4</v>
      </c>
      <c r="M180" s="65"/>
    </row>
    <row r="181" spans="1:76" ht="15" customHeight="1" x14ac:dyDescent="0.25">
      <c r="A181" s="54"/>
      <c r="B181" s="55" t="s">
        <v>349</v>
      </c>
      <c r="C181" s="55" t="s">
        <v>225</v>
      </c>
      <c r="D181" s="104" t="s">
        <v>226</v>
      </c>
      <c r="E181" s="104"/>
      <c r="F181" s="56" t="s">
        <v>88</v>
      </c>
      <c r="G181" s="56" t="s">
        <v>88</v>
      </c>
      <c r="H181" s="56" t="s">
        <v>88</v>
      </c>
      <c r="I181" s="39">
        <f>SUM(I182:I190)</f>
        <v>0</v>
      </c>
      <c r="J181" s="46"/>
      <c r="K181" s="46"/>
      <c r="L181" s="39">
        <f>SUM(L182:L190)</f>
        <v>1.7443960000000001E-2</v>
      </c>
      <c r="M181" s="57"/>
      <c r="AI181" s="46" t="s">
        <v>349</v>
      </c>
      <c r="AS181" s="39">
        <f>SUM(AJ182:AJ190)</f>
        <v>0</v>
      </c>
      <c r="AT181" s="39">
        <f>SUM(AK182:AK190)</f>
        <v>0</v>
      </c>
      <c r="AU181" s="39">
        <f>SUM(AL182:AL190)</f>
        <v>0</v>
      </c>
    </row>
    <row r="182" spans="1:76" ht="15" customHeight="1" x14ac:dyDescent="0.25">
      <c r="A182" s="58" t="s">
        <v>534</v>
      </c>
      <c r="B182" s="18" t="s">
        <v>349</v>
      </c>
      <c r="C182" s="18" t="s">
        <v>228</v>
      </c>
      <c r="D182" s="8" t="s">
        <v>229</v>
      </c>
      <c r="E182" s="8"/>
      <c r="F182" s="18" t="s">
        <v>114</v>
      </c>
      <c r="G182" s="59">
        <v>6.1539999999999999</v>
      </c>
      <c r="H182" s="59">
        <v>0</v>
      </c>
      <c r="I182" s="59">
        <f>ROUND(G182*H182,2)</f>
        <v>0</v>
      </c>
      <c r="J182" s="59">
        <v>2.9E-4</v>
      </c>
      <c r="K182" s="59">
        <v>2.9E-4</v>
      </c>
      <c r="L182" s="59">
        <f>G182*K182</f>
        <v>1.78466E-3</v>
      </c>
      <c r="M182" s="60" t="s">
        <v>115</v>
      </c>
      <c r="Z182" s="59">
        <f>ROUND(IF(AQ182="5",BJ182,0),2)</f>
        <v>0</v>
      </c>
      <c r="AB182" s="59">
        <f>ROUND(IF(AQ182="1",BH182,0),2)</f>
        <v>0</v>
      </c>
      <c r="AC182" s="59">
        <f>ROUND(IF(AQ182="1",BI182,0),2)</f>
        <v>0</v>
      </c>
      <c r="AD182" s="59">
        <f>ROUND(IF(AQ182="7",BH182,0),2)</f>
        <v>0</v>
      </c>
      <c r="AE182" s="59">
        <f>ROUND(IF(AQ182="7",BI182,0),2)</f>
        <v>0</v>
      </c>
      <c r="AF182" s="59">
        <f>ROUND(IF(AQ182="2",BH182,0),2)</f>
        <v>0</v>
      </c>
      <c r="AG182" s="59">
        <f>ROUND(IF(AQ182="2",BI182,0),2)</f>
        <v>0</v>
      </c>
      <c r="AH182" s="59">
        <f>ROUND(IF(AQ182="0",BJ182,0),2)</f>
        <v>0</v>
      </c>
      <c r="AI182" s="46" t="s">
        <v>349</v>
      </c>
      <c r="AJ182" s="59">
        <f>IF(AN182=0,I182,0)</f>
        <v>0</v>
      </c>
      <c r="AK182" s="59">
        <f>IF(AN182=12,I182,0)</f>
        <v>0</v>
      </c>
      <c r="AL182" s="59">
        <f>IF(AN182=21,I182,0)</f>
        <v>0</v>
      </c>
      <c r="AN182" s="59">
        <v>12</v>
      </c>
      <c r="AO182" s="59">
        <f>H182*0.178147182</f>
        <v>0</v>
      </c>
      <c r="AP182" s="59">
        <f>H182*(1-0.178147182)</f>
        <v>0</v>
      </c>
      <c r="AQ182" s="61" t="s">
        <v>150</v>
      </c>
      <c r="AV182" s="59">
        <f>ROUND(AW182+AX182,2)</f>
        <v>0</v>
      </c>
      <c r="AW182" s="59">
        <f>ROUND(G182*AO182,2)</f>
        <v>0</v>
      </c>
      <c r="AX182" s="59">
        <f>ROUND(G182*AP182,2)</f>
        <v>0</v>
      </c>
      <c r="AY182" s="61" t="s">
        <v>230</v>
      </c>
      <c r="AZ182" s="61" t="s">
        <v>404</v>
      </c>
      <c r="BA182" s="46" t="s">
        <v>352</v>
      </c>
      <c r="BC182" s="59">
        <f>AW182+AX182</f>
        <v>0</v>
      </c>
      <c r="BD182" s="59">
        <f>H182/(100-BE182)*100</f>
        <v>0</v>
      </c>
      <c r="BE182" s="59">
        <v>0</v>
      </c>
      <c r="BF182" s="59">
        <f>L182</f>
        <v>1.78466E-3</v>
      </c>
      <c r="BH182" s="59">
        <f>G182*AO182</f>
        <v>0</v>
      </c>
      <c r="BI182" s="59">
        <f>G182*AP182</f>
        <v>0</v>
      </c>
      <c r="BJ182" s="59">
        <f>G182*H182</f>
        <v>0</v>
      </c>
      <c r="BK182" s="59"/>
      <c r="BL182" s="59">
        <v>783</v>
      </c>
      <c r="BW182" s="59">
        <v>12</v>
      </c>
      <c r="BX182" s="16" t="s">
        <v>229</v>
      </c>
    </row>
    <row r="183" spans="1:76" x14ac:dyDescent="0.25">
      <c r="A183" s="62"/>
      <c r="D183" s="63" t="s">
        <v>405</v>
      </c>
      <c r="E183" s="63"/>
      <c r="G183" s="64">
        <v>6.1539999999999999</v>
      </c>
      <c r="M183" s="65"/>
    </row>
    <row r="184" spans="1:76" ht="15" customHeight="1" x14ac:dyDescent="0.25">
      <c r="A184" s="58" t="s">
        <v>535</v>
      </c>
      <c r="B184" s="18" t="s">
        <v>349</v>
      </c>
      <c r="C184" s="18" t="s">
        <v>235</v>
      </c>
      <c r="D184" s="8" t="s">
        <v>236</v>
      </c>
      <c r="E184" s="8"/>
      <c r="F184" s="18" t="s">
        <v>114</v>
      </c>
      <c r="G184" s="59">
        <v>8.75</v>
      </c>
      <c r="H184" s="59">
        <v>0</v>
      </c>
      <c r="I184" s="59">
        <f>ROUND(G184*H184,2)</f>
        <v>0</v>
      </c>
      <c r="J184" s="59">
        <v>2.7E-4</v>
      </c>
      <c r="K184" s="59">
        <v>2.7E-4</v>
      </c>
      <c r="L184" s="59">
        <f>G184*K184</f>
        <v>2.3625E-3</v>
      </c>
      <c r="M184" s="60" t="s">
        <v>115</v>
      </c>
      <c r="Z184" s="59">
        <f>ROUND(IF(AQ184="5",BJ184,0),2)</f>
        <v>0</v>
      </c>
      <c r="AB184" s="59">
        <f>ROUND(IF(AQ184="1",BH184,0),2)</f>
        <v>0</v>
      </c>
      <c r="AC184" s="59">
        <f>ROUND(IF(AQ184="1",BI184,0),2)</f>
        <v>0</v>
      </c>
      <c r="AD184" s="59">
        <f>ROUND(IF(AQ184="7",BH184,0),2)</f>
        <v>0</v>
      </c>
      <c r="AE184" s="59">
        <f>ROUND(IF(AQ184="7",BI184,0),2)</f>
        <v>0</v>
      </c>
      <c r="AF184" s="59">
        <f>ROUND(IF(AQ184="2",BH184,0),2)</f>
        <v>0</v>
      </c>
      <c r="AG184" s="59">
        <f>ROUND(IF(AQ184="2",BI184,0),2)</f>
        <v>0</v>
      </c>
      <c r="AH184" s="59">
        <f>ROUND(IF(AQ184="0",BJ184,0),2)</f>
        <v>0</v>
      </c>
      <c r="AI184" s="46" t="s">
        <v>349</v>
      </c>
      <c r="AJ184" s="59">
        <f>IF(AN184=0,I184,0)</f>
        <v>0</v>
      </c>
      <c r="AK184" s="59">
        <f>IF(AN184=12,I184,0)</f>
        <v>0</v>
      </c>
      <c r="AL184" s="59">
        <f>IF(AN184=21,I184,0)</f>
        <v>0</v>
      </c>
      <c r="AN184" s="59">
        <v>12</v>
      </c>
      <c r="AO184" s="59">
        <f>H184*0.140415743</f>
        <v>0</v>
      </c>
      <c r="AP184" s="59">
        <f>H184*(1-0.140415743)</f>
        <v>0</v>
      </c>
      <c r="AQ184" s="61" t="s">
        <v>150</v>
      </c>
      <c r="AV184" s="59">
        <f>ROUND(AW184+AX184,2)</f>
        <v>0</v>
      </c>
      <c r="AW184" s="59">
        <f>ROUND(G184*AO184,2)</f>
        <v>0</v>
      </c>
      <c r="AX184" s="59">
        <f>ROUND(G184*AP184,2)</f>
        <v>0</v>
      </c>
      <c r="AY184" s="61" t="s">
        <v>230</v>
      </c>
      <c r="AZ184" s="61" t="s">
        <v>404</v>
      </c>
      <c r="BA184" s="46" t="s">
        <v>352</v>
      </c>
      <c r="BC184" s="59">
        <f>AW184+AX184</f>
        <v>0</v>
      </c>
      <c r="BD184" s="59">
        <f>H184/(100-BE184)*100</f>
        <v>0</v>
      </c>
      <c r="BE184" s="59">
        <v>0</v>
      </c>
      <c r="BF184" s="59">
        <f>L184</f>
        <v>2.3625E-3</v>
      </c>
      <c r="BH184" s="59">
        <f>G184*AO184</f>
        <v>0</v>
      </c>
      <c r="BI184" s="59">
        <f>G184*AP184</f>
        <v>0</v>
      </c>
      <c r="BJ184" s="59">
        <f>G184*H184</f>
        <v>0</v>
      </c>
      <c r="BK184" s="59"/>
      <c r="BL184" s="59">
        <v>783</v>
      </c>
      <c r="BW184" s="59">
        <v>12</v>
      </c>
      <c r="BX184" s="16" t="s">
        <v>236</v>
      </c>
    </row>
    <row r="185" spans="1:76" x14ac:dyDescent="0.25">
      <c r="A185" s="62"/>
      <c r="D185" s="63" t="s">
        <v>406</v>
      </c>
      <c r="E185" s="63"/>
      <c r="G185" s="64">
        <v>8.75</v>
      </c>
      <c r="M185" s="65"/>
    </row>
    <row r="186" spans="1:76" ht="15" customHeight="1" x14ac:dyDescent="0.25">
      <c r="A186" s="58" t="s">
        <v>536</v>
      </c>
      <c r="B186" s="18" t="s">
        <v>349</v>
      </c>
      <c r="C186" s="18" t="s">
        <v>407</v>
      </c>
      <c r="D186" s="8" t="s">
        <v>408</v>
      </c>
      <c r="E186" s="8"/>
      <c r="F186" s="18" t="s">
        <v>114</v>
      </c>
      <c r="G186" s="59">
        <v>30.22</v>
      </c>
      <c r="H186" s="59">
        <v>0</v>
      </c>
      <c r="I186" s="59">
        <f>ROUND(G186*H186,2)</f>
        <v>0</v>
      </c>
      <c r="J186" s="59">
        <v>3.6000000000000002E-4</v>
      </c>
      <c r="K186" s="59">
        <v>3.6000000000000002E-4</v>
      </c>
      <c r="L186" s="59">
        <f>G186*K186</f>
        <v>1.08792E-2</v>
      </c>
      <c r="M186" s="60" t="s">
        <v>115</v>
      </c>
      <c r="Z186" s="59">
        <f>ROUND(IF(AQ186="5",BJ186,0),2)</f>
        <v>0</v>
      </c>
      <c r="AB186" s="59">
        <f>ROUND(IF(AQ186="1",BH186,0),2)</f>
        <v>0</v>
      </c>
      <c r="AC186" s="59">
        <f>ROUND(IF(AQ186="1",BI186,0),2)</f>
        <v>0</v>
      </c>
      <c r="AD186" s="59">
        <f>ROUND(IF(AQ186="7",BH186,0),2)</f>
        <v>0</v>
      </c>
      <c r="AE186" s="59">
        <f>ROUND(IF(AQ186="7",BI186,0),2)</f>
        <v>0</v>
      </c>
      <c r="AF186" s="59">
        <f>ROUND(IF(AQ186="2",BH186,0),2)</f>
        <v>0</v>
      </c>
      <c r="AG186" s="59">
        <f>ROUND(IF(AQ186="2",BI186,0),2)</f>
        <v>0</v>
      </c>
      <c r="AH186" s="59">
        <f>ROUND(IF(AQ186="0",BJ186,0),2)</f>
        <v>0</v>
      </c>
      <c r="AI186" s="46" t="s">
        <v>349</v>
      </c>
      <c r="AJ186" s="59">
        <f>IF(AN186=0,I186,0)</f>
        <v>0</v>
      </c>
      <c r="AK186" s="59">
        <f>IF(AN186=12,I186,0)</f>
        <v>0</v>
      </c>
      <c r="AL186" s="59">
        <f>IF(AN186=21,I186,0)</f>
        <v>0</v>
      </c>
      <c r="AN186" s="59">
        <v>12</v>
      </c>
      <c r="AO186" s="59">
        <f>H186*0.23711537</f>
        <v>0</v>
      </c>
      <c r="AP186" s="59">
        <f>H186*(1-0.23711537)</f>
        <v>0</v>
      </c>
      <c r="AQ186" s="61" t="s">
        <v>150</v>
      </c>
      <c r="AV186" s="59">
        <f>ROUND(AW186+AX186,2)</f>
        <v>0</v>
      </c>
      <c r="AW186" s="59">
        <f>ROUND(G186*AO186,2)</f>
        <v>0</v>
      </c>
      <c r="AX186" s="59">
        <f>ROUND(G186*AP186,2)</f>
        <v>0</v>
      </c>
      <c r="AY186" s="61" t="s">
        <v>230</v>
      </c>
      <c r="AZ186" s="61" t="s">
        <v>404</v>
      </c>
      <c r="BA186" s="46" t="s">
        <v>352</v>
      </c>
      <c r="BC186" s="59">
        <f>AW186+AX186</f>
        <v>0</v>
      </c>
      <c r="BD186" s="59">
        <f>H186/(100-BE186)*100</f>
        <v>0</v>
      </c>
      <c r="BE186" s="59">
        <v>0</v>
      </c>
      <c r="BF186" s="59">
        <f>L186</f>
        <v>1.08792E-2</v>
      </c>
      <c r="BH186" s="59">
        <f>G186*AO186</f>
        <v>0</v>
      </c>
      <c r="BI186" s="59">
        <f>G186*AP186</f>
        <v>0</v>
      </c>
      <c r="BJ186" s="59">
        <f>G186*H186</f>
        <v>0</v>
      </c>
      <c r="BK186" s="59"/>
      <c r="BL186" s="59">
        <v>783</v>
      </c>
      <c r="BW186" s="59">
        <v>12</v>
      </c>
      <c r="BX186" s="16" t="s">
        <v>408</v>
      </c>
    </row>
    <row r="187" spans="1:76" x14ac:dyDescent="0.25">
      <c r="A187" s="62"/>
      <c r="D187" s="63" t="s">
        <v>410</v>
      </c>
      <c r="E187" s="63"/>
      <c r="G187" s="64">
        <v>30.22</v>
      </c>
      <c r="M187" s="65"/>
    </row>
    <row r="188" spans="1:76" ht="15" customHeight="1" x14ac:dyDescent="0.25">
      <c r="A188" s="58" t="s">
        <v>537</v>
      </c>
      <c r="B188" s="18" t="s">
        <v>349</v>
      </c>
      <c r="C188" s="18" t="s">
        <v>411</v>
      </c>
      <c r="D188" s="8" t="s">
        <v>412</v>
      </c>
      <c r="E188" s="8"/>
      <c r="F188" s="18" t="s">
        <v>114</v>
      </c>
      <c r="G188" s="59">
        <v>30.22</v>
      </c>
      <c r="H188" s="59">
        <v>0</v>
      </c>
      <c r="I188" s="59">
        <f>ROUND(G188*H188,2)</f>
        <v>0</v>
      </c>
      <c r="J188" s="59">
        <v>1.0000000000000001E-5</v>
      </c>
      <c r="K188" s="59">
        <v>1.0000000000000001E-5</v>
      </c>
      <c r="L188" s="59">
        <f>G188*K188</f>
        <v>3.0220000000000003E-4</v>
      </c>
      <c r="M188" s="60" t="s">
        <v>115</v>
      </c>
      <c r="Z188" s="59">
        <f>ROUND(IF(AQ188="5",BJ188,0),2)</f>
        <v>0</v>
      </c>
      <c r="AB188" s="59">
        <f>ROUND(IF(AQ188="1",BH188,0),2)</f>
        <v>0</v>
      </c>
      <c r="AC188" s="59">
        <f>ROUND(IF(AQ188="1",BI188,0),2)</f>
        <v>0</v>
      </c>
      <c r="AD188" s="59">
        <f>ROUND(IF(AQ188="7",BH188,0),2)</f>
        <v>0</v>
      </c>
      <c r="AE188" s="59">
        <f>ROUND(IF(AQ188="7",BI188,0),2)</f>
        <v>0</v>
      </c>
      <c r="AF188" s="59">
        <f>ROUND(IF(AQ188="2",BH188,0),2)</f>
        <v>0</v>
      </c>
      <c r="AG188" s="59">
        <f>ROUND(IF(AQ188="2",BI188,0),2)</f>
        <v>0</v>
      </c>
      <c r="AH188" s="59">
        <f>ROUND(IF(AQ188="0",BJ188,0),2)</f>
        <v>0</v>
      </c>
      <c r="AI188" s="46" t="s">
        <v>349</v>
      </c>
      <c r="AJ188" s="59">
        <f>IF(AN188=0,I188,0)</f>
        <v>0</v>
      </c>
      <c r="AK188" s="59">
        <f>IF(AN188=12,I188,0)</f>
        <v>0</v>
      </c>
      <c r="AL188" s="59">
        <f>IF(AN188=21,I188,0)</f>
        <v>0</v>
      </c>
      <c r="AN188" s="59">
        <v>12</v>
      </c>
      <c r="AO188" s="59">
        <f>H188*0.06128009</f>
        <v>0</v>
      </c>
      <c r="AP188" s="59">
        <f>H188*(1-0.06128009)</f>
        <v>0</v>
      </c>
      <c r="AQ188" s="61" t="s">
        <v>150</v>
      </c>
      <c r="AV188" s="59">
        <f>ROUND(AW188+AX188,2)</f>
        <v>0</v>
      </c>
      <c r="AW188" s="59">
        <f>ROUND(G188*AO188,2)</f>
        <v>0</v>
      </c>
      <c r="AX188" s="59">
        <f>ROUND(G188*AP188,2)</f>
        <v>0</v>
      </c>
      <c r="AY188" s="61" t="s">
        <v>230</v>
      </c>
      <c r="AZ188" s="61" t="s">
        <v>404</v>
      </c>
      <c r="BA188" s="46" t="s">
        <v>352</v>
      </c>
      <c r="BC188" s="59">
        <f>AW188+AX188</f>
        <v>0</v>
      </c>
      <c r="BD188" s="59">
        <f>H188/(100-BE188)*100</f>
        <v>0</v>
      </c>
      <c r="BE188" s="59">
        <v>0</v>
      </c>
      <c r="BF188" s="59">
        <f>L188</f>
        <v>3.0220000000000003E-4</v>
      </c>
      <c r="BH188" s="59">
        <f>G188*AO188</f>
        <v>0</v>
      </c>
      <c r="BI188" s="59">
        <f>G188*AP188</f>
        <v>0</v>
      </c>
      <c r="BJ188" s="59">
        <f>G188*H188</f>
        <v>0</v>
      </c>
      <c r="BK188" s="59"/>
      <c r="BL188" s="59">
        <v>783</v>
      </c>
      <c r="BW188" s="59">
        <v>12</v>
      </c>
      <c r="BX188" s="16" t="s">
        <v>412</v>
      </c>
    </row>
    <row r="189" spans="1:76" x14ac:dyDescent="0.25">
      <c r="A189" s="62"/>
      <c r="D189" s="63" t="s">
        <v>410</v>
      </c>
      <c r="E189" s="63"/>
      <c r="G189" s="64">
        <v>30.22</v>
      </c>
      <c r="M189" s="65"/>
    </row>
    <row r="190" spans="1:76" ht="15" customHeight="1" x14ac:dyDescent="0.25">
      <c r="A190" s="58" t="s">
        <v>538</v>
      </c>
      <c r="B190" s="18" t="s">
        <v>349</v>
      </c>
      <c r="C190" s="18" t="s">
        <v>414</v>
      </c>
      <c r="D190" s="8" t="s">
        <v>412</v>
      </c>
      <c r="E190" s="8"/>
      <c r="F190" s="18" t="s">
        <v>114</v>
      </c>
      <c r="G190" s="59">
        <v>30.22</v>
      </c>
      <c r="H190" s="59">
        <v>0</v>
      </c>
      <c r="I190" s="59">
        <f>ROUND(G190*H190,2)</f>
        <v>0</v>
      </c>
      <c r="J190" s="59">
        <v>6.9999999999999994E-5</v>
      </c>
      <c r="K190" s="59">
        <v>6.9999999999999994E-5</v>
      </c>
      <c r="L190" s="59">
        <f>G190*K190</f>
        <v>2.1153999999999999E-3</v>
      </c>
      <c r="M190" s="60" t="s">
        <v>115</v>
      </c>
      <c r="Z190" s="59">
        <f>ROUND(IF(AQ190="5",BJ190,0),2)</f>
        <v>0</v>
      </c>
      <c r="AB190" s="59">
        <f>ROUND(IF(AQ190="1",BH190,0),2)</f>
        <v>0</v>
      </c>
      <c r="AC190" s="59">
        <f>ROUND(IF(AQ190="1",BI190,0),2)</f>
        <v>0</v>
      </c>
      <c r="AD190" s="59">
        <f>ROUND(IF(AQ190="7",BH190,0),2)</f>
        <v>0</v>
      </c>
      <c r="AE190" s="59">
        <f>ROUND(IF(AQ190="7",BI190,0),2)</f>
        <v>0</v>
      </c>
      <c r="AF190" s="59">
        <f>ROUND(IF(AQ190="2",BH190,0),2)</f>
        <v>0</v>
      </c>
      <c r="AG190" s="59">
        <f>ROUND(IF(AQ190="2",BI190,0),2)</f>
        <v>0</v>
      </c>
      <c r="AH190" s="59">
        <f>ROUND(IF(AQ190="0",BJ190,0),2)</f>
        <v>0</v>
      </c>
      <c r="AI190" s="46" t="s">
        <v>349</v>
      </c>
      <c r="AJ190" s="59">
        <f>IF(AN190=0,I190,0)</f>
        <v>0</v>
      </c>
      <c r="AK190" s="59">
        <f>IF(AN190=12,I190,0)</f>
        <v>0</v>
      </c>
      <c r="AL190" s="59">
        <f>IF(AN190=21,I190,0)</f>
        <v>0</v>
      </c>
      <c r="AN190" s="59">
        <v>12</v>
      </c>
      <c r="AO190" s="59">
        <f>H190*0.091915035</f>
        <v>0</v>
      </c>
      <c r="AP190" s="59">
        <f>H190*(1-0.091915035)</f>
        <v>0</v>
      </c>
      <c r="AQ190" s="61" t="s">
        <v>150</v>
      </c>
      <c r="AV190" s="59">
        <f>ROUND(AW190+AX190,2)</f>
        <v>0</v>
      </c>
      <c r="AW190" s="59">
        <f>ROUND(G190*AO190,2)</f>
        <v>0</v>
      </c>
      <c r="AX190" s="59">
        <f>ROUND(G190*AP190,2)</f>
        <v>0</v>
      </c>
      <c r="AY190" s="61" t="s">
        <v>230</v>
      </c>
      <c r="AZ190" s="61" t="s">
        <v>404</v>
      </c>
      <c r="BA190" s="46" t="s">
        <v>352</v>
      </c>
      <c r="BC190" s="59">
        <f>AW190+AX190</f>
        <v>0</v>
      </c>
      <c r="BD190" s="59">
        <f>H190/(100-BE190)*100</f>
        <v>0</v>
      </c>
      <c r="BE190" s="59">
        <v>0</v>
      </c>
      <c r="BF190" s="59">
        <f>L190</f>
        <v>2.1153999999999999E-3</v>
      </c>
      <c r="BH190" s="59">
        <f>G190*AO190</f>
        <v>0</v>
      </c>
      <c r="BI190" s="59">
        <f>G190*AP190</f>
        <v>0</v>
      </c>
      <c r="BJ190" s="59">
        <f>G190*H190</f>
        <v>0</v>
      </c>
      <c r="BK190" s="59"/>
      <c r="BL190" s="59">
        <v>783</v>
      </c>
      <c r="BW190" s="59">
        <v>12</v>
      </c>
      <c r="BX190" s="16" t="s">
        <v>412</v>
      </c>
    </row>
    <row r="191" spans="1:76" x14ac:dyDescent="0.25">
      <c r="A191" s="62"/>
      <c r="D191" s="63" t="s">
        <v>410</v>
      </c>
      <c r="E191" s="63"/>
      <c r="G191" s="64">
        <v>30.22</v>
      </c>
      <c r="M191" s="65"/>
    </row>
    <row r="192" spans="1:76" ht="15" customHeight="1" x14ac:dyDescent="0.25">
      <c r="A192" s="54"/>
      <c r="B192" s="55" t="s">
        <v>349</v>
      </c>
      <c r="C192" s="55" t="s">
        <v>239</v>
      </c>
      <c r="D192" s="104" t="s">
        <v>240</v>
      </c>
      <c r="E192" s="104"/>
      <c r="F192" s="56" t="s">
        <v>88</v>
      </c>
      <c r="G192" s="56" t="s">
        <v>88</v>
      </c>
      <c r="H192" s="56" t="s">
        <v>88</v>
      </c>
      <c r="I192" s="39">
        <f>SUM(I193:I197)</f>
        <v>0</v>
      </c>
      <c r="J192" s="46"/>
      <c r="K192" s="46"/>
      <c r="L192" s="39">
        <f>SUM(L193:L197)</f>
        <v>0.11506860000000001</v>
      </c>
      <c r="M192" s="57"/>
      <c r="AI192" s="46" t="s">
        <v>349</v>
      </c>
      <c r="AS192" s="39">
        <f>SUM(AJ193:AJ197)</f>
        <v>0</v>
      </c>
      <c r="AT192" s="39">
        <f>SUM(AK193:AK197)</f>
        <v>0</v>
      </c>
      <c r="AU192" s="39">
        <f>SUM(AL193:AL197)</f>
        <v>0</v>
      </c>
    </row>
    <row r="193" spans="1:76" ht="15" customHeight="1" x14ac:dyDescent="0.25">
      <c r="A193" s="58" t="s">
        <v>539</v>
      </c>
      <c r="B193" s="18" t="s">
        <v>349</v>
      </c>
      <c r="C193" s="18" t="s">
        <v>242</v>
      </c>
      <c r="D193" s="8" t="s">
        <v>243</v>
      </c>
      <c r="E193" s="8"/>
      <c r="F193" s="18" t="s">
        <v>114</v>
      </c>
      <c r="G193" s="59">
        <v>256.68</v>
      </c>
      <c r="H193" s="59">
        <v>0</v>
      </c>
      <c r="I193" s="59">
        <f>ROUND(G193*H193,2)</f>
        <v>0</v>
      </c>
      <c r="J193" s="59">
        <v>3.5E-4</v>
      </c>
      <c r="K193" s="59">
        <v>3.5E-4</v>
      </c>
      <c r="L193" s="59">
        <f>G193*K193</f>
        <v>8.9838000000000001E-2</v>
      </c>
      <c r="M193" s="60" t="s">
        <v>115</v>
      </c>
      <c r="Z193" s="59">
        <f>ROUND(IF(AQ193="5",BJ193,0),2)</f>
        <v>0</v>
      </c>
      <c r="AB193" s="59">
        <f>ROUND(IF(AQ193="1",BH193,0),2)</f>
        <v>0</v>
      </c>
      <c r="AC193" s="59">
        <f>ROUND(IF(AQ193="1",BI193,0),2)</f>
        <v>0</v>
      </c>
      <c r="AD193" s="59">
        <f>ROUND(IF(AQ193="7",BH193,0),2)</f>
        <v>0</v>
      </c>
      <c r="AE193" s="59">
        <f>ROUND(IF(AQ193="7",BI193,0),2)</f>
        <v>0</v>
      </c>
      <c r="AF193" s="59">
        <f>ROUND(IF(AQ193="2",BH193,0),2)</f>
        <v>0</v>
      </c>
      <c r="AG193" s="59">
        <f>ROUND(IF(AQ193="2",BI193,0),2)</f>
        <v>0</v>
      </c>
      <c r="AH193" s="59">
        <f>ROUND(IF(AQ193="0",BJ193,0),2)</f>
        <v>0</v>
      </c>
      <c r="AI193" s="46" t="s">
        <v>349</v>
      </c>
      <c r="AJ193" s="59">
        <f>IF(AN193=0,I193,0)</f>
        <v>0</v>
      </c>
      <c r="AK193" s="59">
        <f>IF(AN193=12,I193,0)</f>
        <v>0</v>
      </c>
      <c r="AL193" s="59">
        <f>IF(AN193=21,I193,0)</f>
        <v>0</v>
      </c>
      <c r="AN193" s="59">
        <v>12</v>
      </c>
      <c r="AO193" s="59">
        <f>H193*0.577223798</f>
        <v>0</v>
      </c>
      <c r="AP193" s="59">
        <f>H193*(1-0.577223798)</f>
        <v>0</v>
      </c>
      <c r="AQ193" s="61" t="s">
        <v>150</v>
      </c>
      <c r="AV193" s="59">
        <f>ROUND(AW193+AX193,2)</f>
        <v>0</v>
      </c>
      <c r="AW193" s="59">
        <f>ROUND(G193*AO193,2)</f>
        <v>0</v>
      </c>
      <c r="AX193" s="59">
        <f>ROUND(G193*AP193,2)</f>
        <v>0</v>
      </c>
      <c r="AY193" s="61" t="s">
        <v>244</v>
      </c>
      <c r="AZ193" s="61" t="s">
        <v>404</v>
      </c>
      <c r="BA193" s="46" t="s">
        <v>352</v>
      </c>
      <c r="BC193" s="59">
        <f>AW193+AX193</f>
        <v>0</v>
      </c>
      <c r="BD193" s="59">
        <f>H193/(100-BE193)*100</f>
        <v>0</v>
      </c>
      <c r="BE193" s="59">
        <v>0</v>
      </c>
      <c r="BF193" s="59">
        <f>L193</f>
        <v>8.9838000000000001E-2</v>
      </c>
      <c r="BH193" s="59">
        <f>G193*AO193</f>
        <v>0</v>
      </c>
      <c r="BI193" s="59">
        <f>G193*AP193</f>
        <v>0</v>
      </c>
      <c r="BJ193" s="59">
        <f>G193*H193</f>
        <v>0</v>
      </c>
      <c r="BK193" s="59"/>
      <c r="BL193" s="59">
        <v>784</v>
      </c>
      <c r="BW193" s="59">
        <v>12</v>
      </c>
      <c r="BX193" s="16" t="s">
        <v>243</v>
      </c>
    </row>
    <row r="194" spans="1:76" x14ac:dyDescent="0.25">
      <c r="A194" s="62"/>
      <c r="D194" s="63" t="s">
        <v>416</v>
      </c>
      <c r="E194" s="63"/>
      <c r="G194" s="64">
        <v>256.68</v>
      </c>
      <c r="M194" s="65"/>
    </row>
    <row r="195" spans="1:76" ht="15" customHeight="1" x14ac:dyDescent="0.25">
      <c r="A195" s="58" t="s">
        <v>540</v>
      </c>
      <c r="B195" s="18" t="s">
        <v>349</v>
      </c>
      <c r="C195" s="18" t="s">
        <v>249</v>
      </c>
      <c r="D195" s="8" t="s">
        <v>250</v>
      </c>
      <c r="E195" s="8"/>
      <c r="F195" s="18" t="s">
        <v>114</v>
      </c>
      <c r="G195" s="59">
        <v>26.1</v>
      </c>
      <c r="H195" s="59">
        <v>0</v>
      </c>
      <c r="I195" s="59">
        <f>ROUND(G195*H195,2)</f>
        <v>0</v>
      </c>
      <c r="J195" s="59">
        <v>7.6999999999999996E-4</v>
      </c>
      <c r="K195" s="59">
        <v>7.6999999999999996E-4</v>
      </c>
      <c r="L195" s="59">
        <f>G195*K195</f>
        <v>2.0097E-2</v>
      </c>
      <c r="M195" s="60" t="s">
        <v>115</v>
      </c>
      <c r="Z195" s="59">
        <f>ROUND(IF(AQ195="5",BJ195,0),2)</f>
        <v>0</v>
      </c>
      <c r="AB195" s="59">
        <f>ROUND(IF(AQ195="1",BH195,0),2)</f>
        <v>0</v>
      </c>
      <c r="AC195" s="59">
        <f>ROUND(IF(AQ195="1",BI195,0),2)</f>
        <v>0</v>
      </c>
      <c r="AD195" s="59">
        <f>ROUND(IF(AQ195="7",BH195,0),2)</f>
        <v>0</v>
      </c>
      <c r="AE195" s="59">
        <f>ROUND(IF(AQ195="7",BI195,0),2)</f>
        <v>0</v>
      </c>
      <c r="AF195" s="59">
        <f>ROUND(IF(AQ195="2",BH195,0),2)</f>
        <v>0</v>
      </c>
      <c r="AG195" s="59">
        <f>ROUND(IF(AQ195="2",BI195,0),2)</f>
        <v>0</v>
      </c>
      <c r="AH195" s="59">
        <f>ROUND(IF(AQ195="0",BJ195,0),2)</f>
        <v>0</v>
      </c>
      <c r="AI195" s="46" t="s">
        <v>349</v>
      </c>
      <c r="AJ195" s="59">
        <f>IF(AN195=0,I195,0)</f>
        <v>0</v>
      </c>
      <c r="AK195" s="59">
        <f>IF(AN195=12,I195,0)</f>
        <v>0</v>
      </c>
      <c r="AL195" s="59">
        <f>IF(AN195=21,I195,0)</f>
        <v>0</v>
      </c>
      <c r="AN195" s="59">
        <v>12</v>
      </c>
      <c r="AO195" s="59">
        <f>H195*0.248890105</f>
        <v>0</v>
      </c>
      <c r="AP195" s="59">
        <f>H195*(1-0.248890105)</f>
        <v>0</v>
      </c>
      <c r="AQ195" s="61" t="s">
        <v>150</v>
      </c>
      <c r="AV195" s="59">
        <f>ROUND(AW195+AX195,2)</f>
        <v>0</v>
      </c>
      <c r="AW195" s="59">
        <f>ROUND(G195*AO195,2)</f>
        <v>0</v>
      </c>
      <c r="AX195" s="59">
        <f>ROUND(G195*AP195,2)</f>
        <v>0</v>
      </c>
      <c r="AY195" s="61" t="s">
        <v>244</v>
      </c>
      <c r="AZ195" s="61" t="s">
        <v>404</v>
      </c>
      <c r="BA195" s="46" t="s">
        <v>352</v>
      </c>
      <c r="BC195" s="59">
        <f>AW195+AX195</f>
        <v>0</v>
      </c>
      <c r="BD195" s="59">
        <f>H195/(100-BE195)*100</f>
        <v>0</v>
      </c>
      <c r="BE195" s="59">
        <v>0</v>
      </c>
      <c r="BF195" s="59">
        <f>L195</f>
        <v>2.0097E-2</v>
      </c>
      <c r="BH195" s="59">
        <f>G195*AO195</f>
        <v>0</v>
      </c>
      <c r="BI195" s="59">
        <f>G195*AP195</f>
        <v>0</v>
      </c>
      <c r="BJ195" s="59">
        <f>G195*H195</f>
        <v>0</v>
      </c>
      <c r="BK195" s="59"/>
      <c r="BL195" s="59">
        <v>784</v>
      </c>
      <c r="BW195" s="59">
        <v>12</v>
      </c>
      <c r="BX195" s="16" t="s">
        <v>250</v>
      </c>
    </row>
    <row r="196" spans="1:76" x14ac:dyDescent="0.25">
      <c r="A196" s="62"/>
      <c r="D196" s="63" t="s">
        <v>417</v>
      </c>
      <c r="E196" s="63"/>
      <c r="G196" s="64">
        <v>26.1</v>
      </c>
      <c r="M196" s="65"/>
    </row>
    <row r="197" spans="1:76" ht="15" customHeight="1" x14ac:dyDescent="0.25">
      <c r="A197" s="58" t="s">
        <v>541</v>
      </c>
      <c r="B197" s="18" t="s">
        <v>349</v>
      </c>
      <c r="C197" s="18" t="s">
        <v>254</v>
      </c>
      <c r="D197" s="8" t="s">
        <v>255</v>
      </c>
      <c r="E197" s="8"/>
      <c r="F197" s="18" t="s">
        <v>114</v>
      </c>
      <c r="G197" s="59">
        <v>513.36</v>
      </c>
      <c r="H197" s="59">
        <v>0</v>
      </c>
      <c r="I197" s="59">
        <f>ROUND(G197*H197,2)</f>
        <v>0</v>
      </c>
      <c r="J197" s="59">
        <v>1.0000000000000001E-5</v>
      </c>
      <c r="K197" s="59">
        <v>1.0000000000000001E-5</v>
      </c>
      <c r="L197" s="59">
        <f>G197*K197</f>
        <v>5.1336000000000003E-3</v>
      </c>
      <c r="M197" s="60" t="s">
        <v>115</v>
      </c>
      <c r="Z197" s="59">
        <f>ROUND(IF(AQ197="5",BJ197,0),2)</f>
        <v>0</v>
      </c>
      <c r="AB197" s="59">
        <f>ROUND(IF(AQ197="1",BH197,0),2)</f>
        <v>0</v>
      </c>
      <c r="AC197" s="59">
        <f>ROUND(IF(AQ197="1",BI197,0),2)</f>
        <v>0</v>
      </c>
      <c r="AD197" s="59">
        <f>ROUND(IF(AQ197="7",BH197,0),2)</f>
        <v>0</v>
      </c>
      <c r="AE197" s="59">
        <f>ROUND(IF(AQ197="7",BI197,0),2)</f>
        <v>0</v>
      </c>
      <c r="AF197" s="59">
        <f>ROUND(IF(AQ197="2",BH197,0),2)</f>
        <v>0</v>
      </c>
      <c r="AG197" s="59">
        <f>ROUND(IF(AQ197="2",BI197,0),2)</f>
        <v>0</v>
      </c>
      <c r="AH197" s="59">
        <f>ROUND(IF(AQ197="0",BJ197,0),2)</f>
        <v>0</v>
      </c>
      <c r="AI197" s="46" t="s">
        <v>349</v>
      </c>
      <c r="AJ197" s="59">
        <f>IF(AN197=0,I197,0)</f>
        <v>0</v>
      </c>
      <c r="AK197" s="59">
        <f>IF(AN197=12,I197,0)</f>
        <v>0</v>
      </c>
      <c r="AL197" s="59">
        <f>IF(AN197=21,I197,0)</f>
        <v>0</v>
      </c>
      <c r="AN197" s="59">
        <v>12</v>
      </c>
      <c r="AO197" s="59">
        <f>H197*0.236832231</f>
        <v>0</v>
      </c>
      <c r="AP197" s="59">
        <f>H197*(1-0.236832231)</f>
        <v>0</v>
      </c>
      <c r="AQ197" s="61" t="s">
        <v>150</v>
      </c>
      <c r="AV197" s="59">
        <f>ROUND(AW197+AX197,2)</f>
        <v>0</v>
      </c>
      <c r="AW197" s="59">
        <f>ROUND(G197*AO197,2)</f>
        <v>0</v>
      </c>
      <c r="AX197" s="59">
        <f>ROUND(G197*AP197,2)</f>
        <v>0</v>
      </c>
      <c r="AY197" s="61" t="s">
        <v>244</v>
      </c>
      <c r="AZ197" s="61" t="s">
        <v>404</v>
      </c>
      <c r="BA197" s="46" t="s">
        <v>352</v>
      </c>
      <c r="BC197" s="59">
        <f>AW197+AX197</f>
        <v>0</v>
      </c>
      <c r="BD197" s="59">
        <f>H197/(100-BE197)*100</f>
        <v>0</v>
      </c>
      <c r="BE197" s="59">
        <v>0</v>
      </c>
      <c r="BF197" s="59">
        <f>L197</f>
        <v>5.1336000000000003E-3</v>
      </c>
      <c r="BH197" s="59">
        <f>G197*AO197</f>
        <v>0</v>
      </c>
      <c r="BI197" s="59">
        <f>G197*AP197</f>
        <v>0</v>
      </c>
      <c r="BJ197" s="59">
        <f>G197*H197</f>
        <v>0</v>
      </c>
      <c r="BK197" s="59"/>
      <c r="BL197" s="59">
        <v>784</v>
      </c>
      <c r="BW197" s="59">
        <v>12</v>
      </c>
      <c r="BX197" s="16" t="s">
        <v>255</v>
      </c>
    </row>
    <row r="198" spans="1:76" x14ac:dyDescent="0.25">
      <c r="A198" s="62"/>
      <c r="D198" s="63" t="s">
        <v>418</v>
      </c>
      <c r="E198" s="63"/>
      <c r="G198" s="64">
        <v>513.36</v>
      </c>
      <c r="M198" s="65"/>
    </row>
    <row r="199" spans="1:76" ht="15" customHeight="1" x14ac:dyDescent="0.25">
      <c r="A199" s="54"/>
      <c r="B199" s="55" t="s">
        <v>349</v>
      </c>
      <c r="C199" s="55" t="s">
        <v>259</v>
      </c>
      <c r="D199" s="104" t="s">
        <v>260</v>
      </c>
      <c r="E199" s="104"/>
      <c r="F199" s="56" t="s">
        <v>88</v>
      </c>
      <c r="G199" s="56" t="s">
        <v>88</v>
      </c>
      <c r="H199" s="56" t="s">
        <v>88</v>
      </c>
      <c r="I199" s="39">
        <f>SUM(I200)</f>
        <v>0</v>
      </c>
      <c r="J199" s="46"/>
      <c r="K199" s="46"/>
      <c r="L199" s="39">
        <f>SUM(L200)</f>
        <v>8.2512000000000002E-2</v>
      </c>
      <c r="M199" s="57"/>
      <c r="AI199" s="46" t="s">
        <v>349</v>
      </c>
      <c r="AS199" s="39">
        <f>SUM(AJ200)</f>
        <v>0</v>
      </c>
      <c r="AT199" s="39">
        <f>SUM(AK200)</f>
        <v>0</v>
      </c>
      <c r="AU199" s="39">
        <f>SUM(AL200)</f>
        <v>0</v>
      </c>
    </row>
    <row r="200" spans="1:76" ht="15" customHeight="1" x14ac:dyDescent="0.25">
      <c r="A200" s="58" t="s">
        <v>542</v>
      </c>
      <c r="B200" s="18" t="s">
        <v>349</v>
      </c>
      <c r="C200" s="18" t="s">
        <v>262</v>
      </c>
      <c r="D200" s="8" t="s">
        <v>419</v>
      </c>
      <c r="E200" s="8"/>
      <c r="F200" s="18" t="s">
        <v>114</v>
      </c>
      <c r="G200" s="59">
        <v>21.6</v>
      </c>
      <c r="H200" s="59">
        <v>0</v>
      </c>
      <c r="I200" s="59">
        <f>ROUND(G200*H200,2)</f>
        <v>0</v>
      </c>
      <c r="J200" s="59">
        <v>3.82E-3</v>
      </c>
      <c r="K200" s="59">
        <v>3.82E-3</v>
      </c>
      <c r="L200" s="59">
        <f>G200*K200</f>
        <v>8.2512000000000002E-2</v>
      </c>
      <c r="M200" s="60" t="s">
        <v>115</v>
      </c>
      <c r="Z200" s="59">
        <f>ROUND(IF(AQ200="5",BJ200,0),2)</f>
        <v>0</v>
      </c>
      <c r="AB200" s="59">
        <f>ROUND(IF(AQ200="1",BH200,0),2)</f>
        <v>0</v>
      </c>
      <c r="AC200" s="59">
        <f>ROUND(IF(AQ200="1",BI200,0),2)</f>
        <v>0</v>
      </c>
      <c r="AD200" s="59">
        <f>ROUND(IF(AQ200="7",BH200,0),2)</f>
        <v>0</v>
      </c>
      <c r="AE200" s="59">
        <f>ROUND(IF(AQ200="7",BI200,0),2)</f>
        <v>0</v>
      </c>
      <c r="AF200" s="59">
        <f>ROUND(IF(AQ200="2",BH200,0),2)</f>
        <v>0</v>
      </c>
      <c r="AG200" s="59">
        <f>ROUND(IF(AQ200="2",BI200,0),2)</f>
        <v>0</v>
      </c>
      <c r="AH200" s="59">
        <f>ROUND(IF(AQ200="0",BJ200,0),2)</f>
        <v>0</v>
      </c>
      <c r="AI200" s="46" t="s">
        <v>349</v>
      </c>
      <c r="AJ200" s="59">
        <f>IF(AN200=0,I200,0)</f>
        <v>0</v>
      </c>
      <c r="AK200" s="59">
        <f>IF(AN200=12,I200,0)</f>
        <v>0</v>
      </c>
      <c r="AL200" s="59">
        <f>IF(AN200=21,I200,0)</f>
        <v>0</v>
      </c>
      <c r="AN200" s="59">
        <v>12</v>
      </c>
      <c r="AO200" s="59">
        <f>H200*0.657241014</f>
        <v>0</v>
      </c>
      <c r="AP200" s="59">
        <f>H200*(1-0.657241014)</f>
        <v>0</v>
      </c>
      <c r="AQ200" s="61" t="s">
        <v>150</v>
      </c>
      <c r="AV200" s="59">
        <f>ROUND(AW200+AX200,2)</f>
        <v>0</v>
      </c>
      <c r="AW200" s="59">
        <f>ROUND(G200*AO200,2)</f>
        <v>0</v>
      </c>
      <c r="AX200" s="59">
        <f>ROUND(G200*AP200,2)</f>
        <v>0</v>
      </c>
      <c r="AY200" s="61" t="s">
        <v>264</v>
      </c>
      <c r="AZ200" s="61" t="s">
        <v>404</v>
      </c>
      <c r="BA200" s="46" t="s">
        <v>352</v>
      </c>
      <c r="BC200" s="59">
        <f>AW200+AX200</f>
        <v>0</v>
      </c>
      <c r="BD200" s="59">
        <f>H200/(100-BE200)*100</f>
        <v>0</v>
      </c>
      <c r="BE200" s="59">
        <v>0</v>
      </c>
      <c r="BF200" s="59">
        <f>L200</f>
        <v>8.2512000000000002E-2</v>
      </c>
      <c r="BH200" s="59">
        <f>G200*AO200</f>
        <v>0</v>
      </c>
      <c r="BI200" s="59">
        <f>G200*AP200</f>
        <v>0</v>
      </c>
      <c r="BJ200" s="59">
        <f>G200*H200</f>
        <v>0</v>
      </c>
      <c r="BK200" s="59"/>
      <c r="BL200" s="59">
        <v>786</v>
      </c>
      <c r="BW200" s="59">
        <v>12</v>
      </c>
      <c r="BX200" s="16" t="s">
        <v>419</v>
      </c>
    </row>
    <row r="201" spans="1:76" x14ac:dyDescent="0.25">
      <c r="A201" s="62"/>
      <c r="D201" s="63" t="s">
        <v>420</v>
      </c>
      <c r="E201" s="63"/>
      <c r="G201" s="64">
        <v>21.6</v>
      </c>
      <c r="M201" s="65"/>
    </row>
    <row r="202" spans="1:76" ht="15" customHeight="1" x14ac:dyDescent="0.25">
      <c r="A202" s="54"/>
      <c r="B202" s="55" t="s">
        <v>349</v>
      </c>
      <c r="C202" s="55" t="s">
        <v>267</v>
      </c>
      <c r="D202" s="104" t="s">
        <v>268</v>
      </c>
      <c r="E202" s="104"/>
      <c r="F202" s="56" t="s">
        <v>88</v>
      </c>
      <c r="G202" s="56" t="s">
        <v>88</v>
      </c>
      <c r="H202" s="56" t="s">
        <v>88</v>
      </c>
      <c r="I202" s="39">
        <f>SUM(I203:I207)</f>
        <v>0</v>
      </c>
      <c r="J202" s="46"/>
      <c r="K202" s="46"/>
      <c r="L202" s="39">
        <f>SUM(L203:L207)</f>
        <v>0</v>
      </c>
      <c r="M202" s="57"/>
      <c r="AI202" s="46" t="s">
        <v>349</v>
      </c>
      <c r="AS202" s="39">
        <f>SUM(AJ203:AJ207)</f>
        <v>0</v>
      </c>
      <c r="AT202" s="39">
        <f>SUM(AK203:AK207)</f>
        <v>0</v>
      </c>
      <c r="AU202" s="39">
        <f>SUM(AL203:AL207)</f>
        <v>0</v>
      </c>
    </row>
    <row r="203" spans="1:76" ht="15" customHeight="1" x14ac:dyDescent="0.25">
      <c r="A203" s="58" t="s">
        <v>543</v>
      </c>
      <c r="B203" s="18" t="s">
        <v>349</v>
      </c>
      <c r="C203" s="18" t="s">
        <v>270</v>
      </c>
      <c r="D203" s="8" t="s">
        <v>271</v>
      </c>
      <c r="E203" s="8"/>
      <c r="F203" s="18" t="s">
        <v>272</v>
      </c>
      <c r="G203" s="59">
        <v>12</v>
      </c>
      <c r="H203" s="59">
        <v>0</v>
      </c>
      <c r="I203" s="59">
        <f>ROUND(G203*H203,2)</f>
        <v>0</v>
      </c>
      <c r="J203" s="59">
        <v>0</v>
      </c>
      <c r="K203" s="59">
        <v>0</v>
      </c>
      <c r="L203" s="59">
        <f>G203*K203</f>
        <v>0</v>
      </c>
      <c r="M203" s="60" t="s">
        <v>115</v>
      </c>
      <c r="Z203" s="59">
        <f>ROUND(IF(AQ203="5",BJ203,0),2)</f>
        <v>0</v>
      </c>
      <c r="AB203" s="59">
        <f>ROUND(IF(AQ203="1",BH203,0),2)</f>
        <v>0</v>
      </c>
      <c r="AC203" s="59">
        <f>ROUND(IF(AQ203="1",BI203,0),2)</f>
        <v>0</v>
      </c>
      <c r="AD203" s="59">
        <f>ROUND(IF(AQ203="7",BH203,0),2)</f>
        <v>0</v>
      </c>
      <c r="AE203" s="59">
        <f>ROUND(IF(AQ203="7",BI203,0),2)</f>
        <v>0</v>
      </c>
      <c r="AF203" s="59">
        <f>ROUND(IF(AQ203="2",BH203,0),2)</f>
        <v>0</v>
      </c>
      <c r="AG203" s="59">
        <f>ROUND(IF(AQ203="2",BI203,0),2)</f>
        <v>0</v>
      </c>
      <c r="AH203" s="59">
        <f>ROUND(IF(AQ203="0",BJ203,0),2)</f>
        <v>0</v>
      </c>
      <c r="AI203" s="46" t="s">
        <v>349</v>
      </c>
      <c r="AJ203" s="59">
        <f>IF(AN203=0,I203,0)</f>
        <v>0</v>
      </c>
      <c r="AK203" s="59">
        <f>IF(AN203=12,I203,0)</f>
        <v>0</v>
      </c>
      <c r="AL203" s="59">
        <f>IF(AN203=21,I203,0)</f>
        <v>0</v>
      </c>
      <c r="AN203" s="59">
        <v>12</v>
      </c>
      <c r="AO203" s="59">
        <f>H203*0</f>
        <v>0</v>
      </c>
      <c r="AP203" s="59">
        <f>H203*(1-0)</f>
        <v>0</v>
      </c>
      <c r="AQ203" s="61" t="s">
        <v>111</v>
      </c>
      <c r="AV203" s="59">
        <f>ROUND(AW203+AX203,2)</f>
        <v>0</v>
      </c>
      <c r="AW203" s="59">
        <f>ROUND(G203*AO203,2)</f>
        <v>0</v>
      </c>
      <c r="AX203" s="59">
        <f>ROUND(G203*AP203,2)</f>
        <v>0</v>
      </c>
      <c r="AY203" s="61" t="s">
        <v>273</v>
      </c>
      <c r="AZ203" s="61" t="s">
        <v>421</v>
      </c>
      <c r="BA203" s="46" t="s">
        <v>352</v>
      </c>
      <c r="BC203" s="59">
        <f>AW203+AX203</f>
        <v>0</v>
      </c>
      <c r="BD203" s="59">
        <f>H203/(100-BE203)*100</f>
        <v>0</v>
      </c>
      <c r="BE203" s="59">
        <v>0</v>
      </c>
      <c r="BF203" s="59">
        <f>L203</f>
        <v>0</v>
      </c>
      <c r="BH203" s="59">
        <f>G203*AO203</f>
        <v>0</v>
      </c>
      <c r="BI203" s="59">
        <f>G203*AP203</f>
        <v>0</v>
      </c>
      <c r="BJ203" s="59">
        <f>G203*H203</f>
        <v>0</v>
      </c>
      <c r="BK203" s="59"/>
      <c r="BL203" s="59">
        <v>90</v>
      </c>
      <c r="BW203" s="59">
        <v>12</v>
      </c>
      <c r="BX203" s="16" t="s">
        <v>271</v>
      </c>
    </row>
    <row r="204" spans="1:76" x14ac:dyDescent="0.25">
      <c r="A204" s="62"/>
      <c r="D204" s="63" t="s">
        <v>176</v>
      </c>
      <c r="E204" s="63"/>
      <c r="G204" s="64">
        <v>12</v>
      </c>
      <c r="M204" s="65"/>
    </row>
    <row r="205" spans="1:76" ht="15" customHeight="1" x14ac:dyDescent="0.25">
      <c r="A205" s="58" t="s">
        <v>544</v>
      </c>
      <c r="B205" s="18" t="s">
        <v>349</v>
      </c>
      <c r="C205" s="18" t="s">
        <v>423</v>
      </c>
      <c r="D205" s="8" t="s">
        <v>271</v>
      </c>
      <c r="E205" s="8"/>
      <c r="F205" s="18" t="s">
        <v>272</v>
      </c>
      <c r="G205" s="59">
        <v>18</v>
      </c>
      <c r="H205" s="59">
        <v>0</v>
      </c>
      <c r="I205" s="59">
        <f>ROUND(G205*H205,2)</f>
        <v>0</v>
      </c>
      <c r="J205" s="59">
        <v>0</v>
      </c>
      <c r="K205" s="59">
        <v>0</v>
      </c>
      <c r="L205" s="59">
        <f>G205*K205</f>
        <v>0</v>
      </c>
      <c r="M205" s="60" t="s">
        <v>115</v>
      </c>
      <c r="Z205" s="59">
        <f>ROUND(IF(AQ205="5",BJ205,0),2)</f>
        <v>0</v>
      </c>
      <c r="AB205" s="59">
        <f>ROUND(IF(AQ205="1",BH205,0),2)</f>
        <v>0</v>
      </c>
      <c r="AC205" s="59">
        <f>ROUND(IF(AQ205="1",BI205,0),2)</f>
        <v>0</v>
      </c>
      <c r="AD205" s="59">
        <f>ROUND(IF(AQ205="7",BH205,0),2)</f>
        <v>0</v>
      </c>
      <c r="AE205" s="59">
        <f>ROUND(IF(AQ205="7",BI205,0),2)</f>
        <v>0</v>
      </c>
      <c r="AF205" s="59">
        <f>ROUND(IF(AQ205="2",BH205,0),2)</f>
        <v>0</v>
      </c>
      <c r="AG205" s="59">
        <f>ROUND(IF(AQ205="2",BI205,0),2)</f>
        <v>0</v>
      </c>
      <c r="AH205" s="59">
        <f>ROUND(IF(AQ205="0",BJ205,0),2)</f>
        <v>0</v>
      </c>
      <c r="AI205" s="46" t="s">
        <v>349</v>
      </c>
      <c r="AJ205" s="59">
        <f>IF(AN205=0,I205,0)</f>
        <v>0</v>
      </c>
      <c r="AK205" s="59">
        <f>IF(AN205=12,I205,0)</f>
        <v>0</v>
      </c>
      <c r="AL205" s="59">
        <f>IF(AN205=21,I205,0)</f>
        <v>0</v>
      </c>
      <c r="AN205" s="59">
        <v>12</v>
      </c>
      <c r="AO205" s="59">
        <f>H205*0</f>
        <v>0</v>
      </c>
      <c r="AP205" s="59">
        <f>H205*(1-0)</f>
        <v>0</v>
      </c>
      <c r="AQ205" s="61" t="s">
        <v>111</v>
      </c>
      <c r="AV205" s="59">
        <f>ROUND(AW205+AX205,2)</f>
        <v>0</v>
      </c>
      <c r="AW205" s="59">
        <f>ROUND(G205*AO205,2)</f>
        <v>0</v>
      </c>
      <c r="AX205" s="59">
        <f>ROUND(G205*AP205,2)</f>
        <v>0</v>
      </c>
      <c r="AY205" s="61" t="s">
        <v>273</v>
      </c>
      <c r="AZ205" s="61" t="s">
        <v>421</v>
      </c>
      <c r="BA205" s="46" t="s">
        <v>352</v>
      </c>
      <c r="BC205" s="59">
        <f>AW205+AX205</f>
        <v>0</v>
      </c>
      <c r="BD205" s="59">
        <f>H205/(100-BE205)*100</f>
        <v>0</v>
      </c>
      <c r="BE205" s="59">
        <v>0</v>
      </c>
      <c r="BF205" s="59">
        <f>L205</f>
        <v>0</v>
      </c>
      <c r="BH205" s="59">
        <f>G205*AO205</f>
        <v>0</v>
      </c>
      <c r="BI205" s="59">
        <f>G205*AP205</f>
        <v>0</v>
      </c>
      <c r="BJ205" s="59">
        <f>G205*H205</f>
        <v>0</v>
      </c>
      <c r="BK205" s="59"/>
      <c r="BL205" s="59">
        <v>90</v>
      </c>
      <c r="BW205" s="59">
        <v>12</v>
      </c>
      <c r="BX205" s="16" t="s">
        <v>271</v>
      </c>
    </row>
    <row r="206" spans="1:76" x14ac:dyDescent="0.25">
      <c r="A206" s="62"/>
      <c r="D206" s="63" t="s">
        <v>215</v>
      </c>
      <c r="E206" s="63"/>
      <c r="G206" s="64">
        <v>18</v>
      </c>
      <c r="M206" s="65"/>
    </row>
    <row r="207" spans="1:76" ht="15" customHeight="1" x14ac:dyDescent="0.25">
      <c r="A207" s="58" t="s">
        <v>545</v>
      </c>
      <c r="B207" s="18" t="s">
        <v>349</v>
      </c>
      <c r="C207" s="18" t="s">
        <v>270</v>
      </c>
      <c r="D207" s="8" t="s">
        <v>271</v>
      </c>
      <c r="E207" s="8"/>
      <c r="F207" s="18" t="s">
        <v>272</v>
      </c>
      <c r="G207" s="59">
        <v>30</v>
      </c>
      <c r="H207" s="59">
        <v>0</v>
      </c>
      <c r="I207" s="59">
        <f>ROUND(G207*H207,2)</f>
        <v>0</v>
      </c>
      <c r="J207" s="59">
        <v>0</v>
      </c>
      <c r="K207" s="59">
        <v>0</v>
      </c>
      <c r="L207" s="59">
        <f>G207*K207</f>
        <v>0</v>
      </c>
      <c r="M207" s="60" t="s">
        <v>115</v>
      </c>
      <c r="Z207" s="59">
        <f>ROUND(IF(AQ207="5",BJ207,0),2)</f>
        <v>0</v>
      </c>
      <c r="AB207" s="59">
        <f>ROUND(IF(AQ207="1",BH207,0),2)</f>
        <v>0</v>
      </c>
      <c r="AC207" s="59">
        <f>ROUND(IF(AQ207="1",BI207,0),2)</f>
        <v>0</v>
      </c>
      <c r="AD207" s="59">
        <f>ROUND(IF(AQ207="7",BH207,0),2)</f>
        <v>0</v>
      </c>
      <c r="AE207" s="59">
        <f>ROUND(IF(AQ207="7",BI207,0),2)</f>
        <v>0</v>
      </c>
      <c r="AF207" s="59">
        <f>ROUND(IF(AQ207="2",BH207,0),2)</f>
        <v>0</v>
      </c>
      <c r="AG207" s="59">
        <f>ROUND(IF(AQ207="2",BI207,0),2)</f>
        <v>0</v>
      </c>
      <c r="AH207" s="59">
        <f>ROUND(IF(AQ207="0",BJ207,0),2)</f>
        <v>0</v>
      </c>
      <c r="AI207" s="46" t="s">
        <v>349</v>
      </c>
      <c r="AJ207" s="59">
        <f>IF(AN207=0,I207,0)</f>
        <v>0</v>
      </c>
      <c r="AK207" s="59">
        <f>IF(AN207=12,I207,0)</f>
        <v>0</v>
      </c>
      <c r="AL207" s="59">
        <f>IF(AN207=21,I207,0)</f>
        <v>0</v>
      </c>
      <c r="AN207" s="59">
        <v>12</v>
      </c>
      <c r="AO207" s="59">
        <f>H207*0</f>
        <v>0</v>
      </c>
      <c r="AP207" s="59">
        <f>H207*(1-0)</f>
        <v>0</v>
      </c>
      <c r="AQ207" s="61" t="s">
        <v>111</v>
      </c>
      <c r="AV207" s="59">
        <f>ROUND(AW207+AX207,2)</f>
        <v>0</v>
      </c>
      <c r="AW207" s="59">
        <f>ROUND(G207*AO207,2)</f>
        <v>0</v>
      </c>
      <c r="AX207" s="59">
        <f>ROUND(G207*AP207,2)</f>
        <v>0</v>
      </c>
      <c r="AY207" s="61" t="s">
        <v>273</v>
      </c>
      <c r="AZ207" s="61" t="s">
        <v>421</v>
      </c>
      <c r="BA207" s="46" t="s">
        <v>352</v>
      </c>
      <c r="BC207" s="59">
        <f>AW207+AX207</f>
        <v>0</v>
      </c>
      <c r="BD207" s="59">
        <f>H207/(100-BE207)*100</f>
        <v>0</v>
      </c>
      <c r="BE207" s="59">
        <v>0</v>
      </c>
      <c r="BF207" s="59">
        <f>L207</f>
        <v>0</v>
      </c>
      <c r="BH207" s="59">
        <f>G207*AO207</f>
        <v>0</v>
      </c>
      <c r="BI207" s="59">
        <f>G207*AP207</f>
        <v>0</v>
      </c>
      <c r="BJ207" s="59">
        <f>G207*H207</f>
        <v>0</v>
      </c>
      <c r="BK207" s="59"/>
      <c r="BL207" s="59">
        <v>90</v>
      </c>
      <c r="BW207" s="59">
        <v>12</v>
      </c>
      <c r="BX207" s="16" t="s">
        <v>271</v>
      </c>
    </row>
    <row r="208" spans="1:76" x14ac:dyDescent="0.25">
      <c r="A208" s="62"/>
      <c r="D208" s="63" t="s">
        <v>276</v>
      </c>
      <c r="E208" s="63"/>
      <c r="G208" s="64">
        <v>30</v>
      </c>
      <c r="M208" s="65"/>
    </row>
    <row r="209" spans="1:76" ht="15" customHeight="1" x14ac:dyDescent="0.25">
      <c r="A209" s="54"/>
      <c r="B209" s="55" t="s">
        <v>349</v>
      </c>
      <c r="C209" s="55" t="s">
        <v>277</v>
      </c>
      <c r="D209" s="104" t="s">
        <v>278</v>
      </c>
      <c r="E209" s="104"/>
      <c r="F209" s="56" t="s">
        <v>88</v>
      </c>
      <c r="G209" s="56" t="s">
        <v>88</v>
      </c>
      <c r="H209" s="56" t="s">
        <v>88</v>
      </c>
      <c r="I209" s="39">
        <f>SUM(I210:I212)</f>
        <v>0</v>
      </c>
      <c r="J209" s="46"/>
      <c r="K209" s="46"/>
      <c r="L209" s="39">
        <f>SUM(L210:L212)</f>
        <v>0.10526999999999999</v>
      </c>
      <c r="M209" s="57"/>
      <c r="AI209" s="46" t="s">
        <v>349</v>
      </c>
      <c r="AS209" s="39">
        <f>SUM(AJ210:AJ212)</f>
        <v>0</v>
      </c>
      <c r="AT209" s="39">
        <f>SUM(AK210:AK212)</f>
        <v>0</v>
      </c>
      <c r="AU209" s="39">
        <f>SUM(AL210:AL212)</f>
        <v>0</v>
      </c>
    </row>
    <row r="210" spans="1:76" ht="15" customHeight="1" x14ac:dyDescent="0.25">
      <c r="A210" s="58" t="s">
        <v>546</v>
      </c>
      <c r="B210" s="18" t="s">
        <v>349</v>
      </c>
      <c r="C210" s="18" t="s">
        <v>280</v>
      </c>
      <c r="D210" s="8" t="s">
        <v>281</v>
      </c>
      <c r="E210" s="8"/>
      <c r="F210" s="18" t="s">
        <v>114</v>
      </c>
      <c r="G210" s="59">
        <v>87</v>
      </c>
      <c r="H210" s="59">
        <v>0</v>
      </c>
      <c r="I210" s="59">
        <f>ROUND(G210*H210,2)</f>
        <v>0</v>
      </c>
      <c r="J210" s="59">
        <v>1.2099999999999999E-3</v>
      </c>
      <c r="K210" s="59">
        <v>1.2099999999999999E-3</v>
      </c>
      <c r="L210" s="59">
        <f>G210*K210</f>
        <v>0.10526999999999999</v>
      </c>
      <c r="M210" s="60" t="s">
        <v>115</v>
      </c>
      <c r="Z210" s="59">
        <f>ROUND(IF(AQ210="5",BJ210,0),2)</f>
        <v>0</v>
      </c>
      <c r="AB210" s="59">
        <f>ROUND(IF(AQ210="1",BH210,0),2)</f>
        <v>0</v>
      </c>
      <c r="AC210" s="59">
        <f>ROUND(IF(AQ210="1",BI210,0),2)</f>
        <v>0</v>
      </c>
      <c r="AD210" s="59">
        <f>ROUND(IF(AQ210="7",BH210,0),2)</f>
        <v>0</v>
      </c>
      <c r="AE210" s="59">
        <f>ROUND(IF(AQ210="7",BI210,0),2)</f>
        <v>0</v>
      </c>
      <c r="AF210" s="59">
        <f>ROUND(IF(AQ210="2",BH210,0),2)</f>
        <v>0</v>
      </c>
      <c r="AG210" s="59">
        <f>ROUND(IF(AQ210="2",BI210,0),2)</f>
        <v>0</v>
      </c>
      <c r="AH210" s="59">
        <f>ROUND(IF(AQ210="0",BJ210,0),2)</f>
        <v>0</v>
      </c>
      <c r="AI210" s="46" t="s">
        <v>349</v>
      </c>
      <c r="AJ210" s="59">
        <f>IF(AN210=0,I210,0)</f>
        <v>0</v>
      </c>
      <c r="AK210" s="59">
        <f>IF(AN210=12,I210,0)</f>
        <v>0</v>
      </c>
      <c r="AL210" s="59">
        <f>IF(AN210=21,I210,0)</f>
        <v>0</v>
      </c>
      <c r="AN210" s="59">
        <v>12</v>
      </c>
      <c r="AO210" s="59">
        <f>H210*0.309860944</f>
        <v>0</v>
      </c>
      <c r="AP210" s="59">
        <f>H210*(1-0.309860944)</f>
        <v>0</v>
      </c>
      <c r="AQ210" s="61" t="s">
        <v>111</v>
      </c>
      <c r="AV210" s="59">
        <f>ROUND(AW210+AX210,2)</f>
        <v>0</v>
      </c>
      <c r="AW210" s="59">
        <f>ROUND(G210*AO210,2)</f>
        <v>0</v>
      </c>
      <c r="AX210" s="59">
        <f>ROUND(G210*AP210,2)</f>
        <v>0</v>
      </c>
      <c r="AY210" s="61" t="s">
        <v>282</v>
      </c>
      <c r="AZ210" s="61" t="s">
        <v>421</v>
      </c>
      <c r="BA210" s="46" t="s">
        <v>352</v>
      </c>
      <c r="BC210" s="59">
        <f>AW210+AX210</f>
        <v>0</v>
      </c>
      <c r="BD210" s="59">
        <f>H210/(100-BE210)*100</f>
        <v>0</v>
      </c>
      <c r="BE210" s="59">
        <v>0</v>
      </c>
      <c r="BF210" s="59">
        <f>L210</f>
        <v>0.10526999999999999</v>
      </c>
      <c r="BH210" s="59">
        <f>G210*AO210</f>
        <v>0</v>
      </c>
      <c r="BI210" s="59">
        <f>G210*AP210</f>
        <v>0</v>
      </c>
      <c r="BJ210" s="59">
        <f>G210*H210</f>
        <v>0</v>
      </c>
      <c r="BK210" s="59"/>
      <c r="BL210" s="59">
        <v>94</v>
      </c>
      <c r="BW210" s="59">
        <v>12</v>
      </c>
      <c r="BX210" s="16" t="s">
        <v>281</v>
      </c>
    </row>
    <row r="211" spans="1:76" x14ac:dyDescent="0.25">
      <c r="A211" s="62"/>
      <c r="D211" s="63" t="s">
        <v>425</v>
      </c>
      <c r="E211" s="63"/>
      <c r="G211" s="64">
        <v>87</v>
      </c>
      <c r="M211" s="65"/>
    </row>
    <row r="212" spans="1:76" ht="15" customHeight="1" x14ac:dyDescent="0.25">
      <c r="A212" s="58" t="s">
        <v>547</v>
      </c>
      <c r="B212" s="18" t="s">
        <v>349</v>
      </c>
      <c r="C212" s="18" t="s">
        <v>426</v>
      </c>
      <c r="D212" s="8" t="s">
        <v>427</v>
      </c>
      <c r="E212" s="8"/>
      <c r="F212" s="18" t="s">
        <v>272</v>
      </c>
      <c r="G212" s="59">
        <v>30</v>
      </c>
      <c r="H212" s="59">
        <v>0</v>
      </c>
      <c r="I212" s="59">
        <f>ROUND(G212*H212,2)</f>
        <v>0</v>
      </c>
      <c r="J212" s="59">
        <v>0</v>
      </c>
      <c r="K212" s="59">
        <v>0</v>
      </c>
      <c r="L212" s="59">
        <f>G212*K212</f>
        <v>0</v>
      </c>
      <c r="M212" s="60" t="s">
        <v>115</v>
      </c>
      <c r="Z212" s="59">
        <f>ROUND(IF(AQ212="5",BJ212,0),2)</f>
        <v>0</v>
      </c>
      <c r="AB212" s="59">
        <f>ROUND(IF(AQ212="1",BH212,0),2)</f>
        <v>0</v>
      </c>
      <c r="AC212" s="59">
        <f>ROUND(IF(AQ212="1",BI212,0),2)</f>
        <v>0</v>
      </c>
      <c r="AD212" s="59">
        <f>ROUND(IF(AQ212="7",BH212,0),2)</f>
        <v>0</v>
      </c>
      <c r="AE212" s="59">
        <f>ROUND(IF(AQ212="7",BI212,0),2)</f>
        <v>0</v>
      </c>
      <c r="AF212" s="59">
        <f>ROUND(IF(AQ212="2",BH212,0),2)</f>
        <v>0</v>
      </c>
      <c r="AG212" s="59">
        <f>ROUND(IF(AQ212="2",BI212,0),2)</f>
        <v>0</v>
      </c>
      <c r="AH212" s="59">
        <f>ROUND(IF(AQ212="0",BJ212,0),2)</f>
        <v>0</v>
      </c>
      <c r="AI212" s="46" t="s">
        <v>349</v>
      </c>
      <c r="AJ212" s="59">
        <f>IF(AN212=0,I212,0)</f>
        <v>0</v>
      </c>
      <c r="AK212" s="59">
        <f>IF(AN212=12,I212,0)</f>
        <v>0</v>
      </c>
      <c r="AL212" s="59">
        <f>IF(AN212=21,I212,0)</f>
        <v>0</v>
      </c>
      <c r="AN212" s="59">
        <v>12</v>
      </c>
      <c r="AO212" s="59">
        <f>H212*0</f>
        <v>0</v>
      </c>
      <c r="AP212" s="59">
        <f>H212*(1-0)</f>
        <v>0</v>
      </c>
      <c r="AQ212" s="61" t="s">
        <v>111</v>
      </c>
      <c r="AV212" s="59">
        <f>ROUND(AW212+AX212,2)</f>
        <v>0</v>
      </c>
      <c r="AW212" s="59">
        <f>ROUND(G212*AO212,2)</f>
        <v>0</v>
      </c>
      <c r="AX212" s="59">
        <f>ROUND(G212*AP212,2)</f>
        <v>0</v>
      </c>
      <c r="AY212" s="61" t="s">
        <v>282</v>
      </c>
      <c r="AZ212" s="61" t="s">
        <v>421</v>
      </c>
      <c r="BA212" s="46" t="s">
        <v>352</v>
      </c>
      <c r="BC212" s="59">
        <f>AW212+AX212</f>
        <v>0</v>
      </c>
      <c r="BD212" s="59">
        <f>H212/(100-BE212)*100</f>
        <v>0</v>
      </c>
      <c r="BE212" s="59">
        <v>0</v>
      </c>
      <c r="BF212" s="59">
        <f>L212</f>
        <v>0</v>
      </c>
      <c r="BH212" s="59">
        <f>G212*AO212</f>
        <v>0</v>
      </c>
      <c r="BI212" s="59">
        <f>G212*AP212</f>
        <v>0</v>
      </c>
      <c r="BJ212" s="59">
        <f>G212*H212</f>
        <v>0</v>
      </c>
      <c r="BK212" s="59"/>
      <c r="BL212" s="59">
        <v>94</v>
      </c>
      <c r="BW212" s="59">
        <v>12</v>
      </c>
      <c r="BX212" s="16" t="s">
        <v>427</v>
      </c>
    </row>
    <row r="213" spans="1:76" x14ac:dyDescent="0.25">
      <c r="A213" s="62"/>
      <c r="D213" s="63" t="s">
        <v>296</v>
      </c>
      <c r="E213" s="63"/>
      <c r="G213" s="64">
        <v>30</v>
      </c>
      <c r="M213" s="65"/>
    </row>
    <row r="214" spans="1:76" ht="15" customHeight="1" x14ac:dyDescent="0.25">
      <c r="A214" s="54"/>
      <c r="B214" s="55" t="s">
        <v>349</v>
      </c>
      <c r="C214" s="55" t="s">
        <v>284</v>
      </c>
      <c r="D214" s="104" t="s">
        <v>285</v>
      </c>
      <c r="E214" s="104"/>
      <c r="F214" s="56" t="s">
        <v>88</v>
      </c>
      <c r="G214" s="56" t="s">
        <v>88</v>
      </c>
      <c r="H214" s="56" t="s">
        <v>88</v>
      </c>
      <c r="I214" s="39">
        <f>SUM(I215)</f>
        <v>0</v>
      </c>
      <c r="J214" s="46"/>
      <c r="K214" s="46"/>
      <c r="L214" s="39">
        <f>SUM(L215)</f>
        <v>1.0267200000000001E-2</v>
      </c>
      <c r="M214" s="57"/>
      <c r="AI214" s="46" t="s">
        <v>349</v>
      </c>
      <c r="AS214" s="39">
        <f>SUM(AJ215)</f>
        <v>0</v>
      </c>
      <c r="AT214" s="39">
        <f>SUM(AK215)</f>
        <v>0</v>
      </c>
      <c r="AU214" s="39">
        <f>SUM(AL215)</f>
        <v>0</v>
      </c>
    </row>
    <row r="215" spans="1:76" ht="15" customHeight="1" x14ac:dyDescent="0.25">
      <c r="A215" s="58" t="s">
        <v>548</v>
      </c>
      <c r="B215" s="18" t="s">
        <v>349</v>
      </c>
      <c r="C215" s="18" t="s">
        <v>287</v>
      </c>
      <c r="D215" s="8" t="s">
        <v>288</v>
      </c>
      <c r="E215" s="8"/>
      <c r="F215" s="18" t="s">
        <v>114</v>
      </c>
      <c r="G215" s="59">
        <v>256.68</v>
      </c>
      <c r="H215" s="59">
        <v>0</v>
      </c>
      <c r="I215" s="59">
        <f>ROUND(G215*H215,2)</f>
        <v>0</v>
      </c>
      <c r="J215" s="59">
        <v>4.0000000000000003E-5</v>
      </c>
      <c r="K215" s="59">
        <v>4.0000000000000003E-5</v>
      </c>
      <c r="L215" s="59">
        <f>G215*K215</f>
        <v>1.0267200000000001E-2</v>
      </c>
      <c r="M215" s="60" t="s">
        <v>115</v>
      </c>
      <c r="Z215" s="59">
        <f>ROUND(IF(AQ215="5",BJ215,0),2)</f>
        <v>0</v>
      </c>
      <c r="AB215" s="59">
        <f>ROUND(IF(AQ215="1",BH215,0),2)</f>
        <v>0</v>
      </c>
      <c r="AC215" s="59">
        <f>ROUND(IF(AQ215="1",BI215,0),2)</f>
        <v>0</v>
      </c>
      <c r="AD215" s="59">
        <f>ROUND(IF(AQ215="7",BH215,0),2)</f>
        <v>0</v>
      </c>
      <c r="AE215" s="59">
        <f>ROUND(IF(AQ215="7",BI215,0),2)</f>
        <v>0</v>
      </c>
      <c r="AF215" s="59">
        <f>ROUND(IF(AQ215="2",BH215,0),2)</f>
        <v>0</v>
      </c>
      <c r="AG215" s="59">
        <f>ROUND(IF(AQ215="2",BI215,0),2)</f>
        <v>0</v>
      </c>
      <c r="AH215" s="59">
        <f>ROUND(IF(AQ215="0",BJ215,0),2)</f>
        <v>0</v>
      </c>
      <c r="AI215" s="46" t="s">
        <v>349</v>
      </c>
      <c r="AJ215" s="59">
        <f>IF(AN215=0,I215,0)</f>
        <v>0</v>
      </c>
      <c r="AK215" s="59">
        <f>IF(AN215=12,I215,0)</f>
        <v>0</v>
      </c>
      <c r="AL215" s="59">
        <f>IF(AN215=21,I215,0)</f>
        <v>0</v>
      </c>
      <c r="AN215" s="59">
        <v>12</v>
      </c>
      <c r="AO215" s="59">
        <f>H215*0.012649582</f>
        <v>0</v>
      </c>
      <c r="AP215" s="59">
        <f>H215*(1-0.012649582)</f>
        <v>0</v>
      </c>
      <c r="AQ215" s="61" t="s">
        <v>111</v>
      </c>
      <c r="AV215" s="59">
        <f>ROUND(AW215+AX215,2)</f>
        <v>0</v>
      </c>
      <c r="AW215" s="59">
        <f>ROUND(G215*AO215,2)</f>
        <v>0</v>
      </c>
      <c r="AX215" s="59">
        <f>ROUND(G215*AP215,2)</f>
        <v>0</v>
      </c>
      <c r="AY215" s="61" t="s">
        <v>289</v>
      </c>
      <c r="AZ215" s="61" t="s">
        <v>421</v>
      </c>
      <c r="BA215" s="46" t="s">
        <v>352</v>
      </c>
      <c r="BC215" s="59">
        <f>AW215+AX215</f>
        <v>0</v>
      </c>
      <c r="BD215" s="59">
        <f>H215/(100-BE215)*100</f>
        <v>0</v>
      </c>
      <c r="BE215" s="59">
        <v>0</v>
      </c>
      <c r="BF215" s="59">
        <f>L215</f>
        <v>1.0267200000000001E-2</v>
      </c>
      <c r="BH215" s="59">
        <f>G215*AO215</f>
        <v>0</v>
      </c>
      <c r="BI215" s="59">
        <f>G215*AP215</f>
        <v>0</v>
      </c>
      <c r="BJ215" s="59">
        <f>G215*H215</f>
        <v>0</v>
      </c>
      <c r="BK215" s="59"/>
      <c r="BL215" s="59">
        <v>95</v>
      </c>
      <c r="BW215" s="59">
        <v>12</v>
      </c>
      <c r="BX215" s="16" t="s">
        <v>288</v>
      </c>
    </row>
    <row r="216" spans="1:76" x14ac:dyDescent="0.25">
      <c r="A216" s="62"/>
      <c r="D216" s="63" t="s">
        <v>416</v>
      </c>
      <c r="E216" s="63"/>
      <c r="G216" s="64">
        <v>256.68</v>
      </c>
      <c r="M216" s="65"/>
    </row>
    <row r="217" spans="1:76" ht="15" customHeight="1" x14ac:dyDescent="0.25">
      <c r="A217" s="54"/>
      <c r="B217" s="55" t="s">
        <v>349</v>
      </c>
      <c r="C217" s="55" t="s">
        <v>290</v>
      </c>
      <c r="D217" s="104" t="s">
        <v>291</v>
      </c>
      <c r="E217" s="104"/>
      <c r="F217" s="56" t="s">
        <v>88</v>
      </c>
      <c r="G217" s="56" t="s">
        <v>88</v>
      </c>
      <c r="H217" s="56" t="s">
        <v>88</v>
      </c>
      <c r="I217" s="39">
        <f>SUM(I218:I230)</f>
        <v>0</v>
      </c>
      <c r="J217" s="46"/>
      <c r="K217" s="46"/>
      <c r="L217" s="39">
        <f>SUM(L218:L230)</f>
        <v>7.8838920000000003</v>
      </c>
      <c r="M217" s="57"/>
      <c r="AI217" s="46" t="s">
        <v>349</v>
      </c>
      <c r="AS217" s="39">
        <f>SUM(AJ218:AJ230)</f>
        <v>0</v>
      </c>
      <c r="AT217" s="39">
        <f>SUM(AK218:AK230)</f>
        <v>0</v>
      </c>
      <c r="AU217" s="39">
        <f>SUM(AL218:AL230)</f>
        <v>0</v>
      </c>
    </row>
    <row r="218" spans="1:76" ht="15" customHeight="1" x14ac:dyDescent="0.25">
      <c r="A218" s="58" t="s">
        <v>549</v>
      </c>
      <c r="B218" s="18" t="s">
        <v>349</v>
      </c>
      <c r="C218" s="18" t="s">
        <v>293</v>
      </c>
      <c r="D218" s="8" t="s">
        <v>294</v>
      </c>
      <c r="E218" s="8"/>
      <c r="F218" s="18" t="s">
        <v>140</v>
      </c>
      <c r="G218" s="59">
        <v>24.9</v>
      </c>
      <c r="H218" s="59">
        <v>0</v>
      </c>
      <c r="I218" s="59">
        <f>ROUND(G218*H218,2)</f>
        <v>0</v>
      </c>
      <c r="J218" s="59">
        <v>0</v>
      </c>
      <c r="K218" s="59">
        <v>1.188E-2</v>
      </c>
      <c r="L218" s="59">
        <f>G218*K218</f>
        <v>0.29581199999999996</v>
      </c>
      <c r="M218" s="60" t="s">
        <v>115</v>
      </c>
      <c r="Z218" s="59">
        <f>ROUND(IF(AQ218="5",BJ218,0),2)</f>
        <v>0</v>
      </c>
      <c r="AB218" s="59">
        <f>ROUND(IF(AQ218="1",BH218,0),2)</f>
        <v>0</v>
      </c>
      <c r="AC218" s="59">
        <f>ROUND(IF(AQ218="1",BI218,0),2)</f>
        <v>0</v>
      </c>
      <c r="AD218" s="59">
        <f>ROUND(IF(AQ218="7",BH218,0),2)</f>
        <v>0</v>
      </c>
      <c r="AE218" s="59">
        <f>ROUND(IF(AQ218="7",BI218,0),2)</f>
        <v>0</v>
      </c>
      <c r="AF218" s="59">
        <f>ROUND(IF(AQ218="2",BH218,0),2)</f>
        <v>0</v>
      </c>
      <c r="AG218" s="59">
        <f>ROUND(IF(AQ218="2",BI218,0),2)</f>
        <v>0</v>
      </c>
      <c r="AH218" s="59">
        <f>ROUND(IF(AQ218="0",BJ218,0),2)</f>
        <v>0</v>
      </c>
      <c r="AI218" s="46" t="s">
        <v>349</v>
      </c>
      <c r="AJ218" s="59">
        <f>IF(AN218=0,I218,0)</f>
        <v>0</v>
      </c>
      <c r="AK218" s="59">
        <f>IF(AN218=12,I218,0)</f>
        <v>0</v>
      </c>
      <c r="AL218" s="59">
        <f>IF(AN218=21,I218,0)</f>
        <v>0</v>
      </c>
      <c r="AN218" s="59">
        <v>12</v>
      </c>
      <c r="AO218" s="59">
        <f>H218*0</f>
        <v>0</v>
      </c>
      <c r="AP218" s="59">
        <f>H218*(1-0)</f>
        <v>0</v>
      </c>
      <c r="AQ218" s="61" t="s">
        <v>111</v>
      </c>
      <c r="AV218" s="59">
        <f>ROUND(AW218+AX218,2)</f>
        <v>0</v>
      </c>
      <c r="AW218" s="59">
        <f>ROUND(G218*AO218,2)</f>
        <v>0</v>
      </c>
      <c r="AX218" s="59">
        <f>ROUND(G218*AP218,2)</f>
        <v>0</v>
      </c>
      <c r="AY218" s="61" t="s">
        <v>295</v>
      </c>
      <c r="AZ218" s="61" t="s">
        <v>421</v>
      </c>
      <c r="BA218" s="46" t="s">
        <v>352</v>
      </c>
      <c r="BC218" s="59">
        <f>AW218+AX218</f>
        <v>0</v>
      </c>
      <c r="BD218" s="59">
        <f>H218/(100-BE218)*100</f>
        <v>0</v>
      </c>
      <c r="BE218" s="59">
        <v>0</v>
      </c>
      <c r="BF218" s="59">
        <f>L218</f>
        <v>0.29581199999999996</v>
      </c>
      <c r="BH218" s="59">
        <f>G218*AO218</f>
        <v>0</v>
      </c>
      <c r="BI218" s="59">
        <f>G218*AP218</f>
        <v>0</v>
      </c>
      <c r="BJ218" s="59">
        <f>G218*H218</f>
        <v>0</v>
      </c>
      <c r="BK218" s="59"/>
      <c r="BL218" s="59">
        <v>96</v>
      </c>
      <c r="BW218" s="59">
        <v>12</v>
      </c>
      <c r="BX218" s="16" t="s">
        <v>294</v>
      </c>
    </row>
    <row r="219" spans="1:76" x14ac:dyDescent="0.25">
      <c r="A219" s="62"/>
      <c r="D219" s="63" t="s">
        <v>387</v>
      </c>
      <c r="E219" s="63"/>
      <c r="G219" s="64">
        <v>24.9</v>
      </c>
      <c r="M219" s="65"/>
    </row>
    <row r="220" spans="1:76" ht="15" customHeight="1" x14ac:dyDescent="0.25">
      <c r="A220" s="58" t="s">
        <v>550</v>
      </c>
      <c r="B220" s="18" t="s">
        <v>349</v>
      </c>
      <c r="C220" s="18" t="s">
        <v>297</v>
      </c>
      <c r="D220" s="8" t="s">
        <v>298</v>
      </c>
      <c r="E220" s="8"/>
      <c r="F220" s="18" t="s">
        <v>299</v>
      </c>
      <c r="G220" s="59">
        <v>44</v>
      </c>
      <c r="H220" s="59">
        <v>0</v>
      </c>
      <c r="I220" s="59">
        <f>ROUND(G220*H220,2)</f>
        <v>0</v>
      </c>
      <c r="J220" s="59">
        <v>0</v>
      </c>
      <c r="K220" s="59">
        <v>0</v>
      </c>
      <c r="L220" s="59">
        <f>G220*K220</f>
        <v>0</v>
      </c>
      <c r="M220" s="60" t="s">
        <v>115</v>
      </c>
      <c r="Z220" s="59">
        <f>ROUND(IF(AQ220="5",BJ220,0),2)</f>
        <v>0</v>
      </c>
      <c r="AB220" s="59">
        <f>ROUND(IF(AQ220="1",BH220,0),2)</f>
        <v>0</v>
      </c>
      <c r="AC220" s="59">
        <f>ROUND(IF(AQ220="1",BI220,0),2)</f>
        <v>0</v>
      </c>
      <c r="AD220" s="59">
        <f>ROUND(IF(AQ220="7",BH220,0),2)</f>
        <v>0</v>
      </c>
      <c r="AE220" s="59">
        <f>ROUND(IF(AQ220="7",BI220,0),2)</f>
        <v>0</v>
      </c>
      <c r="AF220" s="59">
        <f>ROUND(IF(AQ220="2",BH220,0),2)</f>
        <v>0</v>
      </c>
      <c r="AG220" s="59">
        <f>ROUND(IF(AQ220="2",BI220,0),2)</f>
        <v>0</v>
      </c>
      <c r="AH220" s="59">
        <f>ROUND(IF(AQ220="0",BJ220,0),2)</f>
        <v>0</v>
      </c>
      <c r="AI220" s="46" t="s">
        <v>349</v>
      </c>
      <c r="AJ220" s="59">
        <f>IF(AN220=0,I220,0)</f>
        <v>0</v>
      </c>
      <c r="AK220" s="59">
        <f>IF(AN220=12,I220,0)</f>
        <v>0</v>
      </c>
      <c r="AL220" s="59">
        <f>IF(AN220=21,I220,0)</f>
        <v>0</v>
      </c>
      <c r="AN220" s="59">
        <v>12</v>
      </c>
      <c r="AO220" s="59">
        <f>H220*0</f>
        <v>0</v>
      </c>
      <c r="AP220" s="59">
        <f>H220*(1-0)</f>
        <v>0</v>
      </c>
      <c r="AQ220" s="61" t="s">
        <v>111</v>
      </c>
      <c r="AV220" s="59">
        <f>ROUND(AW220+AX220,2)</f>
        <v>0</v>
      </c>
      <c r="AW220" s="59">
        <f>ROUND(G220*AO220,2)</f>
        <v>0</v>
      </c>
      <c r="AX220" s="59">
        <f>ROUND(G220*AP220,2)</f>
        <v>0</v>
      </c>
      <c r="AY220" s="61" t="s">
        <v>295</v>
      </c>
      <c r="AZ220" s="61" t="s">
        <v>421</v>
      </c>
      <c r="BA220" s="46" t="s">
        <v>352</v>
      </c>
      <c r="BC220" s="59">
        <f>AW220+AX220</f>
        <v>0</v>
      </c>
      <c r="BD220" s="59">
        <f>H220/(100-BE220)*100</f>
        <v>0</v>
      </c>
      <c r="BE220" s="59">
        <v>0</v>
      </c>
      <c r="BF220" s="59">
        <f>L220</f>
        <v>0</v>
      </c>
      <c r="BH220" s="59">
        <f>G220*AO220</f>
        <v>0</v>
      </c>
      <c r="BI220" s="59">
        <f>G220*AP220</f>
        <v>0</v>
      </c>
      <c r="BJ220" s="59">
        <f>G220*H220</f>
        <v>0</v>
      </c>
      <c r="BK220" s="59"/>
      <c r="BL220" s="59">
        <v>96</v>
      </c>
      <c r="BW220" s="59">
        <v>12</v>
      </c>
      <c r="BX220" s="16" t="s">
        <v>298</v>
      </c>
    </row>
    <row r="221" spans="1:76" x14ac:dyDescent="0.25">
      <c r="A221" s="62"/>
      <c r="D221" s="63" t="s">
        <v>431</v>
      </c>
      <c r="E221" s="63"/>
      <c r="G221" s="64">
        <v>44</v>
      </c>
      <c r="M221" s="65"/>
    </row>
    <row r="222" spans="1:76" ht="15" customHeight="1" x14ac:dyDescent="0.25">
      <c r="A222" s="58" t="s">
        <v>551</v>
      </c>
      <c r="B222" s="18" t="s">
        <v>349</v>
      </c>
      <c r="C222" s="18" t="s">
        <v>302</v>
      </c>
      <c r="D222" s="8" t="s">
        <v>303</v>
      </c>
      <c r="E222" s="8"/>
      <c r="F222" s="18" t="s">
        <v>114</v>
      </c>
      <c r="G222" s="59">
        <v>57.6</v>
      </c>
      <c r="H222" s="59">
        <v>0</v>
      </c>
      <c r="I222" s="59">
        <f>ROUND(G222*H222,2)</f>
        <v>0</v>
      </c>
      <c r="J222" s="59">
        <v>1E-3</v>
      </c>
      <c r="K222" s="59">
        <v>3.2000000000000001E-2</v>
      </c>
      <c r="L222" s="59">
        <f>G222*K222</f>
        <v>1.8432000000000002</v>
      </c>
      <c r="M222" s="60" t="s">
        <v>115</v>
      </c>
      <c r="Z222" s="59">
        <f>ROUND(IF(AQ222="5",BJ222,0),2)</f>
        <v>0</v>
      </c>
      <c r="AB222" s="59">
        <f>ROUND(IF(AQ222="1",BH222,0),2)</f>
        <v>0</v>
      </c>
      <c r="AC222" s="59">
        <f>ROUND(IF(AQ222="1",BI222,0),2)</f>
        <v>0</v>
      </c>
      <c r="AD222" s="59">
        <f>ROUND(IF(AQ222="7",BH222,0),2)</f>
        <v>0</v>
      </c>
      <c r="AE222" s="59">
        <f>ROUND(IF(AQ222="7",BI222,0),2)</f>
        <v>0</v>
      </c>
      <c r="AF222" s="59">
        <f>ROUND(IF(AQ222="2",BH222,0),2)</f>
        <v>0</v>
      </c>
      <c r="AG222" s="59">
        <f>ROUND(IF(AQ222="2",BI222,0),2)</f>
        <v>0</v>
      </c>
      <c r="AH222" s="59">
        <f>ROUND(IF(AQ222="0",BJ222,0),2)</f>
        <v>0</v>
      </c>
      <c r="AI222" s="46" t="s">
        <v>349</v>
      </c>
      <c r="AJ222" s="59">
        <f>IF(AN222=0,I222,0)</f>
        <v>0</v>
      </c>
      <c r="AK222" s="59">
        <f>IF(AN222=12,I222,0)</f>
        <v>0</v>
      </c>
      <c r="AL222" s="59">
        <f>IF(AN222=21,I222,0)</f>
        <v>0</v>
      </c>
      <c r="AN222" s="59">
        <v>12</v>
      </c>
      <c r="AO222" s="59">
        <f>H222*0.133991144</f>
        <v>0</v>
      </c>
      <c r="AP222" s="59">
        <f>H222*(1-0.133991144)</f>
        <v>0</v>
      </c>
      <c r="AQ222" s="61" t="s">
        <v>111</v>
      </c>
      <c r="AV222" s="59">
        <f>ROUND(AW222+AX222,2)</f>
        <v>0</v>
      </c>
      <c r="AW222" s="59">
        <f>ROUND(G222*AO222,2)</f>
        <v>0</v>
      </c>
      <c r="AX222" s="59">
        <f>ROUND(G222*AP222,2)</f>
        <v>0</v>
      </c>
      <c r="AY222" s="61" t="s">
        <v>295</v>
      </c>
      <c r="AZ222" s="61" t="s">
        <v>421</v>
      </c>
      <c r="BA222" s="46" t="s">
        <v>352</v>
      </c>
      <c r="BC222" s="59">
        <f>AW222+AX222</f>
        <v>0</v>
      </c>
      <c r="BD222" s="59">
        <f>H222/(100-BE222)*100</f>
        <v>0</v>
      </c>
      <c r="BE222" s="59">
        <v>0</v>
      </c>
      <c r="BF222" s="59">
        <f>L222</f>
        <v>1.8432000000000002</v>
      </c>
      <c r="BH222" s="59">
        <f>G222*AO222</f>
        <v>0</v>
      </c>
      <c r="BI222" s="59">
        <f>G222*AP222</f>
        <v>0</v>
      </c>
      <c r="BJ222" s="59">
        <f>G222*H222</f>
        <v>0</v>
      </c>
      <c r="BK222" s="59"/>
      <c r="BL222" s="59">
        <v>96</v>
      </c>
      <c r="BW222" s="59">
        <v>12</v>
      </c>
      <c r="BX222" s="16" t="s">
        <v>303</v>
      </c>
    </row>
    <row r="223" spans="1:76" x14ac:dyDescent="0.25">
      <c r="A223" s="62"/>
      <c r="D223" s="63" t="s">
        <v>433</v>
      </c>
      <c r="E223" s="63"/>
      <c r="G223" s="64">
        <v>57.6</v>
      </c>
      <c r="M223" s="65"/>
    </row>
    <row r="224" spans="1:76" ht="15" customHeight="1" x14ac:dyDescent="0.25">
      <c r="A224" s="58" t="s">
        <v>552</v>
      </c>
      <c r="B224" s="18" t="s">
        <v>349</v>
      </c>
      <c r="C224" s="18" t="s">
        <v>435</v>
      </c>
      <c r="D224" s="8" t="s">
        <v>436</v>
      </c>
      <c r="E224" s="8"/>
      <c r="F224" s="18" t="s">
        <v>360</v>
      </c>
      <c r="G224" s="59">
        <v>1.115</v>
      </c>
      <c r="H224" s="59">
        <v>0</v>
      </c>
      <c r="I224" s="59">
        <f>ROUND(G224*H224,2)</f>
        <v>0</v>
      </c>
      <c r="J224" s="59">
        <v>0</v>
      </c>
      <c r="K224" s="59">
        <v>2.2000000000000002</v>
      </c>
      <c r="L224" s="59">
        <f>G224*K224</f>
        <v>2.4530000000000003</v>
      </c>
      <c r="M224" s="60" t="s">
        <v>115</v>
      </c>
      <c r="Z224" s="59">
        <f>ROUND(IF(AQ224="5",BJ224,0),2)</f>
        <v>0</v>
      </c>
      <c r="AB224" s="59">
        <f>ROUND(IF(AQ224="1",BH224,0),2)</f>
        <v>0</v>
      </c>
      <c r="AC224" s="59">
        <f>ROUND(IF(AQ224="1",BI224,0),2)</f>
        <v>0</v>
      </c>
      <c r="AD224" s="59">
        <f>ROUND(IF(AQ224="7",BH224,0),2)</f>
        <v>0</v>
      </c>
      <c r="AE224" s="59">
        <f>ROUND(IF(AQ224="7",BI224,0),2)</f>
        <v>0</v>
      </c>
      <c r="AF224" s="59">
        <f>ROUND(IF(AQ224="2",BH224,0),2)</f>
        <v>0</v>
      </c>
      <c r="AG224" s="59">
        <f>ROUND(IF(AQ224="2",BI224,0),2)</f>
        <v>0</v>
      </c>
      <c r="AH224" s="59">
        <f>ROUND(IF(AQ224="0",BJ224,0),2)</f>
        <v>0</v>
      </c>
      <c r="AI224" s="46" t="s">
        <v>349</v>
      </c>
      <c r="AJ224" s="59">
        <f>IF(AN224=0,I224,0)</f>
        <v>0</v>
      </c>
      <c r="AK224" s="59">
        <f>IF(AN224=12,I224,0)</f>
        <v>0</v>
      </c>
      <c r="AL224" s="59">
        <f>IF(AN224=21,I224,0)</f>
        <v>0</v>
      </c>
      <c r="AN224" s="59">
        <v>12</v>
      </c>
      <c r="AO224" s="59">
        <f>H224*0</f>
        <v>0</v>
      </c>
      <c r="AP224" s="59">
        <f>H224*(1-0)</f>
        <v>0</v>
      </c>
      <c r="AQ224" s="61" t="s">
        <v>111</v>
      </c>
      <c r="AV224" s="59">
        <f>ROUND(AW224+AX224,2)</f>
        <v>0</v>
      </c>
      <c r="AW224" s="59">
        <f>ROUND(G224*AO224,2)</f>
        <v>0</v>
      </c>
      <c r="AX224" s="59">
        <f>ROUND(G224*AP224,2)</f>
        <v>0</v>
      </c>
      <c r="AY224" s="61" t="s">
        <v>295</v>
      </c>
      <c r="AZ224" s="61" t="s">
        <v>421</v>
      </c>
      <c r="BA224" s="46" t="s">
        <v>352</v>
      </c>
      <c r="BC224" s="59">
        <f>AW224+AX224</f>
        <v>0</v>
      </c>
      <c r="BD224" s="59">
        <f>H224/(100-BE224)*100</f>
        <v>0</v>
      </c>
      <c r="BE224" s="59">
        <v>0</v>
      </c>
      <c r="BF224" s="59">
        <f>L224</f>
        <v>2.4530000000000003</v>
      </c>
      <c r="BH224" s="59">
        <f>G224*AO224</f>
        <v>0</v>
      </c>
      <c r="BI224" s="59">
        <f>G224*AP224</f>
        <v>0</v>
      </c>
      <c r="BJ224" s="59">
        <f>G224*H224</f>
        <v>0</v>
      </c>
      <c r="BK224" s="59"/>
      <c r="BL224" s="59">
        <v>96</v>
      </c>
      <c r="BW224" s="59">
        <v>12</v>
      </c>
      <c r="BX224" s="16" t="s">
        <v>436</v>
      </c>
    </row>
    <row r="225" spans="1:76" x14ac:dyDescent="0.25">
      <c r="A225" s="62"/>
      <c r="D225" s="63" t="s">
        <v>362</v>
      </c>
      <c r="E225" s="63"/>
      <c r="G225" s="64">
        <v>1.115</v>
      </c>
      <c r="M225" s="65"/>
    </row>
    <row r="226" spans="1:76" ht="15" customHeight="1" x14ac:dyDescent="0.25">
      <c r="A226" s="58" t="s">
        <v>553</v>
      </c>
      <c r="B226" s="18" t="s">
        <v>349</v>
      </c>
      <c r="C226" s="18" t="s">
        <v>438</v>
      </c>
      <c r="D226" s="8" t="s">
        <v>439</v>
      </c>
      <c r="E226" s="8"/>
      <c r="F226" s="18" t="s">
        <v>360</v>
      </c>
      <c r="G226" s="59">
        <v>0.89200000000000002</v>
      </c>
      <c r="H226" s="59">
        <v>0</v>
      </c>
      <c r="I226" s="59">
        <f>ROUND(G226*H226,2)</f>
        <v>0</v>
      </c>
      <c r="J226" s="59">
        <v>0</v>
      </c>
      <c r="K226" s="59">
        <v>2.2000000000000002</v>
      </c>
      <c r="L226" s="59">
        <f>G226*K226</f>
        <v>1.9624000000000001</v>
      </c>
      <c r="M226" s="60" t="s">
        <v>115</v>
      </c>
      <c r="Z226" s="59">
        <f>ROUND(IF(AQ226="5",BJ226,0),2)</f>
        <v>0</v>
      </c>
      <c r="AB226" s="59">
        <f>ROUND(IF(AQ226="1",BH226,0),2)</f>
        <v>0</v>
      </c>
      <c r="AC226" s="59">
        <f>ROUND(IF(AQ226="1",BI226,0),2)</f>
        <v>0</v>
      </c>
      <c r="AD226" s="59">
        <f>ROUND(IF(AQ226="7",BH226,0),2)</f>
        <v>0</v>
      </c>
      <c r="AE226" s="59">
        <f>ROUND(IF(AQ226="7",BI226,0),2)</f>
        <v>0</v>
      </c>
      <c r="AF226" s="59">
        <f>ROUND(IF(AQ226="2",BH226,0),2)</f>
        <v>0</v>
      </c>
      <c r="AG226" s="59">
        <f>ROUND(IF(AQ226="2",BI226,0),2)</f>
        <v>0</v>
      </c>
      <c r="AH226" s="59">
        <f>ROUND(IF(AQ226="0",BJ226,0),2)</f>
        <v>0</v>
      </c>
      <c r="AI226" s="46" t="s">
        <v>349</v>
      </c>
      <c r="AJ226" s="59">
        <f>IF(AN226=0,I226,0)</f>
        <v>0</v>
      </c>
      <c r="AK226" s="59">
        <f>IF(AN226=12,I226,0)</f>
        <v>0</v>
      </c>
      <c r="AL226" s="59">
        <f>IF(AN226=21,I226,0)</f>
        <v>0</v>
      </c>
      <c r="AN226" s="59">
        <v>12</v>
      </c>
      <c r="AO226" s="59">
        <f>H226*0</f>
        <v>0</v>
      </c>
      <c r="AP226" s="59">
        <f>H226*(1-0)</f>
        <v>0</v>
      </c>
      <c r="AQ226" s="61" t="s">
        <v>111</v>
      </c>
      <c r="AV226" s="59">
        <f>ROUND(AW226+AX226,2)</f>
        <v>0</v>
      </c>
      <c r="AW226" s="59">
        <f>ROUND(G226*AO226,2)</f>
        <v>0</v>
      </c>
      <c r="AX226" s="59">
        <f>ROUND(G226*AP226,2)</f>
        <v>0</v>
      </c>
      <c r="AY226" s="61" t="s">
        <v>295</v>
      </c>
      <c r="AZ226" s="61" t="s">
        <v>421</v>
      </c>
      <c r="BA226" s="46" t="s">
        <v>352</v>
      </c>
      <c r="BC226" s="59">
        <f>AW226+AX226</f>
        <v>0</v>
      </c>
      <c r="BD226" s="59">
        <f>H226/(100-BE226)*100</f>
        <v>0</v>
      </c>
      <c r="BE226" s="59">
        <v>0</v>
      </c>
      <c r="BF226" s="59">
        <f>L226</f>
        <v>1.9624000000000001</v>
      </c>
      <c r="BH226" s="59">
        <f>G226*AO226</f>
        <v>0</v>
      </c>
      <c r="BI226" s="59">
        <f>G226*AP226</f>
        <v>0</v>
      </c>
      <c r="BJ226" s="59">
        <f>G226*H226</f>
        <v>0</v>
      </c>
      <c r="BK226" s="59"/>
      <c r="BL226" s="59">
        <v>96</v>
      </c>
      <c r="BW226" s="59">
        <v>12</v>
      </c>
      <c r="BX226" s="16" t="s">
        <v>439</v>
      </c>
    </row>
    <row r="227" spans="1:76" x14ac:dyDescent="0.25">
      <c r="A227" s="62"/>
      <c r="D227" s="63" t="s">
        <v>440</v>
      </c>
      <c r="E227" s="63"/>
      <c r="G227" s="64">
        <v>0.89200000000000002</v>
      </c>
      <c r="M227" s="65"/>
    </row>
    <row r="228" spans="1:76" ht="15" customHeight="1" x14ac:dyDescent="0.25">
      <c r="A228" s="58" t="s">
        <v>554</v>
      </c>
      <c r="B228" s="18" t="s">
        <v>349</v>
      </c>
      <c r="C228" s="18" t="s">
        <v>442</v>
      </c>
      <c r="D228" s="8" t="s">
        <v>443</v>
      </c>
      <c r="E228" s="8"/>
      <c r="F228" s="18" t="s">
        <v>114</v>
      </c>
      <c r="G228" s="59">
        <v>22.3</v>
      </c>
      <c r="H228" s="59">
        <v>0</v>
      </c>
      <c r="I228" s="59">
        <f>ROUND(G228*H228,2)</f>
        <v>0</v>
      </c>
      <c r="J228" s="59">
        <v>0</v>
      </c>
      <c r="K228" s="59">
        <v>1.26E-2</v>
      </c>
      <c r="L228" s="59">
        <f>G228*K228</f>
        <v>0.28098000000000001</v>
      </c>
      <c r="M228" s="60" t="s">
        <v>115</v>
      </c>
      <c r="Z228" s="59">
        <f>ROUND(IF(AQ228="5",BJ228,0),2)</f>
        <v>0</v>
      </c>
      <c r="AB228" s="59">
        <f>ROUND(IF(AQ228="1",BH228,0),2)</f>
        <v>0</v>
      </c>
      <c r="AC228" s="59">
        <f>ROUND(IF(AQ228="1",BI228,0),2)</f>
        <v>0</v>
      </c>
      <c r="AD228" s="59">
        <f>ROUND(IF(AQ228="7",BH228,0),2)</f>
        <v>0</v>
      </c>
      <c r="AE228" s="59">
        <f>ROUND(IF(AQ228="7",BI228,0),2)</f>
        <v>0</v>
      </c>
      <c r="AF228" s="59">
        <f>ROUND(IF(AQ228="2",BH228,0),2)</f>
        <v>0</v>
      </c>
      <c r="AG228" s="59">
        <f>ROUND(IF(AQ228="2",BI228,0),2)</f>
        <v>0</v>
      </c>
      <c r="AH228" s="59">
        <f>ROUND(IF(AQ228="0",BJ228,0),2)</f>
        <v>0</v>
      </c>
      <c r="AI228" s="46" t="s">
        <v>349</v>
      </c>
      <c r="AJ228" s="59">
        <f>IF(AN228=0,I228,0)</f>
        <v>0</v>
      </c>
      <c r="AK228" s="59">
        <f>IF(AN228=12,I228,0)</f>
        <v>0</v>
      </c>
      <c r="AL228" s="59">
        <f>IF(AN228=21,I228,0)</f>
        <v>0</v>
      </c>
      <c r="AN228" s="59">
        <v>12</v>
      </c>
      <c r="AO228" s="59">
        <f>H228*0</f>
        <v>0</v>
      </c>
      <c r="AP228" s="59">
        <f>H228*(1-0)</f>
        <v>0</v>
      </c>
      <c r="AQ228" s="61" t="s">
        <v>111</v>
      </c>
      <c r="AV228" s="59">
        <f>ROUND(AW228+AX228,2)</f>
        <v>0</v>
      </c>
      <c r="AW228" s="59">
        <f>ROUND(G228*AO228,2)</f>
        <v>0</v>
      </c>
      <c r="AX228" s="59">
        <f>ROUND(G228*AP228,2)</f>
        <v>0</v>
      </c>
      <c r="AY228" s="61" t="s">
        <v>295</v>
      </c>
      <c r="AZ228" s="61" t="s">
        <v>421</v>
      </c>
      <c r="BA228" s="46" t="s">
        <v>352</v>
      </c>
      <c r="BC228" s="59">
        <f>AW228+AX228</f>
        <v>0</v>
      </c>
      <c r="BD228" s="59">
        <f>H228/(100-BE228)*100</f>
        <v>0</v>
      </c>
      <c r="BE228" s="59">
        <v>0</v>
      </c>
      <c r="BF228" s="59">
        <f>L228</f>
        <v>0.28098000000000001</v>
      </c>
      <c r="BH228" s="59">
        <f>G228*AO228</f>
        <v>0</v>
      </c>
      <c r="BI228" s="59">
        <f>G228*AP228</f>
        <v>0</v>
      </c>
      <c r="BJ228" s="59">
        <f>G228*H228</f>
        <v>0</v>
      </c>
      <c r="BK228" s="59"/>
      <c r="BL228" s="59">
        <v>96</v>
      </c>
      <c r="BW228" s="59">
        <v>12</v>
      </c>
      <c r="BX228" s="16" t="s">
        <v>443</v>
      </c>
    </row>
    <row r="229" spans="1:76" x14ac:dyDescent="0.25">
      <c r="A229" s="62"/>
      <c r="D229" s="63" t="s">
        <v>444</v>
      </c>
      <c r="E229" s="63"/>
      <c r="G229" s="64">
        <v>22.3</v>
      </c>
      <c r="M229" s="65"/>
    </row>
    <row r="230" spans="1:76" ht="15" customHeight="1" x14ac:dyDescent="0.25">
      <c r="A230" s="58" t="s">
        <v>555</v>
      </c>
      <c r="B230" s="18" t="s">
        <v>349</v>
      </c>
      <c r="C230" s="18" t="s">
        <v>446</v>
      </c>
      <c r="D230" s="8" t="s">
        <v>447</v>
      </c>
      <c r="E230" s="8"/>
      <c r="F230" s="18" t="s">
        <v>114</v>
      </c>
      <c r="G230" s="59">
        <v>23.3</v>
      </c>
      <c r="H230" s="59">
        <v>0</v>
      </c>
      <c r="I230" s="59">
        <f>ROUND(G230*H230,2)</f>
        <v>0</v>
      </c>
      <c r="J230" s="59">
        <v>0</v>
      </c>
      <c r="K230" s="59">
        <v>4.4999999999999998E-2</v>
      </c>
      <c r="L230" s="59">
        <f>G230*K230</f>
        <v>1.0485</v>
      </c>
      <c r="M230" s="60" t="s">
        <v>115</v>
      </c>
      <c r="Z230" s="59">
        <f>ROUND(IF(AQ230="5",BJ230,0),2)</f>
        <v>0</v>
      </c>
      <c r="AB230" s="59">
        <f>ROUND(IF(AQ230="1",BH230,0),2)</f>
        <v>0</v>
      </c>
      <c r="AC230" s="59">
        <f>ROUND(IF(AQ230="1",BI230,0),2)</f>
        <v>0</v>
      </c>
      <c r="AD230" s="59">
        <f>ROUND(IF(AQ230="7",BH230,0),2)</f>
        <v>0</v>
      </c>
      <c r="AE230" s="59">
        <f>ROUND(IF(AQ230="7",BI230,0),2)</f>
        <v>0</v>
      </c>
      <c r="AF230" s="59">
        <f>ROUND(IF(AQ230="2",BH230,0),2)</f>
        <v>0</v>
      </c>
      <c r="AG230" s="59">
        <f>ROUND(IF(AQ230="2",BI230,0),2)</f>
        <v>0</v>
      </c>
      <c r="AH230" s="59">
        <f>ROUND(IF(AQ230="0",BJ230,0),2)</f>
        <v>0</v>
      </c>
      <c r="AI230" s="46" t="s">
        <v>349</v>
      </c>
      <c r="AJ230" s="59">
        <f>IF(AN230=0,I230,0)</f>
        <v>0</v>
      </c>
      <c r="AK230" s="59">
        <f>IF(AN230=12,I230,0)</f>
        <v>0</v>
      </c>
      <c r="AL230" s="59">
        <f>IF(AN230=21,I230,0)</f>
        <v>0</v>
      </c>
      <c r="AN230" s="59">
        <v>12</v>
      </c>
      <c r="AO230" s="59">
        <f>H230*0</f>
        <v>0</v>
      </c>
      <c r="AP230" s="59">
        <f>H230*(1-0)</f>
        <v>0</v>
      </c>
      <c r="AQ230" s="61" t="s">
        <v>111</v>
      </c>
      <c r="AV230" s="59">
        <f>ROUND(AW230+AX230,2)</f>
        <v>0</v>
      </c>
      <c r="AW230" s="59">
        <f>ROUND(G230*AO230,2)</f>
        <v>0</v>
      </c>
      <c r="AX230" s="59">
        <f>ROUND(G230*AP230,2)</f>
        <v>0</v>
      </c>
      <c r="AY230" s="61" t="s">
        <v>295</v>
      </c>
      <c r="AZ230" s="61" t="s">
        <v>421</v>
      </c>
      <c r="BA230" s="46" t="s">
        <v>352</v>
      </c>
      <c r="BC230" s="59">
        <f>AW230+AX230</f>
        <v>0</v>
      </c>
      <c r="BD230" s="59">
        <f>H230/(100-BE230)*100</f>
        <v>0</v>
      </c>
      <c r="BE230" s="59">
        <v>0</v>
      </c>
      <c r="BF230" s="59">
        <f>L230</f>
        <v>1.0485</v>
      </c>
      <c r="BH230" s="59">
        <f>G230*AO230</f>
        <v>0</v>
      </c>
      <c r="BI230" s="59">
        <f>G230*AP230</f>
        <v>0</v>
      </c>
      <c r="BJ230" s="59">
        <f>G230*H230</f>
        <v>0</v>
      </c>
      <c r="BK230" s="59"/>
      <c r="BL230" s="59">
        <v>96</v>
      </c>
      <c r="BW230" s="59">
        <v>12</v>
      </c>
      <c r="BX230" s="16" t="s">
        <v>447</v>
      </c>
    </row>
    <row r="231" spans="1:76" x14ac:dyDescent="0.25">
      <c r="A231" s="62"/>
      <c r="D231" s="63" t="s">
        <v>379</v>
      </c>
      <c r="E231" s="63"/>
      <c r="G231" s="64">
        <v>22.3</v>
      </c>
      <c r="M231" s="65"/>
    </row>
    <row r="232" spans="1:76" x14ac:dyDescent="0.25">
      <c r="A232" s="62"/>
      <c r="D232" s="63" t="s">
        <v>448</v>
      </c>
      <c r="E232" s="63"/>
      <c r="G232" s="64">
        <v>1</v>
      </c>
      <c r="M232" s="65"/>
    </row>
    <row r="233" spans="1:76" ht="15" customHeight="1" x14ac:dyDescent="0.25">
      <c r="A233" s="54"/>
      <c r="B233" s="55" t="s">
        <v>349</v>
      </c>
      <c r="C233" s="55" t="s">
        <v>312</v>
      </c>
      <c r="D233" s="104" t="s">
        <v>313</v>
      </c>
      <c r="E233" s="104"/>
      <c r="F233" s="56" t="s">
        <v>88</v>
      </c>
      <c r="G233" s="56" t="s">
        <v>88</v>
      </c>
      <c r="H233" s="56" t="s">
        <v>88</v>
      </c>
      <c r="I233" s="39">
        <f>SUM(I234)</f>
        <v>0</v>
      </c>
      <c r="J233" s="46"/>
      <c r="K233" s="46"/>
      <c r="L233" s="39">
        <f>SUM(L234)</f>
        <v>1.19784</v>
      </c>
      <c r="M233" s="57"/>
      <c r="AI233" s="46" t="s">
        <v>349</v>
      </c>
      <c r="AS233" s="39">
        <f>SUM(AJ234)</f>
        <v>0</v>
      </c>
      <c r="AT233" s="39">
        <f>SUM(AK234)</f>
        <v>0</v>
      </c>
      <c r="AU233" s="39">
        <f>SUM(AL234)</f>
        <v>0</v>
      </c>
    </row>
    <row r="234" spans="1:76" ht="15" customHeight="1" x14ac:dyDescent="0.25">
      <c r="A234" s="58" t="s">
        <v>556</v>
      </c>
      <c r="B234" s="18" t="s">
        <v>349</v>
      </c>
      <c r="C234" s="18" t="s">
        <v>315</v>
      </c>
      <c r="D234" s="8" t="s">
        <v>316</v>
      </c>
      <c r="E234" s="8"/>
      <c r="F234" s="18" t="s">
        <v>114</v>
      </c>
      <c r="G234" s="59">
        <v>26.04</v>
      </c>
      <c r="H234" s="59">
        <v>0</v>
      </c>
      <c r="I234" s="59">
        <f>ROUND(G234*H234,2)</f>
        <v>0</v>
      </c>
      <c r="J234" s="59">
        <v>0</v>
      </c>
      <c r="K234" s="59">
        <v>4.5999999999999999E-2</v>
      </c>
      <c r="L234" s="59">
        <f>G234*K234</f>
        <v>1.19784</v>
      </c>
      <c r="M234" s="60" t="s">
        <v>115</v>
      </c>
      <c r="Z234" s="59">
        <f>ROUND(IF(AQ234="5",BJ234,0),2)</f>
        <v>0</v>
      </c>
      <c r="AB234" s="59">
        <f>ROUND(IF(AQ234="1",BH234,0),2)</f>
        <v>0</v>
      </c>
      <c r="AC234" s="59">
        <f>ROUND(IF(AQ234="1",BI234,0),2)</f>
        <v>0</v>
      </c>
      <c r="AD234" s="59">
        <f>ROUND(IF(AQ234="7",BH234,0),2)</f>
        <v>0</v>
      </c>
      <c r="AE234" s="59">
        <f>ROUND(IF(AQ234="7",BI234,0),2)</f>
        <v>0</v>
      </c>
      <c r="AF234" s="59">
        <f>ROUND(IF(AQ234="2",BH234,0),2)</f>
        <v>0</v>
      </c>
      <c r="AG234" s="59">
        <f>ROUND(IF(AQ234="2",BI234,0),2)</f>
        <v>0</v>
      </c>
      <c r="AH234" s="59">
        <f>ROUND(IF(AQ234="0",BJ234,0),2)</f>
        <v>0</v>
      </c>
      <c r="AI234" s="46" t="s">
        <v>349</v>
      </c>
      <c r="AJ234" s="59">
        <f>IF(AN234=0,I234,0)</f>
        <v>0</v>
      </c>
      <c r="AK234" s="59">
        <f>IF(AN234=12,I234,0)</f>
        <v>0</v>
      </c>
      <c r="AL234" s="59">
        <f>IF(AN234=21,I234,0)</f>
        <v>0</v>
      </c>
      <c r="AN234" s="59">
        <v>12</v>
      </c>
      <c r="AO234" s="59">
        <f>H234*0</f>
        <v>0</v>
      </c>
      <c r="AP234" s="59">
        <f>H234*(1-0)</f>
        <v>0</v>
      </c>
      <c r="AQ234" s="61" t="s">
        <v>111</v>
      </c>
      <c r="AV234" s="59">
        <f>ROUND(AW234+AX234,2)</f>
        <v>0</v>
      </c>
      <c r="AW234" s="59">
        <f>ROUND(G234*AO234,2)</f>
        <v>0</v>
      </c>
      <c r="AX234" s="59">
        <f>ROUND(G234*AP234,2)</f>
        <v>0</v>
      </c>
      <c r="AY234" s="61" t="s">
        <v>317</v>
      </c>
      <c r="AZ234" s="61" t="s">
        <v>421</v>
      </c>
      <c r="BA234" s="46" t="s">
        <v>352</v>
      </c>
      <c r="BC234" s="59">
        <f>AW234+AX234</f>
        <v>0</v>
      </c>
      <c r="BD234" s="59">
        <f>H234/(100-BE234)*100</f>
        <v>0</v>
      </c>
      <c r="BE234" s="59">
        <v>0</v>
      </c>
      <c r="BF234" s="59">
        <f>L234</f>
        <v>1.19784</v>
      </c>
      <c r="BH234" s="59">
        <f>G234*AO234</f>
        <v>0</v>
      </c>
      <c r="BI234" s="59">
        <f>G234*AP234</f>
        <v>0</v>
      </c>
      <c r="BJ234" s="59">
        <f>G234*H234</f>
        <v>0</v>
      </c>
      <c r="BK234" s="59"/>
      <c r="BL234" s="59">
        <v>97</v>
      </c>
      <c r="BW234" s="59">
        <v>12</v>
      </c>
      <c r="BX234" s="16" t="s">
        <v>316</v>
      </c>
    </row>
    <row r="235" spans="1:76" x14ac:dyDescent="0.25">
      <c r="A235" s="62"/>
      <c r="D235" s="63" t="s">
        <v>450</v>
      </c>
      <c r="E235" s="63"/>
      <c r="G235" s="64">
        <v>26.04</v>
      </c>
      <c r="M235" s="65"/>
    </row>
    <row r="236" spans="1:76" ht="15" customHeight="1" x14ac:dyDescent="0.25">
      <c r="A236" s="54"/>
      <c r="B236" s="55" t="s">
        <v>349</v>
      </c>
      <c r="C236" s="55" t="s">
        <v>318</v>
      </c>
      <c r="D236" s="104" t="s">
        <v>319</v>
      </c>
      <c r="E236" s="104"/>
      <c r="F236" s="56" t="s">
        <v>88</v>
      </c>
      <c r="G236" s="56" t="s">
        <v>88</v>
      </c>
      <c r="H236" s="56" t="s">
        <v>88</v>
      </c>
      <c r="I236" s="39">
        <f>SUM(I237)</f>
        <v>0</v>
      </c>
      <c r="J236" s="46"/>
      <c r="K236" s="46"/>
      <c r="L236" s="39">
        <f>SUM(L237)</f>
        <v>0</v>
      </c>
      <c r="M236" s="57"/>
      <c r="AI236" s="46" t="s">
        <v>349</v>
      </c>
      <c r="AS236" s="39">
        <f>SUM(AJ237)</f>
        <v>0</v>
      </c>
      <c r="AT236" s="39">
        <f>SUM(AK237)</f>
        <v>0</v>
      </c>
      <c r="AU236" s="39">
        <f>SUM(AL237)</f>
        <v>0</v>
      </c>
    </row>
    <row r="237" spans="1:76" ht="15" customHeight="1" x14ac:dyDescent="0.25">
      <c r="A237" s="58" t="s">
        <v>267</v>
      </c>
      <c r="B237" s="18" t="s">
        <v>349</v>
      </c>
      <c r="C237" s="18" t="s">
        <v>321</v>
      </c>
      <c r="D237" s="8" t="s">
        <v>322</v>
      </c>
      <c r="E237" s="8"/>
      <c r="F237" s="18" t="s">
        <v>224</v>
      </c>
      <c r="G237" s="59">
        <v>5.1929999999999996</v>
      </c>
      <c r="H237" s="59">
        <v>0</v>
      </c>
      <c r="I237" s="59">
        <f>ROUND(G237*H237,2)</f>
        <v>0</v>
      </c>
      <c r="J237" s="59">
        <v>0</v>
      </c>
      <c r="K237" s="59">
        <v>0</v>
      </c>
      <c r="L237" s="59">
        <f>G237*K237</f>
        <v>0</v>
      </c>
      <c r="M237" s="60" t="s">
        <v>115</v>
      </c>
      <c r="Z237" s="59">
        <f>ROUND(IF(AQ237="5",BJ237,0),2)</f>
        <v>0</v>
      </c>
      <c r="AB237" s="59">
        <f>ROUND(IF(AQ237="1",BH237,0),2)</f>
        <v>0</v>
      </c>
      <c r="AC237" s="59">
        <f>ROUND(IF(AQ237="1",BI237,0),2)</f>
        <v>0</v>
      </c>
      <c r="AD237" s="59">
        <f>ROUND(IF(AQ237="7",BH237,0),2)</f>
        <v>0</v>
      </c>
      <c r="AE237" s="59">
        <f>ROUND(IF(AQ237="7",BI237,0),2)</f>
        <v>0</v>
      </c>
      <c r="AF237" s="59">
        <f>ROUND(IF(AQ237="2",BH237,0),2)</f>
        <v>0</v>
      </c>
      <c r="AG237" s="59">
        <f>ROUND(IF(AQ237="2",BI237,0),2)</f>
        <v>0</v>
      </c>
      <c r="AH237" s="59">
        <f>ROUND(IF(AQ237="0",BJ237,0),2)</f>
        <v>0</v>
      </c>
      <c r="AI237" s="46" t="s">
        <v>349</v>
      </c>
      <c r="AJ237" s="59">
        <f>IF(AN237=0,I237,0)</f>
        <v>0</v>
      </c>
      <c r="AK237" s="59">
        <f>IF(AN237=12,I237,0)</f>
        <v>0</v>
      </c>
      <c r="AL237" s="59">
        <f>IF(AN237=21,I237,0)</f>
        <v>0</v>
      </c>
      <c r="AN237" s="59">
        <v>12</v>
      </c>
      <c r="AO237" s="59">
        <f>H237*0</f>
        <v>0</v>
      </c>
      <c r="AP237" s="59">
        <f>H237*(1-0)</f>
        <v>0</v>
      </c>
      <c r="AQ237" s="61" t="s">
        <v>137</v>
      </c>
      <c r="AV237" s="59">
        <f>ROUND(AW237+AX237,2)</f>
        <v>0</v>
      </c>
      <c r="AW237" s="59">
        <f>ROUND(G237*AO237,2)</f>
        <v>0</v>
      </c>
      <c r="AX237" s="59">
        <f>ROUND(G237*AP237,2)</f>
        <v>0</v>
      </c>
      <c r="AY237" s="61" t="s">
        <v>323</v>
      </c>
      <c r="AZ237" s="61" t="s">
        <v>421</v>
      </c>
      <c r="BA237" s="46" t="s">
        <v>352</v>
      </c>
      <c r="BC237" s="59">
        <f>AW237+AX237</f>
        <v>0</v>
      </c>
      <c r="BD237" s="59">
        <f>H237/(100-BE237)*100</f>
        <v>0</v>
      </c>
      <c r="BE237" s="59">
        <v>0</v>
      </c>
      <c r="BF237" s="59">
        <f>L237</f>
        <v>0</v>
      </c>
      <c r="BH237" s="59">
        <f>G237*AO237</f>
        <v>0</v>
      </c>
      <c r="BI237" s="59">
        <f>G237*AP237</f>
        <v>0</v>
      </c>
      <c r="BJ237" s="59">
        <f>G237*H237</f>
        <v>0</v>
      </c>
      <c r="BK237" s="59"/>
      <c r="BL237" s="59"/>
      <c r="BW237" s="59">
        <v>12</v>
      </c>
      <c r="BX237" s="16" t="s">
        <v>322</v>
      </c>
    </row>
    <row r="238" spans="1:76" ht="15" customHeight="1" x14ac:dyDescent="0.25">
      <c r="A238" s="54"/>
      <c r="B238" s="55" t="s">
        <v>349</v>
      </c>
      <c r="C238" s="55" t="s">
        <v>324</v>
      </c>
      <c r="D238" s="104" t="s">
        <v>325</v>
      </c>
      <c r="E238" s="104"/>
      <c r="F238" s="56" t="s">
        <v>88</v>
      </c>
      <c r="G238" s="56" t="s">
        <v>88</v>
      </c>
      <c r="H238" s="56" t="s">
        <v>88</v>
      </c>
      <c r="I238" s="39">
        <f>SUM(I239:I251)</f>
        <v>0</v>
      </c>
      <c r="J238" s="46"/>
      <c r="K238" s="46"/>
      <c r="L238" s="39">
        <f>SUM(L239:L251)</f>
        <v>0</v>
      </c>
      <c r="M238" s="57"/>
      <c r="AI238" s="46" t="s">
        <v>349</v>
      </c>
      <c r="AS238" s="39">
        <f>SUM(AJ239:AJ251)</f>
        <v>0</v>
      </c>
      <c r="AT238" s="39">
        <f>SUM(AK239:AK251)</f>
        <v>0</v>
      </c>
      <c r="AU238" s="39">
        <f>SUM(AL239:AL251)</f>
        <v>0</v>
      </c>
    </row>
    <row r="239" spans="1:76" ht="15" customHeight="1" x14ac:dyDescent="0.25">
      <c r="A239" s="58" t="s">
        <v>557</v>
      </c>
      <c r="B239" s="18" t="s">
        <v>349</v>
      </c>
      <c r="C239" s="18" t="s">
        <v>453</v>
      </c>
      <c r="D239" s="8" t="s">
        <v>454</v>
      </c>
      <c r="E239" s="8"/>
      <c r="F239" s="18" t="s">
        <v>224</v>
      </c>
      <c r="G239" s="59">
        <v>9.3000000000000007</v>
      </c>
      <c r="H239" s="59">
        <v>0</v>
      </c>
      <c r="I239" s="59">
        <f>ROUND(G239*H239,2)</f>
        <v>0</v>
      </c>
      <c r="J239" s="59">
        <v>0</v>
      </c>
      <c r="K239" s="59">
        <v>0</v>
      </c>
      <c r="L239" s="59">
        <f>G239*K239</f>
        <v>0</v>
      </c>
      <c r="M239" s="60" t="s">
        <v>115</v>
      </c>
      <c r="Z239" s="59">
        <f>ROUND(IF(AQ239="5",BJ239,0),2)</f>
        <v>0</v>
      </c>
      <c r="AB239" s="59">
        <f>ROUND(IF(AQ239="1",BH239,0),2)</f>
        <v>0</v>
      </c>
      <c r="AC239" s="59">
        <f>ROUND(IF(AQ239="1",BI239,0),2)</f>
        <v>0</v>
      </c>
      <c r="AD239" s="59">
        <f>ROUND(IF(AQ239="7",BH239,0),2)</f>
        <v>0</v>
      </c>
      <c r="AE239" s="59">
        <f>ROUND(IF(AQ239="7",BI239,0),2)</f>
        <v>0</v>
      </c>
      <c r="AF239" s="59">
        <f>ROUND(IF(AQ239="2",BH239,0),2)</f>
        <v>0</v>
      </c>
      <c r="AG239" s="59">
        <f>ROUND(IF(AQ239="2",BI239,0),2)</f>
        <v>0</v>
      </c>
      <c r="AH239" s="59">
        <f>ROUND(IF(AQ239="0",BJ239,0),2)</f>
        <v>0</v>
      </c>
      <c r="AI239" s="46" t="s">
        <v>349</v>
      </c>
      <c r="AJ239" s="59">
        <f>IF(AN239=0,I239,0)</f>
        <v>0</v>
      </c>
      <c r="AK239" s="59">
        <f>IF(AN239=12,I239,0)</f>
        <v>0</v>
      </c>
      <c r="AL239" s="59">
        <f>IF(AN239=21,I239,0)</f>
        <v>0</v>
      </c>
      <c r="AN239" s="59">
        <v>12</v>
      </c>
      <c r="AO239" s="59">
        <f>H239*0</f>
        <v>0</v>
      </c>
      <c r="AP239" s="59">
        <f>H239*(1-0)</f>
        <v>0</v>
      </c>
      <c r="AQ239" s="61" t="s">
        <v>137</v>
      </c>
      <c r="AV239" s="59">
        <f>ROUND(AW239+AX239,2)</f>
        <v>0</v>
      </c>
      <c r="AW239" s="59">
        <f>ROUND(G239*AO239,2)</f>
        <v>0</v>
      </c>
      <c r="AX239" s="59">
        <f>ROUND(G239*AP239,2)</f>
        <v>0</v>
      </c>
      <c r="AY239" s="61" t="s">
        <v>329</v>
      </c>
      <c r="AZ239" s="61" t="s">
        <v>421</v>
      </c>
      <c r="BA239" s="46" t="s">
        <v>352</v>
      </c>
      <c r="BC239" s="59">
        <f>AW239+AX239</f>
        <v>0</v>
      </c>
      <c r="BD239" s="59">
        <f>H239/(100-BE239)*100</f>
        <v>0</v>
      </c>
      <c r="BE239" s="59">
        <v>0</v>
      </c>
      <c r="BF239" s="59">
        <f>L239</f>
        <v>0</v>
      </c>
      <c r="BH239" s="59">
        <f>G239*AO239</f>
        <v>0</v>
      </c>
      <c r="BI239" s="59">
        <f>G239*AP239</f>
        <v>0</v>
      </c>
      <c r="BJ239" s="59">
        <f>G239*H239</f>
        <v>0</v>
      </c>
      <c r="BK239" s="59"/>
      <c r="BL239" s="59"/>
      <c r="BW239" s="59">
        <v>12</v>
      </c>
      <c r="BX239" s="16" t="s">
        <v>454</v>
      </c>
    </row>
    <row r="240" spans="1:76" x14ac:dyDescent="0.25">
      <c r="A240" s="62"/>
      <c r="D240" s="63" t="s">
        <v>455</v>
      </c>
      <c r="E240" s="63"/>
      <c r="G240" s="64">
        <v>9.3000000000000007</v>
      </c>
      <c r="M240" s="65"/>
    </row>
    <row r="241" spans="1:76" ht="15" customHeight="1" x14ac:dyDescent="0.25">
      <c r="A241" s="58" t="s">
        <v>558</v>
      </c>
      <c r="B241" s="18" t="s">
        <v>349</v>
      </c>
      <c r="C241" s="18" t="s">
        <v>327</v>
      </c>
      <c r="D241" s="8" t="s">
        <v>328</v>
      </c>
      <c r="E241" s="8"/>
      <c r="F241" s="18" t="s">
        <v>224</v>
      </c>
      <c r="G241" s="59">
        <v>3.32</v>
      </c>
      <c r="H241" s="59">
        <v>0</v>
      </c>
      <c r="I241" s="59">
        <f>ROUND(G241*H241,2)</f>
        <v>0</v>
      </c>
      <c r="J241" s="59">
        <v>0</v>
      </c>
      <c r="K241" s="59">
        <v>0</v>
      </c>
      <c r="L241" s="59">
        <f>G241*K241</f>
        <v>0</v>
      </c>
      <c r="M241" s="60" t="s">
        <v>115</v>
      </c>
      <c r="Z241" s="59">
        <f>ROUND(IF(AQ241="5",BJ241,0),2)</f>
        <v>0</v>
      </c>
      <c r="AB241" s="59">
        <f>ROUND(IF(AQ241="1",BH241,0),2)</f>
        <v>0</v>
      </c>
      <c r="AC241" s="59">
        <f>ROUND(IF(AQ241="1",BI241,0),2)</f>
        <v>0</v>
      </c>
      <c r="AD241" s="59">
        <f>ROUND(IF(AQ241="7",BH241,0),2)</f>
        <v>0</v>
      </c>
      <c r="AE241" s="59">
        <f>ROUND(IF(AQ241="7",BI241,0),2)</f>
        <v>0</v>
      </c>
      <c r="AF241" s="59">
        <f>ROUND(IF(AQ241="2",BH241,0),2)</f>
        <v>0</v>
      </c>
      <c r="AG241" s="59">
        <f>ROUND(IF(AQ241="2",BI241,0),2)</f>
        <v>0</v>
      </c>
      <c r="AH241" s="59">
        <f>ROUND(IF(AQ241="0",BJ241,0),2)</f>
        <v>0</v>
      </c>
      <c r="AI241" s="46" t="s">
        <v>349</v>
      </c>
      <c r="AJ241" s="59">
        <f>IF(AN241=0,I241,0)</f>
        <v>0</v>
      </c>
      <c r="AK241" s="59">
        <f>IF(AN241=12,I241,0)</f>
        <v>0</v>
      </c>
      <c r="AL241" s="59">
        <f>IF(AN241=21,I241,0)</f>
        <v>0</v>
      </c>
      <c r="AN241" s="59">
        <v>12</v>
      </c>
      <c r="AO241" s="59">
        <f>H241*0</f>
        <v>0</v>
      </c>
      <c r="AP241" s="59">
        <f>H241*(1-0)</f>
        <v>0</v>
      </c>
      <c r="AQ241" s="61" t="s">
        <v>137</v>
      </c>
      <c r="AV241" s="59">
        <f>ROUND(AW241+AX241,2)</f>
        <v>0</v>
      </c>
      <c r="AW241" s="59">
        <f>ROUND(G241*AO241,2)</f>
        <v>0</v>
      </c>
      <c r="AX241" s="59">
        <f>ROUND(G241*AP241,2)</f>
        <v>0</v>
      </c>
      <c r="AY241" s="61" t="s">
        <v>329</v>
      </c>
      <c r="AZ241" s="61" t="s">
        <v>421</v>
      </c>
      <c r="BA241" s="46" t="s">
        <v>352</v>
      </c>
      <c r="BC241" s="59">
        <f>AW241+AX241</f>
        <v>0</v>
      </c>
      <c r="BD241" s="59">
        <f>H241/(100-BE241)*100</f>
        <v>0</v>
      </c>
      <c r="BE241" s="59">
        <v>0</v>
      </c>
      <c r="BF241" s="59">
        <f>L241</f>
        <v>0</v>
      </c>
      <c r="BH241" s="59">
        <f>G241*AO241</f>
        <v>0</v>
      </c>
      <c r="BI241" s="59">
        <f>G241*AP241</f>
        <v>0</v>
      </c>
      <c r="BJ241" s="59">
        <f>G241*H241</f>
        <v>0</v>
      </c>
      <c r="BK241" s="59"/>
      <c r="BL241" s="59"/>
      <c r="BW241" s="59">
        <v>12</v>
      </c>
      <c r="BX241" s="16" t="s">
        <v>328</v>
      </c>
    </row>
    <row r="242" spans="1:76" x14ac:dyDescent="0.25">
      <c r="A242" s="62"/>
      <c r="D242" s="63" t="s">
        <v>330</v>
      </c>
      <c r="E242" s="63"/>
      <c r="G242" s="64">
        <v>3.32</v>
      </c>
      <c r="M242" s="65"/>
    </row>
    <row r="243" spans="1:76" ht="15" customHeight="1" x14ac:dyDescent="0.25">
      <c r="A243" s="58" t="s">
        <v>559</v>
      </c>
      <c r="B243" s="18" t="s">
        <v>349</v>
      </c>
      <c r="C243" s="18" t="s">
        <v>332</v>
      </c>
      <c r="D243" s="8" t="s">
        <v>333</v>
      </c>
      <c r="E243" s="8"/>
      <c r="F243" s="18" t="s">
        <v>224</v>
      </c>
      <c r="G243" s="59">
        <v>9.3000000000000007</v>
      </c>
      <c r="H243" s="59">
        <v>0</v>
      </c>
      <c r="I243" s="59">
        <f>ROUND(G243*H243,2)</f>
        <v>0</v>
      </c>
      <c r="J243" s="59">
        <v>0</v>
      </c>
      <c r="K243" s="59">
        <v>0</v>
      </c>
      <c r="L243" s="59">
        <f>G243*K243</f>
        <v>0</v>
      </c>
      <c r="M243" s="60" t="s">
        <v>115</v>
      </c>
      <c r="Z243" s="59">
        <f>ROUND(IF(AQ243="5",BJ243,0),2)</f>
        <v>0</v>
      </c>
      <c r="AB243" s="59">
        <f>ROUND(IF(AQ243="1",BH243,0),2)</f>
        <v>0</v>
      </c>
      <c r="AC243" s="59">
        <f>ROUND(IF(AQ243="1",BI243,0),2)</f>
        <v>0</v>
      </c>
      <c r="AD243" s="59">
        <f>ROUND(IF(AQ243="7",BH243,0),2)</f>
        <v>0</v>
      </c>
      <c r="AE243" s="59">
        <f>ROUND(IF(AQ243="7",BI243,0),2)</f>
        <v>0</v>
      </c>
      <c r="AF243" s="59">
        <f>ROUND(IF(AQ243="2",BH243,0),2)</f>
        <v>0</v>
      </c>
      <c r="AG243" s="59">
        <f>ROUND(IF(AQ243="2",BI243,0),2)</f>
        <v>0</v>
      </c>
      <c r="AH243" s="59">
        <f>ROUND(IF(AQ243="0",BJ243,0),2)</f>
        <v>0</v>
      </c>
      <c r="AI243" s="46" t="s">
        <v>349</v>
      </c>
      <c r="AJ243" s="59">
        <f>IF(AN243=0,I243,0)</f>
        <v>0</v>
      </c>
      <c r="AK243" s="59">
        <f>IF(AN243=12,I243,0)</f>
        <v>0</v>
      </c>
      <c r="AL243" s="59">
        <f>IF(AN243=21,I243,0)</f>
        <v>0</v>
      </c>
      <c r="AN243" s="59">
        <v>12</v>
      </c>
      <c r="AO243" s="59">
        <f>H243*0</f>
        <v>0</v>
      </c>
      <c r="AP243" s="59">
        <f>H243*(1-0)</f>
        <v>0</v>
      </c>
      <c r="AQ243" s="61" t="s">
        <v>137</v>
      </c>
      <c r="AV243" s="59">
        <f>ROUND(AW243+AX243,2)</f>
        <v>0</v>
      </c>
      <c r="AW243" s="59">
        <f>ROUND(G243*AO243,2)</f>
        <v>0</v>
      </c>
      <c r="AX243" s="59">
        <f>ROUND(G243*AP243,2)</f>
        <v>0</v>
      </c>
      <c r="AY243" s="61" t="s">
        <v>329</v>
      </c>
      <c r="AZ243" s="61" t="s">
        <v>421</v>
      </c>
      <c r="BA243" s="46" t="s">
        <v>352</v>
      </c>
      <c r="BC243" s="59">
        <f>AW243+AX243</f>
        <v>0</v>
      </c>
      <c r="BD243" s="59">
        <f>H243/(100-BE243)*100</f>
        <v>0</v>
      </c>
      <c r="BE243" s="59">
        <v>0</v>
      </c>
      <c r="BF243" s="59">
        <f>L243</f>
        <v>0</v>
      </c>
      <c r="BH243" s="59">
        <f>G243*AO243</f>
        <v>0</v>
      </c>
      <c r="BI243" s="59">
        <f>G243*AP243</f>
        <v>0</v>
      </c>
      <c r="BJ243" s="59">
        <f>G243*H243</f>
        <v>0</v>
      </c>
      <c r="BK243" s="59"/>
      <c r="BL243" s="59"/>
      <c r="BW243" s="59">
        <v>12</v>
      </c>
      <c r="BX243" s="16" t="s">
        <v>333</v>
      </c>
    </row>
    <row r="244" spans="1:76" x14ac:dyDescent="0.25">
      <c r="A244" s="62"/>
      <c r="D244" s="63" t="s">
        <v>458</v>
      </c>
      <c r="E244" s="63"/>
      <c r="G244" s="64">
        <v>9.3000000000000007</v>
      </c>
      <c r="M244" s="65"/>
    </row>
    <row r="245" spans="1:76" ht="15" customHeight="1" x14ac:dyDescent="0.25">
      <c r="A245" s="58" t="s">
        <v>277</v>
      </c>
      <c r="B245" s="18" t="s">
        <v>349</v>
      </c>
      <c r="C245" s="18" t="s">
        <v>336</v>
      </c>
      <c r="D245" s="8" t="s">
        <v>337</v>
      </c>
      <c r="E245" s="8"/>
      <c r="F245" s="18" t="s">
        <v>224</v>
      </c>
      <c r="G245" s="59">
        <v>9.3000000000000007</v>
      </c>
      <c r="H245" s="59">
        <v>0</v>
      </c>
      <c r="I245" s="59">
        <f>ROUND(G245*H245,2)</f>
        <v>0</v>
      </c>
      <c r="J245" s="59">
        <v>0</v>
      </c>
      <c r="K245" s="59">
        <v>0</v>
      </c>
      <c r="L245" s="59">
        <f>G245*K245</f>
        <v>0</v>
      </c>
      <c r="M245" s="60" t="s">
        <v>115</v>
      </c>
      <c r="Z245" s="59">
        <f>ROUND(IF(AQ245="5",BJ245,0),2)</f>
        <v>0</v>
      </c>
      <c r="AB245" s="59">
        <f>ROUND(IF(AQ245="1",BH245,0),2)</f>
        <v>0</v>
      </c>
      <c r="AC245" s="59">
        <f>ROUND(IF(AQ245="1",BI245,0),2)</f>
        <v>0</v>
      </c>
      <c r="AD245" s="59">
        <f>ROUND(IF(AQ245="7",BH245,0),2)</f>
        <v>0</v>
      </c>
      <c r="AE245" s="59">
        <f>ROUND(IF(AQ245="7",BI245,0),2)</f>
        <v>0</v>
      </c>
      <c r="AF245" s="59">
        <f>ROUND(IF(AQ245="2",BH245,0),2)</f>
        <v>0</v>
      </c>
      <c r="AG245" s="59">
        <f>ROUND(IF(AQ245="2",BI245,0),2)</f>
        <v>0</v>
      </c>
      <c r="AH245" s="59">
        <f>ROUND(IF(AQ245="0",BJ245,0),2)</f>
        <v>0</v>
      </c>
      <c r="AI245" s="46" t="s">
        <v>349</v>
      </c>
      <c r="AJ245" s="59">
        <f>IF(AN245=0,I245,0)</f>
        <v>0</v>
      </c>
      <c r="AK245" s="59">
        <f>IF(AN245=12,I245,0)</f>
        <v>0</v>
      </c>
      <c r="AL245" s="59">
        <f>IF(AN245=21,I245,0)</f>
        <v>0</v>
      </c>
      <c r="AN245" s="59">
        <v>12</v>
      </c>
      <c r="AO245" s="59">
        <f>H245*0</f>
        <v>0</v>
      </c>
      <c r="AP245" s="59">
        <f>H245*(1-0)</f>
        <v>0</v>
      </c>
      <c r="AQ245" s="61" t="s">
        <v>137</v>
      </c>
      <c r="AV245" s="59">
        <f>ROUND(AW245+AX245,2)</f>
        <v>0</v>
      </c>
      <c r="AW245" s="59">
        <f>ROUND(G245*AO245,2)</f>
        <v>0</v>
      </c>
      <c r="AX245" s="59">
        <f>ROUND(G245*AP245,2)</f>
        <v>0</v>
      </c>
      <c r="AY245" s="61" t="s">
        <v>329</v>
      </c>
      <c r="AZ245" s="61" t="s">
        <v>421</v>
      </c>
      <c r="BA245" s="46" t="s">
        <v>352</v>
      </c>
      <c r="BC245" s="59">
        <f>AW245+AX245</f>
        <v>0</v>
      </c>
      <c r="BD245" s="59">
        <f>H245/(100-BE245)*100</f>
        <v>0</v>
      </c>
      <c r="BE245" s="59">
        <v>0</v>
      </c>
      <c r="BF245" s="59">
        <f>L245</f>
        <v>0</v>
      </c>
      <c r="BH245" s="59">
        <f>G245*AO245</f>
        <v>0</v>
      </c>
      <c r="BI245" s="59">
        <f>G245*AP245</f>
        <v>0</v>
      </c>
      <c r="BJ245" s="59">
        <f>G245*H245</f>
        <v>0</v>
      </c>
      <c r="BK245" s="59"/>
      <c r="BL245" s="59"/>
      <c r="BW245" s="59">
        <v>12</v>
      </c>
      <c r="BX245" s="16" t="s">
        <v>337</v>
      </c>
    </row>
    <row r="246" spans="1:76" x14ac:dyDescent="0.25">
      <c r="A246" s="62"/>
      <c r="D246" s="63" t="s">
        <v>458</v>
      </c>
      <c r="E246" s="63"/>
      <c r="G246" s="64">
        <v>9.3000000000000007</v>
      </c>
      <c r="M246" s="65"/>
    </row>
    <row r="247" spans="1:76" ht="15" customHeight="1" x14ac:dyDescent="0.25">
      <c r="A247" s="58" t="s">
        <v>284</v>
      </c>
      <c r="B247" s="18" t="s">
        <v>349</v>
      </c>
      <c r="C247" s="18" t="s">
        <v>339</v>
      </c>
      <c r="D247" s="8" t="s">
        <v>340</v>
      </c>
      <c r="E247" s="8"/>
      <c r="F247" s="18" t="s">
        <v>224</v>
      </c>
      <c r="G247" s="59">
        <v>2.15</v>
      </c>
      <c r="H247" s="59">
        <v>0</v>
      </c>
      <c r="I247" s="59">
        <f>ROUND(G247*H247,2)</f>
        <v>0</v>
      </c>
      <c r="J247" s="59">
        <v>0</v>
      </c>
      <c r="K247" s="59">
        <v>0</v>
      </c>
      <c r="L247" s="59">
        <f>G247*K247</f>
        <v>0</v>
      </c>
      <c r="M247" s="60" t="s">
        <v>115</v>
      </c>
      <c r="Z247" s="59">
        <f>ROUND(IF(AQ247="5",BJ247,0),2)</f>
        <v>0</v>
      </c>
      <c r="AB247" s="59">
        <f>ROUND(IF(AQ247="1",BH247,0),2)</f>
        <v>0</v>
      </c>
      <c r="AC247" s="59">
        <f>ROUND(IF(AQ247="1",BI247,0),2)</f>
        <v>0</v>
      </c>
      <c r="AD247" s="59">
        <f>ROUND(IF(AQ247="7",BH247,0),2)</f>
        <v>0</v>
      </c>
      <c r="AE247" s="59">
        <f>ROUND(IF(AQ247="7",BI247,0),2)</f>
        <v>0</v>
      </c>
      <c r="AF247" s="59">
        <f>ROUND(IF(AQ247="2",BH247,0),2)</f>
        <v>0</v>
      </c>
      <c r="AG247" s="59">
        <f>ROUND(IF(AQ247="2",BI247,0),2)</f>
        <v>0</v>
      </c>
      <c r="AH247" s="59">
        <f>ROUND(IF(AQ247="0",BJ247,0),2)</f>
        <v>0</v>
      </c>
      <c r="AI247" s="46" t="s">
        <v>349</v>
      </c>
      <c r="AJ247" s="59">
        <f>IF(AN247=0,I247,0)</f>
        <v>0</v>
      </c>
      <c r="AK247" s="59">
        <f>IF(AN247=12,I247,0)</f>
        <v>0</v>
      </c>
      <c r="AL247" s="59">
        <f>IF(AN247=21,I247,0)</f>
        <v>0</v>
      </c>
      <c r="AN247" s="59">
        <v>12</v>
      </c>
      <c r="AO247" s="59">
        <f>H247*0</f>
        <v>0</v>
      </c>
      <c r="AP247" s="59">
        <f>H247*(1-0)</f>
        <v>0</v>
      </c>
      <c r="AQ247" s="61" t="s">
        <v>137</v>
      </c>
      <c r="AV247" s="59">
        <f>ROUND(AW247+AX247,2)</f>
        <v>0</v>
      </c>
      <c r="AW247" s="59">
        <f>ROUND(G247*AO247,2)</f>
        <v>0</v>
      </c>
      <c r="AX247" s="59">
        <f>ROUND(G247*AP247,2)</f>
        <v>0</v>
      </c>
      <c r="AY247" s="61" t="s">
        <v>329</v>
      </c>
      <c r="AZ247" s="61" t="s">
        <v>421</v>
      </c>
      <c r="BA247" s="46" t="s">
        <v>352</v>
      </c>
      <c r="BC247" s="59">
        <f>AW247+AX247</f>
        <v>0</v>
      </c>
      <c r="BD247" s="59">
        <f>H247/(100-BE247)*100</f>
        <v>0</v>
      </c>
      <c r="BE247" s="59">
        <v>0</v>
      </c>
      <c r="BF247" s="59">
        <f>L247</f>
        <v>0</v>
      </c>
      <c r="BH247" s="59">
        <f>G247*AO247</f>
        <v>0</v>
      </c>
      <c r="BI247" s="59">
        <f>G247*AP247</f>
        <v>0</v>
      </c>
      <c r="BJ247" s="59">
        <f>G247*H247</f>
        <v>0</v>
      </c>
      <c r="BK247" s="59"/>
      <c r="BL247" s="59"/>
      <c r="BW247" s="59">
        <v>12</v>
      </c>
      <c r="BX247" s="16" t="s">
        <v>340</v>
      </c>
    </row>
    <row r="248" spans="1:76" x14ac:dyDescent="0.25">
      <c r="A248" s="62"/>
      <c r="D248" s="63" t="s">
        <v>461</v>
      </c>
      <c r="E248" s="63"/>
      <c r="G248" s="64">
        <v>2.15</v>
      </c>
      <c r="M248" s="65"/>
    </row>
    <row r="249" spans="1:76" ht="24" customHeight="1" x14ac:dyDescent="0.25">
      <c r="A249" s="58" t="s">
        <v>290</v>
      </c>
      <c r="B249" s="18" t="s">
        <v>349</v>
      </c>
      <c r="C249" s="18" t="s">
        <v>343</v>
      </c>
      <c r="D249" s="8" t="s">
        <v>344</v>
      </c>
      <c r="E249" s="8"/>
      <c r="F249" s="18" t="s">
        <v>224</v>
      </c>
      <c r="G249" s="59">
        <v>6.93</v>
      </c>
      <c r="H249" s="59">
        <v>0</v>
      </c>
      <c r="I249" s="59">
        <f>ROUND(G249*H249,2)</f>
        <v>0</v>
      </c>
      <c r="J249" s="59">
        <v>0</v>
      </c>
      <c r="K249" s="59">
        <v>0</v>
      </c>
      <c r="L249" s="59">
        <f>G249*K249</f>
        <v>0</v>
      </c>
      <c r="M249" s="60" t="s">
        <v>115</v>
      </c>
      <c r="Z249" s="59">
        <f>ROUND(IF(AQ249="5",BJ249,0),2)</f>
        <v>0</v>
      </c>
      <c r="AB249" s="59">
        <f>ROUND(IF(AQ249="1",BH249,0),2)</f>
        <v>0</v>
      </c>
      <c r="AC249" s="59">
        <f>ROUND(IF(AQ249="1",BI249,0),2)</f>
        <v>0</v>
      </c>
      <c r="AD249" s="59">
        <f>ROUND(IF(AQ249="7",BH249,0),2)</f>
        <v>0</v>
      </c>
      <c r="AE249" s="59">
        <f>ROUND(IF(AQ249="7",BI249,0),2)</f>
        <v>0</v>
      </c>
      <c r="AF249" s="59">
        <f>ROUND(IF(AQ249="2",BH249,0),2)</f>
        <v>0</v>
      </c>
      <c r="AG249" s="59">
        <f>ROUND(IF(AQ249="2",BI249,0),2)</f>
        <v>0</v>
      </c>
      <c r="AH249" s="59">
        <f>ROUND(IF(AQ249="0",BJ249,0),2)</f>
        <v>0</v>
      </c>
      <c r="AI249" s="46" t="s">
        <v>349</v>
      </c>
      <c r="AJ249" s="59">
        <f>IF(AN249=0,I249,0)</f>
        <v>0</v>
      </c>
      <c r="AK249" s="59">
        <f>IF(AN249=12,I249,0)</f>
        <v>0</v>
      </c>
      <c r="AL249" s="59">
        <f>IF(AN249=21,I249,0)</f>
        <v>0</v>
      </c>
      <c r="AN249" s="59">
        <v>12</v>
      </c>
      <c r="AO249" s="59">
        <f>H249*0</f>
        <v>0</v>
      </c>
      <c r="AP249" s="59">
        <f>H249*(1-0)</f>
        <v>0</v>
      </c>
      <c r="AQ249" s="61" t="s">
        <v>137</v>
      </c>
      <c r="AV249" s="59">
        <f>ROUND(AW249+AX249,2)</f>
        <v>0</v>
      </c>
      <c r="AW249" s="59">
        <f>ROUND(G249*AO249,2)</f>
        <v>0</v>
      </c>
      <c r="AX249" s="59">
        <f>ROUND(G249*AP249,2)</f>
        <v>0</v>
      </c>
      <c r="AY249" s="61" t="s">
        <v>329</v>
      </c>
      <c r="AZ249" s="61" t="s">
        <v>421</v>
      </c>
      <c r="BA249" s="46" t="s">
        <v>352</v>
      </c>
      <c r="BC249" s="59">
        <f>AW249+AX249</f>
        <v>0</v>
      </c>
      <c r="BD249" s="59">
        <f>H249/(100-BE249)*100</f>
        <v>0</v>
      </c>
      <c r="BE249" s="59">
        <v>0</v>
      </c>
      <c r="BF249" s="59">
        <f>L249</f>
        <v>0</v>
      </c>
      <c r="BH249" s="59">
        <f>G249*AO249</f>
        <v>0</v>
      </c>
      <c r="BI249" s="59">
        <f>G249*AP249</f>
        <v>0</v>
      </c>
      <c r="BJ249" s="59">
        <f>G249*H249</f>
        <v>0</v>
      </c>
      <c r="BK249" s="59"/>
      <c r="BL249" s="59"/>
      <c r="BW249" s="59">
        <v>12</v>
      </c>
      <c r="BX249" s="16" t="s">
        <v>344</v>
      </c>
    </row>
    <row r="250" spans="1:76" x14ac:dyDescent="0.25">
      <c r="A250" s="62"/>
      <c r="D250" s="63" t="s">
        <v>463</v>
      </c>
      <c r="E250" s="63"/>
      <c r="G250" s="64">
        <v>6.93</v>
      </c>
      <c r="M250" s="65"/>
    </row>
    <row r="251" spans="1:76" ht="15" customHeight="1" x14ac:dyDescent="0.25">
      <c r="A251" s="58" t="s">
        <v>312</v>
      </c>
      <c r="B251" s="18" t="s">
        <v>349</v>
      </c>
      <c r="C251" s="18" t="s">
        <v>465</v>
      </c>
      <c r="D251" s="8" t="s">
        <v>466</v>
      </c>
      <c r="E251" s="8"/>
      <c r="F251" s="18" t="s">
        <v>224</v>
      </c>
      <c r="G251" s="59">
        <v>0.22</v>
      </c>
      <c r="H251" s="59">
        <v>0</v>
      </c>
      <c r="I251" s="59">
        <f>ROUND(G251*H251,2)</f>
        <v>0</v>
      </c>
      <c r="J251" s="59">
        <v>0</v>
      </c>
      <c r="K251" s="59">
        <v>0</v>
      </c>
      <c r="L251" s="59">
        <f>G251*K251</f>
        <v>0</v>
      </c>
      <c r="M251" s="60" t="s">
        <v>115</v>
      </c>
      <c r="Z251" s="59">
        <f>ROUND(IF(AQ251="5",BJ251,0),2)</f>
        <v>0</v>
      </c>
      <c r="AB251" s="59">
        <f>ROUND(IF(AQ251="1",BH251,0),2)</f>
        <v>0</v>
      </c>
      <c r="AC251" s="59">
        <f>ROUND(IF(AQ251="1",BI251,0),2)</f>
        <v>0</v>
      </c>
      <c r="AD251" s="59">
        <f>ROUND(IF(AQ251="7",BH251,0),2)</f>
        <v>0</v>
      </c>
      <c r="AE251" s="59">
        <f>ROUND(IF(AQ251="7",BI251,0),2)</f>
        <v>0</v>
      </c>
      <c r="AF251" s="59">
        <f>ROUND(IF(AQ251="2",BH251,0),2)</f>
        <v>0</v>
      </c>
      <c r="AG251" s="59">
        <f>ROUND(IF(AQ251="2",BI251,0),2)</f>
        <v>0</v>
      </c>
      <c r="AH251" s="59">
        <f>ROUND(IF(AQ251="0",BJ251,0),2)</f>
        <v>0</v>
      </c>
      <c r="AI251" s="46" t="s">
        <v>349</v>
      </c>
      <c r="AJ251" s="59">
        <f>IF(AN251=0,I251,0)</f>
        <v>0</v>
      </c>
      <c r="AK251" s="59">
        <f>IF(AN251=12,I251,0)</f>
        <v>0</v>
      </c>
      <c r="AL251" s="59">
        <f>IF(AN251=21,I251,0)</f>
        <v>0</v>
      </c>
      <c r="AN251" s="59">
        <v>12</v>
      </c>
      <c r="AO251" s="59">
        <f>H251*0</f>
        <v>0</v>
      </c>
      <c r="AP251" s="59">
        <f>H251*(1-0)</f>
        <v>0</v>
      </c>
      <c r="AQ251" s="61" t="s">
        <v>137</v>
      </c>
      <c r="AV251" s="59">
        <f>ROUND(AW251+AX251,2)</f>
        <v>0</v>
      </c>
      <c r="AW251" s="59">
        <f>ROUND(G251*AO251,2)</f>
        <v>0</v>
      </c>
      <c r="AX251" s="59">
        <f>ROUND(G251*AP251,2)</f>
        <v>0</v>
      </c>
      <c r="AY251" s="61" t="s">
        <v>329</v>
      </c>
      <c r="AZ251" s="61" t="s">
        <v>421</v>
      </c>
      <c r="BA251" s="46" t="s">
        <v>352</v>
      </c>
      <c r="BC251" s="59">
        <f>AW251+AX251</f>
        <v>0</v>
      </c>
      <c r="BD251" s="59">
        <f>H251/(100-BE251)*100</f>
        <v>0</v>
      </c>
      <c r="BE251" s="59">
        <v>0</v>
      </c>
      <c r="BF251" s="59">
        <f>L251</f>
        <v>0</v>
      </c>
      <c r="BH251" s="59">
        <f>G251*AO251</f>
        <v>0</v>
      </c>
      <c r="BI251" s="59">
        <f>G251*AP251</f>
        <v>0</v>
      </c>
      <c r="BJ251" s="59">
        <f>G251*H251</f>
        <v>0</v>
      </c>
      <c r="BK251" s="59"/>
      <c r="BL251" s="59"/>
      <c r="BW251" s="59">
        <v>12</v>
      </c>
      <c r="BX251" s="16" t="s">
        <v>466</v>
      </c>
    </row>
    <row r="252" spans="1:76" x14ac:dyDescent="0.25">
      <c r="A252" s="62"/>
      <c r="D252" s="63" t="s">
        <v>467</v>
      </c>
      <c r="E252" s="63"/>
      <c r="G252" s="64">
        <v>0.22</v>
      </c>
      <c r="M252" s="65"/>
    </row>
    <row r="253" spans="1:76" ht="15" customHeight="1" x14ac:dyDescent="0.25">
      <c r="A253" s="54"/>
      <c r="B253" s="55" t="s">
        <v>471</v>
      </c>
      <c r="C253" s="55"/>
      <c r="D253" s="104" t="s">
        <v>472</v>
      </c>
      <c r="E253" s="104"/>
      <c r="F253" s="56" t="s">
        <v>88</v>
      </c>
      <c r="G253" s="56" t="s">
        <v>88</v>
      </c>
      <c r="H253" s="56" t="s">
        <v>88</v>
      </c>
      <c r="I253" s="39">
        <f>I254+I259+I266+I273+I282+I285+I292+I301+I315+I318+I329+I336+I339+I346+I351+I354+I370+I373+I375</f>
        <v>0</v>
      </c>
      <c r="J253" s="46"/>
      <c r="K253" s="46"/>
      <c r="L253" s="39">
        <f>L254+L259+L266+L273+L282+L285+L292+L301+L315+L318+L329+L336+L339+L346+L351+L354+L370+L373+L375</f>
        <v>16.62477926</v>
      </c>
      <c r="M253" s="57"/>
    </row>
    <row r="254" spans="1:76" ht="15" customHeight="1" x14ac:dyDescent="0.25">
      <c r="A254" s="54"/>
      <c r="B254" s="55" t="s">
        <v>471</v>
      </c>
      <c r="C254" s="55" t="s">
        <v>109</v>
      </c>
      <c r="D254" s="104" t="s">
        <v>110</v>
      </c>
      <c r="E254" s="104"/>
      <c r="F254" s="56" t="s">
        <v>88</v>
      </c>
      <c r="G254" s="56" t="s">
        <v>88</v>
      </c>
      <c r="H254" s="56" t="s">
        <v>88</v>
      </c>
      <c r="I254" s="39">
        <f>SUM(I255:I257)</f>
        <v>0</v>
      </c>
      <c r="J254" s="46"/>
      <c r="K254" s="46"/>
      <c r="L254" s="39">
        <f>SUM(L255:L257)</f>
        <v>0.14842520000000001</v>
      </c>
      <c r="M254" s="57"/>
      <c r="AI254" s="46" t="s">
        <v>471</v>
      </c>
      <c r="AS254" s="39">
        <f>SUM(AJ255:AJ257)</f>
        <v>0</v>
      </c>
      <c r="AT254" s="39">
        <f>SUM(AK255:AK257)</f>
        <v>0</v>
      </c>
      <c r="AU254" s="39">
        <f>SUM(AL255:AL257)</f>
        <v>0</v>
      </c>
    </row>
    <row r="255" spans="1:76" ht="15" customHeight="1" x14ac:dyDescent="0.25">
      <c r="A255" s="58" t="s">
        <v>560</v>
      </c>
      <c r="B255" s="18" t="s">
        <v>471</v>
      </c>
      <c r="C255" s="18" t="s">
        <v>112</v>
      </c>
      <c r="D255" s="8" t="s">
        <v>113</v>
      </c>
      <c r="E255" s="8"/>
      <c r="F255" s="18" t="s">
        <v>114</v>
      </c>
      <c r="G255" s="59">
        <v>26.84</v>
      </c>
      <c r="H255" s="59">
        <v>0</v>
      </c>
      <c r="I255" s="59">
        <f>ROUND(G255*H255,2)</f>
        <v>0</v>
      </c>
      <c r="J255" s="59">
        <v>4.5900000000000003E-3</v>
      </c>
      <c r="K255" s="59">
        <v>4.5900000000000003E-3</v>
      </c>
      <c r="L255" s="59">
        <f>G255*K255</f>
        <v>0.1231956</v>
      </c>
      <c r="M255" s="60" t="s">
        <v>115</v>
      </c>
      <c r="Z255" s="59">
        <f>ROUND(IF(AQ255="5",BJ255,0),2)</f>
        <v>0</v>
      </c>
      <c r="AB255" s="59">
        <f>ROUND(IF(AQ255="1",BH255,0),2)</f>
        <v>0</v>
      </c>
      <c r="AC255" s="59">
        <f>ROUND(IF(AQ255="1",BI255,0),2)</f>
        <v>0</v>
      </c>
      <c r="AD255" s="59">
        <f>ROUND(IF(AQ255="7",BH255,0),2)</f>
        <v>0</v>
      </c>
      <c r="AE255" s="59">
        <f>ROUND(IF(AQ255="7",BI255,0),2)</f>
        <v>0</v>
      </c>
      <c r="AF255" s="59">
        <f>ROUND(IF(AQ255="2",BH255,0),2)</f>
        <v>0</v>
      </c>
      <c r="AG255" s="59">
        <f>ROUND(IF(AQ255="2",BI255,0),2)</f>
        <v>0</v>
      </c>
      <c r="AH255" s="59">
        <f>ROUND(IF(AQ255="0",BJ255,0),2)</f>
        <v>0</v>
      </c>
      <c r="AI255" s="46" t="s">
        <v>471</v>
      </c>
      <c r="AJ255" s="59">
        <f>IF(AN255=0,I255,0)</f>
        <v>0</v>
      </c>
      <c r="AK255" s="59">
        <f>IF(AN255=12,I255,0)</f>
        <v>0</v>
      </c>
      <c r="AL255" s="59">
        <f>IF(AN255=21,I255,0)</f>
        <v>0</v>
      </c>
      <c r="AN255" s="59">
        <v>12</v>
      </c>
      <c r="AO255" s="59">
        <f>H255*0.151837697</f>
        <v>0</v>
      </c>
      <c r="AP255" s="59">
        <f>H255*(1-0.151837697)</f>
        <v>0</v>
      </c>
      <c r="AQ255" s="61" t="s">
        <v>111</v>
      </c>
      <c r="AV255" s="59">
        <f>ROUND(AW255+AX255,2)</f>
        <v>0</v>
      </c>
      <c r="AW255" s="59">
        <f>ROUND(G255*AO255,2)</f>
        <v>0</v>
      </c>
      <c r="AX255" s="59">
        <f>ROUND(G255*AP255,2)</f>
        <v>0</v>
      </c>
      <c r="AY255" s="61" t="s">
        <v>116</v>
      </c>
      <c r="AZ255" s="61" t="s">
        <v>473</v>
      </c>
      <c r="BA255" s="46" t="s">
        <v>474</v>
      </c>
      <c r="BC255" s="59">
        <f>AW255+AX255</f>
        <v>0</v>
      </c>
      <c r="BD255" s="59">
        <f>H255/(100-BE255)*100</f>
        <v>0</v>
      </c>
      <c r="BE255" s="59">
        <v>0</v>
      </c>
      <c r="BF255" s="59">
        <f>L255</f>
        <v>0.1231956</v>
      </c>
      <c r="BH255" s="59">
        <f>G255*AO255</f>
        <v>0</v>
      </c>
      <c r="BI255" s="59">
        <f>G255*AP255</f>
        <v>0</v>
      </c>
      <c r="BJ255" s="59">
        <f>G255*H255</f>
        <v>0</v>
      </c>
      <c r="BK255" s="59"/>
      <c r="BL255" s="59">
        <v>60</v>
      </c>
      <c r="BW255" s="59">
        <v>12</v>
      </c>
      <c r="BX255" s="16" t="s">
        <v>113</v>
      </c>
    </row>
    <row r="256" spans="1:76" x14ac:dyDescent="0.25">
      <c r="A256" s="62"/>
      <c r="D256" s="63" t="s">
        <v>120</v>
      </c>
      <c r="E256" s="63"/>
      <c r="G256" s="64">
        <v>26.84</v>
      </c>
      <c r="M256" s="65"/>
    </row>
    <row r="257" spans="1:76" ht="15" customHeight="1" x14ac:dyDescent="0.25">
      <c r="A257" s="58" t="s">
        <v>561</v>
      </c>
      <c r="B257" s="18" t="s">
        <v>471</v>
      </c>
      <c r="C257" s="18" t="s">
        <v>122</v>
      </c>
      <c r="D257" s="8" t="s">
        <v>123</v>
      </c>
      <c r="E257" s="8"/>
      <c r="F257" s="18" t="s">
        <v>114</v>
      </c>
      <c r="G257" s="59">
        <v>53.68</v>
      </c>
      <c r="H257" s="59">
        <v>0</v>
      </c>
      <c r="I257" s="59">
        <f>ROUND(G257*H257,2)</f>
        <v>0</v>
      </c>
      <c r="J257" s="59">
        <v>4.6999999999999999E-4</v>
      </c>
      <c r="K257" s="59">
        <v>4.6999999999999999E-4</v>
      </c>
      <c r="L257" s="59">
        <f>G257*K257</f>
        <v>2.5229599999999998E-2</v>
      </c>
      <c r="M257" s="60" t="s">
        <v>115</v>
      </c>
      <c r="Z257" s="59">
        <f>ROUND(IF(AQ257="5",BJ257,0),2)</f>
        <v>0</v>
      </c>
      <c r="AB257" s="59">
        <f>ROUND(IF(AQ257="1",BH257,0),2)</f>
        <v>0</v>
      </c>
      <c r="AC257" s="59">
        <f>ROUND(IF(AQ257="1",BI257,0),2)</f>
        <v>0</v>
      </c>
      <c r="AD257" s="59">
        <f>ROUND(IF(AQ257="7",BH257,0),2)</f>
        <v>0</v>
      </c>
      <c r="AE257" s="59">
        <f>ROUND(IF(AQ257="7",BI257,0),2)</f>
        <v>0</v>
      </c>
      <c r="AF257" s="59">
        <f>ROUND(IF(AQ257="2",BH257,0),2)</f>
        <v>0</v>
      </c>
      <c r="AG257" s="59">
        <f>ROUND(IF(AQ257="2",BI257,0),2)</f>
        <v>0</v>
      </c>
      <c r="AH257" s="59">
        <f>ROUND(IF(AQ257="0",BJ257,0),2)</f>
        <v>0</v>
      </c>
      <c r="AI257" s="46" t="s">
        <v>471</v>
      </c>
      <c r="AJ257" s="59">
        <f>IF(AN257=0,I257,0)</f>
        <v>0</v>
      </c>
      <c r="AK257" s="59">
        <f>IF(AN257=12,I257,0)</f>
        <v>0</v>
      </c>
      <c r="AL257" s="59">
        <f>IF(AN257=21,I257,0)</f>
        <v>0</v>
      </c>
      <c r="AN257" s="59">
        <v>12</v>
      </c>
      <c r="AO257" s="59">
        <f>H257*0.50964582</f>
        <v>0</v>
      </c>
      <c r="AP257" s="59">
        <f>H257*(1-0.50964582)</f>
        <v>0</v>
      </c>
      <c r="AQ257" s="61" t="s">
        <v>111</v>
      </c>
      <c r="AV257" s="59">
        <f>ROUND(AW257+AX257,2)</f>
        <v>0</v>
      </c>
      <c r="AW257" s="59">
        <f>ROUND(G257*AO257,2)</f>
        <v>0</v>
      </c>
      <c r="AX257" s="59">
        <f>ROUND(G257*AP257,2)</f>
        <v>0</v>
      </c>
      <c r="AY257" s="61" t="s">
        <v>116</v>
      </c>
      <c r="AZ257" s="61" t="s">
        <v>473</v>
      </c>
      <c r="BA257" s="46" t="s">
        <v>474</v>
      </c>
      <c r="BC257" s="59">
        <f>AW257+AX257</f>
        <v>0</v>
      </c>
      <c r="BD257" s="59">
        <f>H257/(100-BE257)*100</f>
        <v>0</v>
      </c>
      <c r="BE257" s="59">
        <v>0</v>
      </c>
      <c r="BF257" s="59">
        <f>L257</f>
        <v>2.5229599999999998E-2</v>
      </c>
      <c r="BH257" s="59">
        <f>G257*AO257</f>
        <v>0</v>
      </c>
      <c r="BI257" s="59">
        <f>G257*AP257</f>
        <v>0</v>
      </c>
      <c r="BJ257" s="59">
        <f>G257*H257</f>
        <v>0</v>
      </c>
      <c r="BK257" s="59"/>
      <c r="BL257" s="59">
        <v>60</v>
      </c>
      <c r="BW257" s="59">
        <v>12</v>
      </c>
      <c r="BX257" s="16" t="s">
        <v>123</v>
      </c>
    </row>
    <row r="258" spans="1:76" x14ac:dyDescent="0.25">
      <c r="A258" s="62"/>
      <c r="D258" s="63" t="s">
        <v>124</v>
      </c>
      <c r="E258" s="63"/>
      <c r="G258" s="64">
        <v>53.68</v>
      </c>
      <c r="M258" s="65"/>
    </row>
    <row r="259" spans="1:76" ht="15" customHeight="1" x14ac:dyDescent="0.25">
      <c r="A259" s="54"/>
      <c r="B259" s="55" t="s">
        <v>471</v>
      </c>
      <c r="C259" s="55" t="s">
        <v>125</v>
      </c>
      <c r="D259" s="104" t="s">
        <v>126</v>
      </c>
      <c r="E259" s="104"/>
      <c r="F259" s="56" t="s">
        <v>88</v>
      </c>
      <c r="G259" s="56" t="s">
        <v>88</v>
      </c>
      <c r="H259" s="56" t="s">
        <v>88</v>
      </c>
      <c r="I259" s="39">
        <f>SUM(I260:I264)</f>
        <v>0</v>
      </c>
      <c r="J259" s="46"/>
      <c r="K259" s="46"/>
      <c r="L259" s="39">
        <f>SUM(L260:L264)</f>
        <v>0.94391039999999993</v>
      </c>
      <c r="M259" s="57"/>
      <c r="AI259" s="46" t="s">
        <v>471</v>
      </c>
      <c r="AS259" s="39">
        <f>SUM(AJ260:AJ264)</f>
        <v>0</v>
      </c>
      <c r="AT259" s="39">
        <f>SUM(AK260:AK264)</f>
        <v>0</v>
      </c>
      <c r="AU259" s="39">
        <f>SUM(AL260:AL264)</f>
        <v>0</v>
      </c>
    </row>
    <row r="260" spans="1:76" ht="15" customHeight="1" x14ac:dyDescent="0.25">
      <c r="A260" s="58" t="s">
        <v>562</v>
      </c>
      <c r="B260" s="18" t="s">
        <v>471</v>
      </c>
      <c r="C260" s="18" t="s">
        <v>128</v>
      </c>
      <c r="D260" s="8" t="s">
        <v>129</v>
      </c>
      <c r="E260" s="8"/>
      <c r="F260" s="18" t="s">
        <v>114</v>
      </c>
      <c r="G260" s="59">
        <v>26.04</v>
      </c>
      <c r="H260" s="59">
        <v>0</v>
      </c>
      <c r="I260" s="59">
        <f>ROUND(G260*H260,2)</f>
        <v>0</v>
      </c>
      <c r="J260" s="59">
        <v>3.5659999999999997E-2</v>
      </c>
      <c r="K260" s="59">
        <v>3.5659999999999997E-2</v>
      </c>
      <c r="L260" s="59">
        <f>G260*K260</f>
        <v>0.92858639999999992</v>
      </c>
      <c r="M260" s="60" t="s">
        <v>115</v>
      </c>
      <c r="Z260" s="59">
        <f>ROUND(IF(AQ260="5",BJ260,0),2)</f>
        <v>0</v>
      </c>
      <c r="AB260" s="59">
        <f>ROUND(IF(AQ260="1",BH260,0),2)</f>
        <v>0</v>
      </c>
      <c r="AC260" s="59">
        <f>ROUND(IF(AQ260="1",BI260,0),2)</f>
        <v>0</v>
      </c>
      <c r="AD260" s="59">
        <f>ROUND(IF(AQ260="7",BH260,0),2)</f>
        <v>0</v>
      </c>
      <c r="AE260" s="59">
        <f>ROUND(IF(AQ260="7",BI260,0),2)</f>
        <v>0</v>
      </c>
      <c r="AF260" s="59">
        <f>ROUND(IF(AQ260="2",BH260,0),2)</f>
        <v>0</v>
      </c>
      <c r="AG260" s="59">
        <f>ROUND(IF(AQ260="2",BI260,0),2)</f>
        <v>0</v>
      </c>
      <c r="AH260" s="59">
        <f>ROUND(IF(AQ260="0",BJ260,0),2)</f>
        <v>0</v>
      </c>
      <c r="AI260" s="46" t="s">
        <v>471</v>
      </c>
      <c r="AJ260" s="59">
        <f>IF(AN260=0,I260,0)</f>
        <v>0</v>
      </c>
      <c r="AK260" s="59">
        <f>IF(AN260=12,I260,0)</f>
        <v>0</v>
      </c>
      <c r="AL260" s="59">
        <f>IF(AN260=21,I260,0)</f>
        <v>0</v>
      </c>
      <c r="AN260" s="59">
        <v>12</v>
      </c>
      <c r="AO260" s="59">
        <f>H260*0.283684158</f>
        <v>0</v>
      </c>
      <c r="AP260" s="59">
        <f>H260*(1-0.283684158)</f>
        <v>0</v>
      </c>
      <c r="AQ260" s="61" t="s">
        <v>111</v>
      </c>
      <c r="AV260" s="59">
        <f>ROUND(AW260+AX260,2)</f>
        <v>0</v>
      </c>
      <c r="AW260" s="59">
        <f>ROUND(G260*AO260,2)</f>
        <v>0</v>
      </c>
      <c r="AX260" s="59">
        <f>ROUND(G260*AP260,2)</f>
        <v>0</v>
      </c>
      <c r="AY260" s="61" t="s">
        <v>130</v>
      </c>
      <c r="AZ260" s="61" t="s">
        <v>473</v>
      </c>
      <c r="BA260" s="46" t="s">
        <v>474</v>
      </c>
      <c r="BC260" s="59">
        <f>AW260+AX260</f>
        <v>0</v>
      </c>
      <c r="BD260" s="59">
        <f>H260/(100-BE260)*100</f>
        <v>0</v>
      </c>
      <c r="BE260" s="59">
        <v>0</v>
      </c>
      <c r="BF260" s="59">
        <f>L260</f>
        <v>0.92858639999999992</v>
      </c>
      <c r="BH260" s="59">
        <f>G260*AO260</f>
        <v>0</v>
      </c>
      <c r="BI260" s="59">
        <f>G260*AP260</f>
        <v>0</v>
      </c>
      <c r="BJ260" s="59">
        <f>G260*H260</f>
        <v>0</v>
      </c>
      <c r="BK260" s="59"/>
      <c r="BL260" s="59">
        <v>61</v>
      </c>
      <c r="BW260" s="59">
        <v>12</v>
      </c>
      <c r="BX260" s="16" t="s">
        <v>129</v>
      </c>
    </row>
    <row r="261" spans="1:76" x14ac:dyDescent="0.25">
      <c r="A261" s="62"/>
      <c r="D261" s="63" t="s">
        <v>353</v>
      </c>
      <c r="E261" s="63"/>
      <c r="G261" s="64">
        <v>26.04</v>
      </c>
      <c r="M261" s="65"/>
    </row>
    <row r="262" spans="1:76" ht="15" customHeight="1" x14ac:dyDescent="0.25">
      <c r="A262" s="58" t="s">
        <v>563</v>
      </c>
      <c r="B262" s="18" t="s">
        <v>471</v>
      </c>
      <c r="C262" s="18" t="s">
        <v>134</v>
      </c>
      <c r="D262" s="8" t="s">
        <v>135</v>
      </c>
      <c r="E262" s="8"/>
      <c r="F262" s="18" t="s">
        <v>114</v>
      </c>
      <c r="G262" s="59">
        <v>57.6</v>
      </c>
      <c r="H262" s="59">
        <v>0</v>
      </c>
      <c r="I262" s="59">
        <f>ROUND(G262*H262,2)</f>
        <v>0</v>
      </c>
      <c r="J262" s="59">
        <v>4.0000000000000003E-5</v>
      </c>
      <c r="K262" s="59">
        <v>4.0000000000000003E-5</v>
      </c>
      <c r="L262" s="59">
        <f>G262*K262</f>
        <v>2.3040000000000001E-3</v>
      </c>
      <c r="M262" s="60" t="s">
        <v>115</v>
      </c>
      <c r="Z262" s="59">
        <f>ROUND(IF(AQ262="5",BJ262,0),2)</f>
        <v>0</v>
      </c>
      <c r="AB262" s="59">
        <f>ROUND(IF(AQ262="1",BH262,0),2)</f>
        <v>0</v>
      </c>
      <c r="AC262" s="59">
        <f>ROUND(IF(AQ262="1",BI262,0),2)</f>
        <v>0</v>
      </c>
      <c r="AD262" s="59">
        <f>ROUND(IF(AQ262="7",BH262,0),2)</f>
        <v>0</v>
      </c>
      <c r="AE262" s="59">
        <f>ROUND(IF(AQ262="7",BI262,0),2)</f>
        <v>0</v>
      </c>
      <c r="AF262" s="59">
        <f>ROUND(IF(AQ262="2",BH262,0),2)</f>
        <v>0</v>
      </c>
      <c r="AG262" s="59">
        <f>ROUND(IF(AQ262="2",BI262,0),2)</f>
        <v>0</v>
      </c>
      <c r="AH262" s="59">
        <f>ROUND(IF(AQ262="0",BJ262,0),2)</f>
        <v>0</v>
      </c>
      <c r="AI262" s="46" t="s">
        <v>471</v>
      </c>
      <c r="AJ262" s="59">
        <f>IF(AN262=0,I262,0)</f>
        <v>0</v>
      </c>
      <c r="AK262" s="59">
        <f>IF(AN262=12,I262,0)</f>
        <v>0</v>
      </c>
      <c r="AL262" s="59">
        <f>IF(AN262=21,I262,0)</f>
        <v>0</v>
      </c>
      <c r="AN262" s="59">
        <v>12</v>
      </c>
      <c r="AO262" s="59">
        <f>H262*0.267961277</f>
        <v>0</v>
      </c>
      <c r="AP262" s="59">
        <f>H262*(1-0.267961277)</f>
        <v>0</v>
      </c>
      <c r="AQ262" s="61" t="s">
        <v>111</v>
      </c>
      <c r="AV262" s="59">
        <f>ROUND(AW262+AX262,2)</f>
        <v>0</v>
      </c>
      <c r="AW262" s="59">
        <f>ROUND(G262*AO262,2)</f>
        <v>0</v>
      </c>
      <c r="AX262" s="59">
        <f>ROUND(G262*AP262,2)</f>
        <v>0</v>
      </c>
      <c r="AY262" s="61" t="s">
        <v>130</v>
      </c>
      <c r="AZ262" s="61" t="s">
        <v>473</v>
      </c>
      <c r="BA262" s="46" t="s">
        <v>474</v>
      </c>
      <c r="BC262" s="59">
        <f>AW262+AX262</f>
        <v>0</v>
      </c>
      <c r="BD262" s="59">
        <f>H262/(100-BE262)*100</f>
        <v>0</v>
      </c>
      <c r="BE262" s="59">
        <v>0</v>
      </c>
      <c r="BF262" s="59">
        <f>L262</f>
        <v>2.3040000000000001E-3</v>
      </c>
      <c r="BH262" s="59">
        <f>G262*AO262</f>
        <v>0</v>
      </c>
      <c r="BI262" s="59">
        <f>G262*AP262</f>
        <v>0</v>
      </c>
      <c r="BJ262" s="59">
        <f>G262*H262</f>
        <v>0</v>
      </c>
      <c r="BK262" s="59"/>
      <c r="BL262" s="59">
        <v>61</v>
      </c>
      <c r="BW262" s="59">
        <v>12</v>
      </c>
      <c r="BX262" s="16" t="s">
        <v>135</v>
      </c>
    </row>
    <row r="263" spans="1:76" x14ac:dyDescent="0.25">
      <c r="A263" s="62"/>
      <c r="D263" s="63" t="s">
        <v>354</v>
      </c>
      <c r="E263" s="63"/>
      <c r="G263" s="64">
        <v>57.6</v>
      </c>
      <c r="M263" s="65"/>
    </row>
    <row r="264" spans="1:76" ht="15" customHeight="1" x14ac:dyDescent="0.25">
      <c r="A264" s="58" t="s">
        <v>564</v>
      </c>
      <c r="B264" s="18" t="s">
        <v>471</v>
      </c>
      <c r="C264" s="18" t="s">
        <v>138</v>
      </c>
      <c r="D264" s="8" t="s">
        <v>139</v>
      </c>
      <c r="E264" s="8"/>
      <c r="F264" s="18" t="s">
        <v>140</v>
      </c>
      <c r="G264" s="59">
        <v>130.19999999999999</v>
      </c>
      <c r="H264" s="59">
        <v>0</v>
      </c>
      <c r="I264" s="59">
        <f>ROUND(G264*H264,2)</f>
        <v>0</v>
      </c>
      <c r="J264" s="59">
        <v>1E-4</v>
      </c>
      <c r="K264" s="59">
        <v>1E-4</v>
      </c>
      <c r="L264" s="59">
        <f>G264*K264</f>
        <v>1.302E-2</v>
      </c>
      <c r="M264" s="60" t="s">
        <v>115</v>
      </c>
      <c r="Z264" s="59">
        <f>ROUND(IF(AQ264="5",BJ264,0),2)</f>
        <v>0</v>
      </c>
      <c r="AB264" s="59">
        <f>ROUND(IF(AQ264="1",BH264,0),2)</f>
        <v>0</v>
      </c>
      <c r="AC264" s="59">
        <f>ROUND(IF(AQ264="1",BI264,0),2)</f>
        <v>0</v>
      </c>
      <c r="AD264" s="59">
        <f>ROUND(IF(AQ264="7",BH264,0),2)</f>
        <v>0</v>
      </c>
      <c r="AE264" s="59">
        <f>ROUND(IF(AQ264="7",BI264,0),2)</f>
        <v>0</v>
      </c>
      <c r="AF264" s="59">
        <f>ROUND(IF(AQ264="2",BH264,0),2)</f>
        <v>0</v>
      </c>
      <c r="AG264" s="59">
        <f>ROUND(IF(AQ264="2",BI264,0),2)</f>
        <v>0</v>
      </c>
      <c r="AH264" s="59">
        <f>ROUND(IF(AQ264="0",BJ264,0),2)</f>
        <v>0</v>
      </c>
      <c r="AI264" s="46" t="s">
        <v>471</v>
      </c>
      <c r="AJ264" s="59">
        <f>IF(AN264=0,I264,0)</f>
        <v>0</v>
      </c>
      <c r="AK264" s="59">
        <f>IF(AN264=12,I264,0)</f>
        <v>0</v>
      </c>
      <c r="AL264" s="59">
        <f>IF(AN264=21,I264,0)</f>
        <v>0</v>
      </c>
      <c r="AN264" s="59">
        <v>12</v>
      </c>
      <c r="AO264" s="59">
        <f>H264*0.367459416</f>
        <v>0</v>
      </c>
      <c r="AP264" s="59">
        <f>H264*(1-0.367459416)</f>
        <v>0</v>
      </c>
      <c r="AQ264" s="61" t="s">
        <v>111</v>
      </c>
      <c r="AV264" s="59">
        <f>ROUND(AW264+AX264,2)</f>
        <v>0</v>
      </c>
      <c r="AW264" s="59">
        <f>ROUND(G264*AO264,2)</f>
        <v>0</v>
      </c>
      <c r="AX264" s="59">
        <f>ROUND(G264*AP264,2)</f>
        <v>0</v>
      </c>
      <c r="AY264" s="61" t="s">
        <v>130</v>
      </c>
      <c r="AZ264" s="61" t="s">
        <v>473</v>
      </c>
      <c r="BA264" s="46" t="s">
        <v>474</v>
      </c>
      <c r="BC264" s="59">
        <f>AW264+AX264</f>
        <v>0</v>
      </c>
      <c r="BD264" s="59">
        <f>H264/(100-BE264)*100</f>
        <v>0</v>
      </c>
      <c r="BE264" s="59">
        <v>0</v>
      </c>
      <c r="BF264" s="59">
        <f>L264</f>
        <v>1.302E-2</v>
      </c>
      <c r="BH264" s="59">
        <f>G264*AO264</f>
        <v>0</v>
      </c>
      <c r="BI264" s="59">
        <f>G264*AP264</f>
        <v>0</v>
      </c>
      <c r="BJ264" s="59">
        <f>G264*H264</f>
        <v>0</v>
      </c>
      <c r="BK264" s="59"/>
      <c r="BL264" s="59">
        <v>61</v>
      </c>
      <c r="BW264" s="59">
        <v>12</v>
      </c>
      <c r="BX264" s="16" t="s">
        <v>139</v>
      </c>
    </row>
    <row r="265" spans="1:76" x14ac:dyDescent="0.25">
      <c r="A265" s="62"/>
      <c r="D265" s="63" t="s">
        <v>355</v>
      </c>
      <c r="E265" s="63"/>
      <c r="G265" s="64">
        <v>130.19999999999999</v>
      </c>
      <c r="M265" s="65"/>
    </row>
    <row r="266" spans="1:76" ht="15" customHeight="1" x14ac:dyDescent="0.25">
      <c r="A266" s="54"/>
      <c r="B266" s="55" t="s">
        <v>471</v>
      </c>
      <c r="C266" s="55" t="s">
        <v>143</v>
      </c>
      <c r="D266" s="104" t="s">
        <v>144</v>
      </c>
      <c r="E266" s="104"/>
      <c r="F266" s="56" t="s">
        <v>88</v>
      </c>
      <c r="G266" s="56" t="s">
        <v>88</v>
      </c>
      <c r="H266" s="56" t="s">
        <v>88</v>
      </c>
      <c r="I266" s="39">
        <f>SUM(I267:I271)</f>
        <v>0</v>
      </c>
      <c r="J266" s="46"/>
      <c r="K266" s="46"/>
      <c r="L266" s="39">
        <f>SUM(L267:L271)</f>
        <v>0.38913170000000002</v>
      </c>
      <c r="M266" s="57"/>
      <c r="AI266" s="46" t="s">
        <v>471</v>
      </c>
      <c r="AS266" s="39">
        <f>SUM(AJ267:AJ271)</f>
        <v>0</v>
      </c>
      <c r="AT266" s="39">
        <f>SUM(AK267:AK271)</f>
        <v>0</v>
      </c>
      <c r="AU266" s="39">
        <f>SUM(AL267:AL271)</f>
        <v>0</v>
      </c>
    </row>
    <row r="267" spans="1:76" ht="15" customHeight="1" x14ac:dyDescent="0.25">
      <c r="A267" s="58" t="s">
        <v>565</v>
      </c>
      <c r="B267" s="18" t="s">
        <v>471</v>
      </c>
      <c r="C267" s="18" t="s">
        <v>146</v>
      </c>
      <c r="D267" s="8" t="s">
        <v>147</v>
      </c>
      <c r="E267" s="8"/>
      <c r="F267" s="18" t="s">
        <v>114</v>
      </c>
      <c r="G267" s="59">
        <v>26.835000000000001</v>
      </c>
      <c r="H267" s="59">
        <v>0</v>
      </c>
      <c r="I267" s="59">
        <f>ROUND(G267*H267,2)</f>
        <v>0</v>
      </c>
      <c r="J267" s="59">
        <v>9.6600000000000002E-3</v>
      </c>
      <c r="K267" s="59">
        <v>9.6600000000000002E-3</v>
      </c>
      <c r="L267" s="59">
        <f>G267*K267</f>
        <v>0.25922610000000001</v>
      </c>
      <c r="M267" s="60" t="s">
        <v>115</v>
      </c>
      <c r="Z267" s="59">
        <f>ROUND(IF(AQ267="5",BJ267,0),2)</f>
        <v>0</v>
      </c>
      <c r="AB267" s="59">
        <f>ROUND(IF(AQ267="1",BH267,0),2)</f>
        <v>0</v>
      </c>
      <c r="AC267" s="59">
        <f>ROUND(IF(AQ267="1",BI267,0),2)</f>
        <v>0</v>
      </c>
      <c r="AD267" s="59">
        <f>ROUND(IF(AQ267="7",BH267,0),2)</f>
        <v>0</v>
      </c>
      <c r="AE267" s="59">
        <f>ROUND(IF(AQ267="7",BI267,0),2)</f>
        <v>0</v>
      </c>
      <c r="AF267" s="59">
        <f>ROUND(IF(AQ267="2",BH267,0),2)</f>
        <v>0</v>
      </c>
      <c r="AG267" s="59">
        <f>ROUND(IF(AQ267="2",BI267,0),2)</f>
        <v>0</v>
      </c>
      <c r="AH267" s="59">
        <f>ROUND(IF(AQ267="0",BJ267,0),2)</f>
        <v>0</v>
      </c>
      <c r="AI267" s="46" t="s">
        <v>471</v>
      </c>
      <c r="AJ267" s="59">
        <f>IF(AN267=0,I267,0)</f>
        <v>0</v>
      </c>
      <c r="AK267" s="59">
        <f>IF(AN267=12,I267,0)</f>
        <v>0</v>
      </c>
      <c r="AL267" s="59">
        <f>IF(AN267=21,I267,0)</f>
        <v>0</v>
      </c>
      <c r="AN267" s="59">
        <v>12</v>
      </c>
      <c r="AO267" s="59">
        <f>H267*0.218564986</f>
        <v>0</v>
      </c>
      <c r="AP267" s="59">
        <f>H267*(1-0.218564986)</f>
        <v>0</v>
      </c>
      <c r="AQ267" s="61" t="s">
        <v>111</v>
      </c>
      <c r="AV267" s="59">
        <f>ROUND(AW267+AX267,2)</f>
        <v>0</v>
      </c>
      <c r="AW267" s="59">
        <f>ROUND(G267*AO267,2)</f>
        <v>0</v>
      </c>
      <c r="AX267" s="59">
        <f>ROUND(G267*AP267,2)</f>
        <v>0</v>
      </c>
      <c r="AY267" s="61" t="s">
        <v>148</v>
      </c>
      <c r="AZ267" s="61" t="s">
        <v>473</v>
      </c>
      <c r="BA267" s="46" t="s">
        <v>474</v>
      </c>
      <c r="BC267" s="59">
        <f>AW267+AX267</f>
        <v>0</v>
      </c>
      <c r="BD267" s="59">
        <f>H267/(100-BE267)*100</f>
        <v>0</v>
      </c>
      <c r="BE267" s="59">
        <v>0</v>
      </c>
      <c r="BF267" s="59">
        <f>L267</f>
        <v>0.25922610000000001</v>
      </c>
      <c r="BH267" s="59">
        <f>G267*AO267</f>
        <v>0</v>
      </c>
      <c r="BI267" s="59">
        <f>G267*AP267</f>
        <v>0</v>
      </c>
      <c r="BJ267" s="59">
        <f>G267*H267</f>
        <v>0</v>
      </c>
      <c r="BK267" s="59"/>
      <c r="BL267" s="59">
        <v>62</v>
      </c>
      <c r="BW267" s="59">
        <v>12</v>
      </c>
      <c r="BX267" s="16" t="s">
        <v>147</v>
      </c>
    </row>
    <row r="268" spans="1:76" x14ac:dyDescent="0.25">
      <c r="A268" s="62"/>
      <c r="D268" s="63" t="s">
        <v>149</v>
      </c>
      <c r="E268" s="63"/>
      <c r="G268" s="64">
        <v>26.835000000000001</v>
      </c>
      <c r="M268" s="65"/>
    </row>
    <row r="269" spans="1:76" ht="15" customHeight="1" x14ac:dyDescent="0.25">
      <c r="A269" s="58" t="s">
        <v>566</v>
      </c>
      <c r="B269" s="18" t="s">
        <v>471</v>
      </c>
      <c r="C269" s="18" t="s">
        <v>151</v>
      </c>
      <c r="D269" s="8" t="s">
        <v>152</v>
      </c>
      <c r="E269" s="8"/>
      <c r="F269" s="18" t="s">
        <v>114</v>
      </c>
      <c r="G269" s="59">
        <v>26.84</v>
      </c>
      <c r="H269" s="59">
        <v>0</v>
      </c>
      <c r="I269" s="59">
        <f>ROUND(G269*H269,2)</f>
        <v>0</v>
      </c>
      <c r="J269" s="59">
        <v>4.3099999999999996E-3</v>
      </c>
      <c r="K269" s="59">
        <v>4.3099999999999996E-3</v>
      </c>
      <c r="L269" s="59">
        <f>G269*K269</f>
        <v>0.11568039999999999</v>
      </c>
      <c r="M269" s="60" t="s">
        <v>115</v>
      </c>
      <c r="Z269" s="59">
        <f>ROUND(IF(AQ269="5",BJ269,0),2)</f>
        <v>0</v>
      </c>
      <c r="AB269" s="59">
        <f>ROUND(IF(AQ269="1",BH269,0),2)</f>
        <v>0</v>
      </c>
      <c r="AC269" s="59">
        <f>ROUND(IF(AQ269="1",BI269,0),2)</f>
        <v>0</v>
      </c>
      <c r="AD269" s="59">
        <f>ROUND(IF(AQ269="7",BH269,0),2)</f>
        <v>0</v>
      </c>
      <c r="AE269" s="59">
        <f>ROUND(IF(AQ269="7",BI269,0),2)</f>
        <v>0</v>
      </c>
      <c r="AF269" s="59">
        <f>ROUND(IF(AQ269="2",BH269,0),2)</f>
        <v>0</v>
      </c>
      <c r="AG269" s="59">
        <f>ROUND(IF(AQ269="2",BI269,0),2)</f>
        <v>0</v>
      </c>
      <c r="AH269" s="59">
        <f>ROUND(IF(AQ269="0",BJ269,0),2)</f>
        <v>0</v>
      </c>
      <c r="AI269" s="46" t="s">
        <v>471</v>
      </c>
      <c r="AJ269" s="59">
        <f>IF(AN269=0,I269,0)</f>
        <v>0</v>
      </c>
      <c r="AK269" s="59">
        <f>IF(AN269=12,I269,0)</f>
        <v>0</v>
      </c>
      <c r="AL269" s="59">
        <f>IF(AN269=21,I269,0)</f>
        <v>0</v>
      </c>
      <c r="AN269" s="59">
        <v>12</v>
      </c>
      <c r="AO269" s="59">
        <f>H269*0.224526803</f>
        <v>0</v>
      </c>
      <c r="AP269" s="59">
        <f>H269*(1-0.224526803)</f>
        <v>0</v>
      </c>
      <c r="AQ269" s="61" t="s">
        <v>111</v>
      </c>
      <c r="AV269" s="59">
        <f>ROUND(AW269+AX269,2)</f>
        <v>0</v>
      </c>
      <c r="AW269" s="59">
        <f>ROUND(G269*AO269,2)</f>
        <v>0</v>
      </c>
      <c r="AX269" s="59">
        <f>ROUND(G269*AP269,2)</f>
        <v>0</v>
      </c>
      <c r="AY269" s="61" t="s">
        <v>148</v>
      </c>
      <c r="AZ269" s="61" t="s">
        <v>473</v>
      </c>
      <c r="BA269" s="46" t="s">
        <v>474</v>
      </c>
      <c r="BC269" s="59">
        <f>AW269+AX269</f>
        <v>0</v>
      </c>
      <c r="BD269" s="59">
        <f>H269/(100-BE269)*100</f>
        <v>0</v>
      </c>
      <c r="BE269" s="59">
        <v>0</v>
      </c>
      <c r="BF269" s="59">
        <f>L269</f>
        <v>0.11568039999999999</v>
      </c>
      <c r="BH269" s="59">
        <f>G269*AO269</f>
        <v>0</v>
      </c>
      <c r="BI269" s="59">
        <f>G269*AP269</f>
        <v>0</v>
      </c>
      <c r="BJ269" s="59">
        <f>G269*H269</f>
        <v>0</v>
      </c>
      <c r="BK269" s="59"/>
      <c r="BL269" s="59">
        <v>62</v>
      </c>
      <c r="BW269" s="59">
        <v>12</v>
      </c>
      <c r="BX269" s="16" t="s">
        <v>152</v>
      </c>
    </row>
    <row r="270" spans="1:76" x14ac:dyDescent="0.25">
      <c r="A270" s="62"/>
      <c r="D270" s="63" t="s">
        <v>120</v>
      </c>
      <c r="E270" s="63"/>
      <c r="G270" s="64">
        <v>26.84</v>
      </c>
      <c r="M270" s="65"/>
    </row>
    <row r="271" spans="1:76" ht="15" customHeight="1" x14ac:dyDescent="0.25">
      <c r="A271" s="58" t="s">
        <v>567</v>
      </c>
      <c r="B271" s="18" t="s">
        <v>471</v>
      </c>
      <c r="C271" s="18" t="s">
        <v>155</v>
      </c>
      <c r="D271" s="8" t="s">
        <v>156</v>
      </c>
      <c r="E271" s="8"/>
      <c r="F271" s="18" t="s">
        <v>114</v>
      </c>
      <c r="G271" s="59">
        <v>26.84</v>
      </c>
      <c r="H271" s="59">
        <v>0</v>
      </c>
      <c r="I271" s="59">
        <f>ROUND(G271*H271,2)</f>
        <v>0</v>
      </c>
      <c r="J271" s="59">
        <v>5.2999999999999998E-4</v>
      </c>
      <c r="K271" s="59">
        <v>5.2999999999999998E-4</v>
      </c>
      <c r="L271" s="59">
        <f>G271*K271</f>
        <v>1.4225199999999999E-2</v>
      </c>
      <c r="M271" s="60" t="s">
        <v>115</v>
      </c>
      <c r="Z271" s="59">
        <f>ROUND(IF(AQ271="5",BJ271,0),2)</f>
        <v>0</v>
      </c>
      <c r="AB271" s="59">
        <f>ROUND(IF(AQ271="1",BH271,0),2)</f>
        <v>0</v>
      </c>
      <c r="AC271" s="59">
        <f>ROUND(IF(AQ271="1",BI271,0),2)</f>
        <v>0</v>
      </c>
      <c r="AD271" s="59">
        <f>ROUND(IF(AQ271="7",BH271,0),2)</f>
        <v>0</v>
      </c>
      <c r="AE271" s="59">
        <f>ROUND(IF(AQ271="7",BI271,0),2)</f>
        <v>0</v>
      </c>
      <c r="AF271" s="59">
        <f>ROUND(IF(AQ271="2",BH271,0),2)</f>
        <v>0</v>
      </c>
      <c r="AG271" s="59">
        <f>ROUND(IF(AQ271="2",BI271,0),2)</f>
        <v>0</v>
      </c>
      <c r="AH271" s="59">
        <f>ROUND(IF(AQ271="0",BJ271,0),2)</f>
        <v>0</v>
      </c>
      <c r="AI271" s="46" t="s">
        <v>471</v>
      </c>
      <c r="AJ271" s="59">
        <f>IF(AN271=0,I271,0)</f>
        <v>0</v>
      </c>
      <c r="AK271" s="59">
        <f>IF(AN271=12,I271,0)</f>
        <v>0</v>
      </c>
      <c r="AL271" s="59">
        <f>IF(AN271=21,I271,0)</f>
        <v>0</v>
      </c>
      <c r="AN271" s="59">
        <v>12</v>
      </c>
      <c r="AO271" s="59">
        <f>H271*0.475328947</f>
        <v>0</v>
      </c>
      <c r="AP271" s="59">
        <f>H271*(1-0.475328947)</f>
        <v>0</v>
      </c>
      <c r="AQ271" s="61" t="s">
        <v>111</v>
      </c>
      <c r="AV271" s="59">
        <f>ROUND(AW271+AX271,2)</f>
        <v>0</v>
      </c>
      <c r="AW271" s="59">
        <f>ROUND(G271*AO271,2)</f>
        <v>0</v>
      </c>
      <c r="AX271" s="59">
        <f>ROUND(G271*AP271,2)</f>
        <v>0</v>
      </c>
      <c r="AY271" s="61" t="s">
        <v>148</v>
      </c>
      <c r="AZ271" s="61" t="s">
        <v>473</v>
      </c>
      <c r="BA271" s="46" t="s">
        <v>474</v>
      </c>
      <c r="BC271" s="59">
        <f>AW271+AX271</f>
        <v>0</v>
      </c>
      <c r="BD271" s="59">
        <f>H271/(100-BE271)*100</f>
        <v>0</v>
      </c>
      <c r="BE271" s="59">
        <v>0</v>
      </c>
      <c r="BF271" s="59">
        <f>L271</f>
        <v>1.4225199999999999E-2</v>
      </c>
      <c r="BH271" s="59">
        <f>G271*AO271</f>
        <v>0</v>
      </c>
      <c r="BI271" s="59">
        <f>G271*AP271</f>
        <v>0</v>
      </c>
      <c r="BJ271" s="59">
        <f>G271*H271</f>
        <v>0</v>
      </c>
      <c r="BK271" s="59"/>
      <c r="BL271" s="59">
        <v>62</v>
      </c>
      <c r="BW271" s="59">
        <v>12</v>
      </c>
      <c r="BX271" s="16" t="s">
        <v>156</v>
      </c>
    </row>
    <row r="272" spans="1:76" x14ac:dyDescent="0.25">
      <c r="A272" s="62"/>
      <c r="D272" s="63" t="s">
        <v>120</v>
      </c>
      <c r="E272" s="63"/>
      <c r="G272" s="64">
        <v>26.84</v>
      </c>
      <c r="M272" s="65"/>
    </row>
    <row r="273" spans="1:76" ht="15" customHeight="1" x14ac:dyDescent="0.25">
      <c r="A273" s="54"/>
      <c r="B273" s="55" t="s">
        <v>471</v>
      </c>
      <c r="C273" s="55" t="s">
        <v>356</v>
      </c>
      <c r="D273" s="104" t="s">
        <v>357</v>
      </c>
      <c r="E273" s="104"/>
      <c r="F273" s="56" t="s">
        <v>88</v>
      </c>
      <c r="G273" s="56" t="s">
        <v>88</v>
      </c>
      <c r="H273" s="56" t="s">
        <v>88</v>
      </c>
      <c r="I273" s="39">
        <f>SUM(I274:I280)</f>
        <v>0</v>
      </c>
      <c r="J273" s="46"/>
      <c r="K273" s="46"/>
      <c r="L273" s="39">
        <f>SUM(L274:L280)</f>
        <v>2.5745817999999998</v>
      </c>
      <c r="M273" s="57"/>
      <c r="AI273" s="46" t="s">
        <v>471</v>
      </c>
      <c r="AS273" s="39">
        <f>SUM(AJ274:AJ280)</f>
        <v>0</v>
      </c>
      <c r="AT273" s="39">
        <f>SUM(AK274:AK280)</f>
        <v>0</v>
      </c>
      <c r="AU273" s="39">
        <f>SUM(AL274:AL280)</f>
        <v>0</v>
      </c>
    </row>
    <row r="274" spans="1:76" ht="15" customHeight="1" x14ac:dyDescent="0.25">
      <c r="A274" s="58" t="s">
        <v>568</v>
      </c>
      <c r="B274" s="18" t="s">
        <v>471</v>
      </c>
      <c r="C274" s="18" t="s">
        <v>358</v>
      </c>
      <c r="D274" s="8" t="s">
        <v>359</v>
      </c>
      <c r="E274" s="8"/>
      <c r="F274" s="18" t="s">
        <v>360</v>
      </c>
      <c r="G274" s="59">
        <v>1.115</v>
      </c>
      <c r="H274" s="59">
        <v>0</v>
      </c>
      <c r="I274" s="59">
        <f>ROUND(G274*H274,2)</f>
        <v>0</v>
      </c>
      <c r="J274" s="59">
        <v>1.919</v>
      </c>
      <c r="K274" s="59">
        <v>1.919</v>
      </c>
      <c r="L274" s="59">
        <f>G274*K274</f>
        <v>2.1396850000000001</v>
      </c>
      <c r="M274" s="60" t="s">
        <v>115</v>
      </c>
      <c r="Z274" s="59">
        <f>ROUND(IF(AQ274="5",BJ274,0),2)</f>
        <v>0</v>
      </c>
      <c r="AB274" s="59">
        <f>ROUND(IF(AQ274="1",BH274,0),2)</f>
        <v>0</v>
      </c>
      <c r="AC274" s="59">
        <f>ROUND(IF(AQ274="1",BI274,0),2)</f>
        <v>0</v>
      </c>
      <c r="AD274" s="59">
        <f>ROUND(IF(AQ274="7",BH274,0),2)</f>
        <v>0</v>
      </c>
      <c r="AE274" s="59">
        <f>ROUND(IF(AQ274="7",BI274,0),2)</f>
        <v>0</v>
      </c>
      <c r="AF274" s="59">
        <f>ROUND(IF(AQ274="2",BH274,0),2)</f>
        <v>0</v>
      </c>
      <c r="AG274" s="59">
        <f>ROUND(IF(AQ274="2",BI274,0),2)</f>
        <v>0</v>
      </c>
      <c r="AH274" s="59">
        <f>ROUND(IF(AQ274="0",BJ274,0),2)</f>
        <v>0</v>
      </c>
      <c r="AI274" s="46" t="s">
        <v>471</v>
      </c>
      <c r="AJ274" s="59">
        <f>IF(AN274=0,I274,0)</f>
        <v>0</v>
      </c>
      <c r="AK274" s="59">
        <f>IF(AN274=12,I274,0)</f>
        <v>0</v>
      </c>
      <c r="AL274" s="59">
        <f>IF(AN274=21,I274,0)</f>
        <v>0</v>
      </c>
      <c r="AN274" s="59">
        <v>12</v>
      </c>
      <c r="AO274" s="59">
        <f>H274*0.822201844</f>
        <v>0</v>
      </c>
      <c r="AP274" s="59">
        <f>H274*(1-0.822201844)</f>
        <v>0</v>
      </c>
      <c r="AQ274" s="61" t="s">
        <v>111</v>
      </c>
      <c r="AV274" s="59">
        <f>ROUND(AW274+AX274,2)</f>
        <v>0</v>
      </c>
      <c r="AW274" s="59">
        <f>ROUND(G274*AO274,2)</f>
        <v>0</v>
      </c>
      <c r="AX274" s="59">
        <f>ROUND(G274*AP274,2)</f>
        <v>0</v>
      </c>
      <c r="AY274" s="61" t="s">
        <v>361</v>
      </c>
      <c r="AZ274" s="61" t="s">
        <v>473</v>
      </c>
      <c r="BA274" s="46" t="s">
        <v>474</v>
      </c>
      <c r="BC274" s="59">
        <f>AW274+AX274</f>
        <v>0</v>
      </c>
      <c r="BD274" s="59">
        <f>H274/(100-BE274)*100</f>
        <v>0</v>
      </c>
      <c r="BE274" s="59">
        <v>0</v>
      </c>
      <c r="BF274" s="59">
        <f>L274</f>
        <v>2.1396850000000001</v>
      </c>
      <c r="BH274" s="59">
        <f>G274*AO274</f>
        <v>0</v>
      </c>
      <c r="BI274" s="59">
        <f>G274*AP274</f>
        <v>0</v>
      </c>
      <c r="BJ274" s="59">
        <f>G274*H274</f>
        <v>0</v>
      </c>
      <c r="BK274" s="59"/>
      <c r="BL274" s="59">
        <v>63</v>
      </c>
      <c r="BW274" s="59">
        <v>12</v>
      </c>
      <c r="BX274" s="16" t="s">
        <v>359</v>
      </c>
    </row>
    <row r="275" spans="1:76" x14ac:dyDescent="0.25">
      <c r="A275" s="62"/>
      <c r="D275" s="63" t="s">
        <v>362</v>
      </c>
      <c r="E275" s="63"/>
      <c r="G275" s="64">
        <v>1.115</v>
      </c>
      <c r="M275" s="65"/>
    </row>
    <row r="276" spans="1:76" ht="15" customHeight="1" x14ac:dyDescent="0.25">
      <c r="A276" s="58" t="s">
        <v>569</v>
      </c>
      <c r="B276" s="18" t="s">
        <v>471</v>
      </c>
      <c r="C276" s="18" t="s">
        <v>363</v>
      </c>
      <c r="D276" s="8" t="s">
        <v>364</v>
      </c>
      <c r="E276" s="8"/>
      <c r="F276" s="18" t="s">
        <v>114</v>
      </c>
      <c r="G276" s="59">
        <v>22.3</v>
      </c>
      <c r="H276" s="59">
        <v>0</v>
      </c>
      <c r="I276" s="59">
        <f>ROUND(G276*H276,2)</f>
        <v>0</v>
      </c>
      <c r="J276" s="59">
        <v>1.5959999999999998E-2</v>
      </c>
      <c r="K276" s="59">
        <v>1.5959999999999998E-2</v>
      </c>
      <c r="L276" s="59">
        <f>G276*K276</f>
        <v>0.355908</v>
      </c>
      <c r="M276" s="60" t="s">
        <v>115</v>
      </c>
      <c r="Z276" s="59">
        <f>ROUND(IF(AQ276="5",BJ276,0),2)</f>
        <v>0</v>
      </c>
      <c r="AB276" s="59">
        <f>ROUND(IF(AQ276="1",BH276,0),2)</f>
        <v>0</v>
      </c>
      <c r="AC276" s="59">
        <f>ROUND(IF(AQ276="1",BI276,0),2)</f>
        <v>0</v>
      </c>
      <c r="AD276" s="59">
        <f>ROUND(IF(AQ276="7",BH276,0),2)</f>
        <v>0</v>
      </c>
      <c r="AE276" s="59">
        <f>ROUND(IF(AQ276="7",BI276,0),2)</f>
        <v>0</v>
      </c>
      <c r="AF276" s="59">
        <f>ROUND(IF(AQ276="2",BH276,0),2)</f>
        <v>0</v>
      </c>
      <c r="AG276" s="59">
        <f>ROUND(IF(AQ276="2",BI276,0),2)</f>
        <v>0</v>
      </c>
      <c r="AH276" s="59">
        <f>ROUND(IF(AQ276="0",BJ276,0),2)</f>
        <v>0</v>
      </c>
      <c r="AI276" s="46" t="s">
        <v>471</v>
      </c>
      <c r="AJ276" s="59">
        <f>IF(AN276=0,I276,0)</f>
        <v>0</v>
      </c>
      <c r="AK276" s="59">
        <f>IF(AN276=12,I276,0)</f>
        <v>0</v>
      </c>
      <c r="AL276" s="59">
        <f>IF(AN276=21,I276,0)</f>
        <v>0</v>
      </c>
      <c r="AN276" s="59">
        <v>12</v>
      </c>
      <c r="AO276" s="59">
        <f>H276*0.665801611</f>
        <v>0</v>
      </c>
      <c r="AP276" s="59">
        <f>H276*(1-0.665801611)</f>
        <v>0</v>
      </c>
      <c r="AQ276" s="61" t="s">
        <v>111</v>
      </c>
      <c r="AV276" s="59">
        <f>ROUND(AW276+AX276,2)</f>
        <v>0</v>
      </c>
      <c r="AW276" s="59">
        <f>ROUND(G276*AO276,2)</f>
        <v>0</v>
      </c>
      <c r="AX276" s="59">
        <f>ROUND(G276*AP276,2)</f>
        <v>0</v>
      </c>
      <c r="AY276" s="61" t="s">
        <v>361</v>
      </c>
      <c r="AZ276" s="61" t="s">
        <v>473</v>
      </c>
      <c r="BA276" s="46" t="s">
        <v>474</v>
      </c>
      <c r="BC276" s="59">
        <f>AW276+AX276</f>
        <v>0</v>
      </c>
      <c r="BD276" s="59">
        <f>H276/(100-BE276)*100</f>
        <v>0</v>
      </c>
      <c r="BE276" s="59">
        <v>0</v>
      </c>
      <c r="BF276" s="59">
        <f>L276</f>
        <v>0.355908</v>
      </c>
      <c r="BH276" s="59">
        <f>G276*AO276</f>
        <v>0</v>
      </c>
      <c r="BI276" s="59">
        <f>G276*AP276</f>
        <v>0</v>
      </c>
      <c r="BJ276" s="59">
        <f>G276*H276</f>
        <v>0</v>
      </c>
      <c r="BK276" s="59"/>
      <c r="BL276" s="59">
        <v>63</v>
      </c>
      <c r="BW276" s="59">
        <v>12</v>
      </c>
      <c r="BX276" s="16" t="s">
        <v>364</v>
      </c>
    </row>
    <row r="277" spans="1:76" x14ac:dyDescent="0.25">
      <c r="A277" s="62"/>
      <c r="D277" s="63" t="s">
        <v>365</v>
      </c>
      <c r="E277" s="63"/>
      <c r="G277" s="64">
        <v>22.3</v>
      </c>
      <c r="M277" s="65"/>
    </row>
    <row r="278" spans="1:76" ht="15" customHeight="1" x14ac:dyDescent="0.25">
      <c r="A278" s="58" t="s">
        <v>570</v>
      </c>
      <c r="B278" s="18" t="s">
        <v>471</v>
      </c>
      <c r="C278" s="18" t="s">
        <v>366</v>
      </c>
      <c r="D278" s="8" t="s">
        <v>367</v>
      </c>
      <c r="E278" s="8"/>
      <c r="F278" s="18" t="s">
        <v>114</v>
      </c>
      <c r="G278" s="59">
        <v>5.61</v>
      </c>
      <c r="H278" s="59">
        <v>0</v>
      </c>
      <c r="I278" s="59">
        <f>ROUND(G278*H278,2)</f>
        <v>0</v>
      </c>
      <c r="J278" s="59">
        <v>1.4080000000000001E-2</v>
      </c>
      <c r="K278" s="59">
        <v>1.4080000000000001E-2</v>
      </c>
      <c r="L278" s="59">
        <f>G278*K278</f>
        <v>7.8988800000000012E-2</v>
      </c>
      <c r="M278" s="60" t="s">
        <v>115</v>
      </c>
      <c r="Z278" s="59">
        <f>ROUND(IF(AQ278="5",BJ278,0),2)</f>
        <v>0</v>
      </c>
      <c r="AB278" s="59">
        <f>ROUND(IF(AQ278="1",BH278,0),2)</f>
        <v>0</v>
      </c>
      <c r="AC278" s="59">
        <f>ROUND(IF(AQ278="1",BI278,0),2)</f>
        <v>0</v>
      </c>
      <c r="AD278" s="59">
        <f>ROUND(IF(AQ278="7",BH278,0),2)</f>
        <v>0</v>
      </c>
      <c r="AE278" s="59">
        <f>ROUND(IF(AQ278="7",BI278,0),2)</f>
        <v>0</v>
      </c>
      <c r="AF278" s="59">
        <f>ROUND(IF(AQ278="2",BH278,0),2)</f>
        <v>0</v>
      </c>
      <c r="AG278" s="59">
        <f>ROUND(IF(AQ278="2",BI278,0),2)</f>
        <v>0</v>
      </c>
      <c r="AH278" s="59">
        <f>ROUND(IF(AQ278="0",BJ278,0),2)</f>
        <v>0</v>
      </c>
      <c r="AI278" s="46" t="s">
        <v>471</v>
      </c>
      <c r="AJ278" s="59">
        <f>IF(AN278=0,I278,0)</f>
        <v>0</v>
      </c>
      <c r="AK278" s="59">
        <f>IF(AN278=12,I278,0)</f>
        <v>0</v>
      </c>
      <c r="AL278" s="59">
        <f>IF(AN278=21,I278,0)</f>
        <v>0</v>
      </c>
      <c r="AN278" s="59">
        <v>12</v>
      </c>
      <c r="AO278" s="59">
        <f>H278*0.434931647</f>
        <v>0</v>
      </c>
      <c r="AP278" s="59">
        <f>H278*(1-0.434931647)</f>
        <v>0</v>
      </c>
      <c r="AQ278" s="61" t="s">
        <v>111</v>
      </c>
      <c r="AV278" s="59">
        <f>ROUND(AW278+AX278,2)</f>
        <v>0</v>
      </c>
      <c r="AW278" s="59">
        <f>ROUND(G278*AO278,2)</f>
        <v>0</v>
      </c>
      <c r="AX278" s="59">
        <f>ROUND(G278*AP278,2)</f>
        <v>0</v>
      </c>
      <c r="AY278" s="61" t="s">
        <v>361</v>
      </c>
      <c r="AZ278" s="61" t="s">
        <v>473</v>
      </c>
      <c r="BA278" s="46" t="s">
        <v>474</v>
      </c>
      <c r="BC278" s="59">
        <f>AW278+AX278</f>
        <v>0</v>
      </c>
      <c r="BD278" s="59">
        <f>H278/(100-BE278)*100</f>
        <v>0</v>
      </c>
      <c r="BE278" s="59">
        <v>0</v>
      </c>
      <c r="BF278" s="59">
        <f>L278</f>
        <v>7.8988800000000012E-2</v>
      </c>
      <c r="BH278" s="59">
        <f>G278*AO278</f>
        <v>0</v>
      </c>
      <c r="BI278" s="59">
        <f>G278*AP278</f>
        <v>0</v>
      </c>
      <c r="BJ278" s="59">
        <f>G278*H278</f>
        <v>0</v>
      </c>
      <c r="BK278" s="59"/>
      <c r="BL278" s="59">
        <v>63</v>
      </c>
      <c r="BW278" s="59">
        <v>12</v>
      </c>
      <c r="BX278" s="16" t="s">
        <v>367</v>
      </c>
    </row>
    <row r="279" spans="1:76" x14ac:dyDescent="0.25">
      <c r="A279" s="62"/>
      <c r="D279" s="63" t="s">
        <v>368</v>
      </c>
      <c r="E279" s="63"/>
      <c r="G279" s="64">
        <v>5.61</v>
      </c>
      <c r="M279" s="65"/>
    </row>
    <row r="280" spans="1:76" ht="15" customHeight="1" x14ac:dyDescent="0.25">
      <c r="A280" s="58" t="s">
        <v>571</v>
      </c>
      <c r="B280" s="18" t="s">
        <v>471</v>
      </c>
      <c r="C280" s="18" t="s">
        <v>369</v>
      </c>
      <c r="D280" s="8" t="s">
        <v>370</v>
      </c>
      <c r="E280" s="8"/>
      <c r="F280" s="18" t="s">
        <v>114</v>
      </c>
      <c r="G280" s="59">
        <v>5.61</v>
      </c>
      <c r="H280" s="59">
        <v>0</v>
      </c>
      <c r="I280" s="59">
        <f>ROUND(G280*H280,2)</f>
        <v>0</v>
      </c>
      <c r="J280" s="59">
        <v>0</v>
      </c>
      <c r="K280" s="59">
        <v>0</v>
      </c>
      <c r="L280" s="59">
        <f>G280*K280</f>
        <v>0</v>
      </c>
      <c r="M280" s="60" t="s">
        <v>115</v>
      </c>
      <c r="Z280" s="59">
        <f>ROUND(IF(AQ280="5",BJ280,0),2)</f>
        <v>0</v>
      </c>
      <c r="AB280" s="59">
        <f>ROUND(IF(AQ280="1",BH280,0),2)</f>
        <v>0</v>
      </c>
      <c r="AC280" s="59">
        <f>ROUND(IF(AQ280="1",BI280,0),2)</f>
        <v>0</v>
      </c>
      <c r="AD280" s="59">
        <f>ROUND(IF(AQ280="7",BH280,0),2)</f>
        <v>0</v>
      </c>
      <c r="AE280" s="59">
        <f>ROUND(IF(AQ280="7",BI280,0),2)</f>
        <v>0</v>
      </c>
      <c r="AF280" s="59">
        <f>ROUND(IF(AQ280="2",BH280,0),2)</f>
        <v>0</v>
      </c>
      <c r="AG280" s="59">
        <f>ROUND(IF(AQ280="2",BI280,0),2)</f>
        <v>0</v>
      </c>
      <c r="AH280" s="59">
        <f>ROUND(IF(AQ280="0",BJ280,0),2)</f>
        <v>0</v>
      </c>
      <c r="AI280" s="46" t="s">
        <v>471</v>
      </c>
      <c r="AJ280" s="59">
        <f>IF(AN280=0,I280,0)</f>
        <v>0</v>
      </c>
      <c r="AK280" s="59">
        <f>IF(AN280=12,I280,0)</f>
        <v>0</v>
      </c>
      <c r="AL280" s="59">
        <f>IF(AN280=21,I280,0)</f>
        <v>0</v>
      </c>
      <c r="AN280" s="59">
        <v>12</v>
      </c>
      <c r="AO280" s="59">
        <f>H280*0</f>
        <v>0</v>
      </c>
      <c r="AP280" s="59">
        <f>H280*(1-0)</f>
        <v>0</v>
      </c>
      <c r="AQ280" s="61" t="s">
        <v>111</v>
      </c>
      <c r="AV280" s="59">
        <f>ROUND(AW280+AX280,2)</f>
        <v>0</v>
      </c>
      <c r="AW280" s="59">
        <f>ROUND(G280*AO280,2)</f>
        <v>0</v>
      </c>
      <c r="AX280" s="59">
        <f>ROUND(G280*AP280,2)</f>
        <v>0</v>
      </c>
      <c r="AY280" s="61" t="s">
        <v>361</v>
      </c>
      <c r="AZ280" s="61" t="s">
        <v>473</v>
      </c>
      <c r="BA280" s="46" t="s">
        <v>474</v>
      </c>
      <c r="BC280" s="59">
        <f>AW280+AX280</f>
        <v>0</v>
      </c>
      <c r="BD280" s="59">
        <f>H280/(100-BE280)*100</f>
        <v>0</v>
      </c>
      <c r="BE280" s="59">
        <v>0</v>
      </c>
      <c r="BF280" s="59">
        <f>L280</f>
        <v>0</v>
      </c>
      <c r="BH280" s="59">
        <f>G280*AO280</f>
        <v>0</v>
      </c>
      <c r="BI280" s="59">
        <f>G280*AP280</f>
        <v>0</v>
      </c>
      <c r="BJ280" s="59">
        <f>G280*H280</f>
        <v>0</v>
      </c>
      <c r="BK280" s="59"/>
      <c r="BL280" s="59">
        <v>63</v>
      </c>
      <c r="BW280" s="59">
        <v>12</v>
      </c>
      <c r="BX280" s="16" t="s">
        <v>370</v>
      </c>
    </row>
    <row r="281" spans="1:76" x14ac:dyDescent="0.25">
      <c r="A281" s="62"/>
      <c r="D281" s="63" t="s">
        <v>371</v>
      </c>
      <c r="E281" s="63"/>
      <c r="G281" s="64">
        <v>5.61</v>
      </c>
      <c r="M281" s="65"/>
    </row>
    <row r="282" spans="1:76" ht="15" customHeight="1" x14ac:dyDescent="0.25">
      <c r="A282" s="54"/>
      <c r="B282" s="55" t="s">
        <v>471</v>
      </c>
      <c r="C282" s="55" t="s">
        <v>157</v>
      </c>
      <c r="D282" s="104" t="s">
        <v>158</v>
      </c>
      <c r="E282" s="104"/>
      <c r="F282" s="56" t="s">
        <v>88</v>
      </c>
      <c r="G282" s="56" t="s">
        <v>88</v>
      </c>
      <c r="H282" s="56" t="s">
        <v>88</v>
      </c>
      <c r="I282" s="39">
        <f>SUM(I283)</f>
        <v>0</v>
      </c>
      <c r="J282" s="46"/>
      <c r="K282" s="46"/>
      <c r="L282" s="39">
        <f>SUM(L283)</f>
        <v>0.15338399999999999</v>
      </c>
      <c r="M282" s="57"/>
      <c r="AI282" s="46" t="s">
        <v>471</v>
      </c>
      <c r="AS282" s="39">
        <f>SUM(AJ283)</f>
        <v>0</v>
      </c>
      <c r="AT282" s="39">
        <f>SUM(AK283)</f>
        <v>0</v>
      </c>
      <c r="AU282" s="39">
        <f>SUM(AL283)</f>
        <v>0</v>
      </c>
    </row>
    <row r="283" spans="1:76" ht="15" customHeight="1" x14ac:dyDescent="0.25">
      <c r="A283" s="58" t="s">
        <v>572</v>
      </c>
      <c r="B283" s="18" t="s">
        <v>471</v>
      </c>
      <c r="C283" s="18" t="s">
        <v>160</v>
      </c>
      <c r="D283" s="8" t="s">
        <v>161</v>
      </c>
      <c r="E283" s="8"/>
      <c r="F283" s="18" t="s">
        <v>140</v>
      </c>
      <c r="G283" s="59">
        <v>24.9</v>
      </c>
      <c r="H283" s="59">
        <v>0</v>
      </c>
      <c r="I283" s="59">
        <f>ROUND(G283*H283,2)</f>
        <v>0</v>
      </c>
      <c r="J283" s="59">
        <v>6.1599999999999997E-3</v>
      </c>
      <c r="K283" s="59">
        <v>6.1599999999999997E-3</v>
      </c>
      <c r="L283" s="59">
        <f>G283*K283</f>
        <v>0.15338399999999999</v>
      </c>
      <c r="M283" s="60" t="s">
        <v>115</v>
      </c>
      <c r="Z283" s="59">
        <f>ROUND(IF(AQ283="5",BJ283,0),2)</f>
        <v>0</v>
      </c>
      <c r="AB283" s="59">
        <f>ROUND(IF(AQ283="1",BH283,0),2)</f>
        <v>0</v>
      </c>
      <c r="AC283" s="59">
        <f>ROUND(IF(AQ283="1",BI283,0),2)</f>
        <v>0</v>
      </c>
      <c r="AD283" s="59">
        <f>ROUND(IF(AQ283="7",BH283,0),2)</f>
        <v>0</v>
      </c>
      <c r="AE283" s="59">
        <f>ROUND(IF(AQ283="7",BI283,0),2)</f>
        <v>0</v>
      </c>
      <c r="AF283" s="59">
        <f>ROUND(IF(AQ283="2",BH283,0),2)</f>
        <v>0</v>
      </c>
      <c r="AG283" s="59">
        <f>ROUND(IF(AQ283="2",BI283,0),2)</f>
        <v>0</v>
      </c>
      <c r="AH283" s="59">
        <f>ROUND(IF(AQ283="0",BJ283,0),2)</f>
        <v>0</v>
      </c>
      <c r="AI283" s="46" t="s">
        <v>471</v>
      </c>
      <c r="AJ283" s="59">
        <f>IF(AN283=0,I283,0)</f>
        <v>0</v>
      </c>
      <c r="AK283" s="59">
        <f>IF(AN283=12,I283,0)</f>
        <v>0</v>
      </c>
      <c r="AL283" s="59">
        <f>IF(AN283=21,I283,0)</f>
        <v>0</v>
      </c>
      <c r="AN283" s="59">
        <v>12</v>
      </c>
      <c r="AO283" s="59">
        <f>H283*0.526177858</f>
        <v>0</v>
      </c>
      <c r="AP283" s="59">
        <f>H283*(1-0.526177858)</f>
        <v>0</v>
      </c>
      <c r="AQ283" s="61" t="s">
        <v>111</v>
      </c>
      <c r="AV283" s="59">
        <f>ROUND(AW283+AX283,2)</f>
        <v>0</v>
      </c>
      <c r="AW283" s="59">
        <f>ROUND(G283*AO283,2)</f>
        <v>0</v>
      </c>
      <c r="AX283" s="59">
        <f>ROUND(G283*AP283,2)</f>
        <v>0</v>
      </c>
      <c r="AY283" s="61" t="s">
        <v>162</v>
      </c>
      <c r="AZ283" s="61" t="s">
        <v>473</v>
      </c>
      <c r="BA283" s="46" t="s">
        <v>474</v>
      </c>
      <c r="BC283" s="59">
        <f>AW283+AX283</f>
        <v>0</v>
      </c>
      <c r="BD283" s="59">
        <f>H283/(100-BE283)*100</f>
        <v>0</v>
      </c>
      <c r="BE283" s="59">
        <v>0</v>
      </c>
      <c r="BF283" s="59">
        <f>L283</f>
        <v>0.15338399999999999</v>
      </c>
      <c r="BH283" s="59">
        <f>G283*AO283</f>
        <v>0</v>
      </c>
      <c r="BI283" s="59">
        <f>G283*AP283</f>
        <v>0</v>
      </c>
      <c r="BJ283" s="59">
        <f>G283*H283</f>
        <v>0</v>
      </c>
      <c r="BK283" s="59"/>
      <c r="BL283" s="59">
        <v>64</v>
      </c>
      <c r="BW283" s="59">
        <v>12</v>
      </c>
      <c r="BX283" s="16" t="s">
        <v>161</v>
      </c>
    </row>
    <row r="284" spans="1:76" x14ac:dyDescent="0.25">
      <c r="A284" s="62"/>
      <c r="D284" s="63" t="s">
        <v>372</v>
      </c>
      <c r="E284" s="63"/>
      <c r="G284" s="64">
        <v>24.9</v>
      </c>
      <c r="M284" s="65"/>
    </row>
    <row r="285" spans="1:76" ht="15" customHeight="1" x14ac:dyDescent="0.25">
      <c r="A285" s="54"/>
      <c r="B285" s="55" t="s">
        <v>471</v>
      </c>
      <c r="C285" s="55" t="s">
        <v>373</v>
      </c>
      <c r="D285" s="104" t="s">
        <v>374</v>
      </c>
      <c r="E285" s="104"/>
      <c r="F285" s="56" t="s">
        <v>88</v>
      </c>
      <c r="G285" s="56" t="s">
        <v>88</v>
      </c>
      <c r="H285" s="56" t="s">
        <v>88</v>
      </c>
      <c r="I285" s="39">
        <f>SUM(I286:I290)</f>
        <v>0</v>
      </c>
      <c r="J285" s="46"/>
      <c r="K285" s="46"/>
      <c r="L285" s="39">
        <f>SUM(L286:L290)</f>
        <v>0.31602040000000003</v>
      </c>
      <c r="M285" s="57"/>
      <c r="AI285" s="46" t="s">
        <v>471</v>
      </c>
      <c r="AS285" s="39">
        <f>SUM(AJ286:AJ290)</f>
        <v>0</v>
      </c>
      <c r="AT285" s="39">
        <f>SUM(AK286:AK290)</f>
        <v>0</v>
      </c>
      <c r="AU285" s="39">
        <f>SUM(AL286:AL290)</f>
        <v>0</v>
      </c>
    </row>
    <row r="286" spans="1:76" ht="15" customHeight="1" x14ac:dyDescent="0.25">
      <c r="A286" s="58" t="s">
        <v>573</v>
      </c>
      <c r="B286" s="18" t="s">
        <v>471</v>
      </c>
      <c r="C286" s="18" t="s">
        <v>375</v>
      </c>
      <c r="D286" s="8" t="s">
        <v>376</v>
      </c>
      <c r="E286" s="8"/>
      <c r="F286" s="18" t="s">
        <v>114</v>
      </c>
      <c r="G286" s="59">
        <v>22.3</v>
      </c>
      <c r="H286" s="59">
        <v>0</v>
      </c>
      <c r="I286" s="59">
        <f>ROUND(G286*H286,2)</f>
        <v>0</v>
      </c>
      <c r="J286" s="59">
        <v>0</v>
      </c>
      <c r="K286" s="59">
        <v>9.7400000000000004E-3</v>
      </c>
      <c r="L286" s="59">
        <f>G286*K286</f>
        <v>0.21720200000000001</v>
      </c>
      <c r="M286" s="60" t="s">
        <v>115</v>
      </c>
      <c r="Z286" s="59">
        <f>ROUND(IF(AQ286="5",BJ286,0),2)</f>
        <v>0</v>
      </c>
      <c r="AB286" s="59">
        <f>ROUND(IF(AQ286="1",BH286,0),2)</f>
        <v>0</v>
      </c>
      <c r="AC286" s="59">
        <f>ROUND(IF(AQ286="1",BI286,0),2)</f>
        <v>0</v>
      </c>
      <c r="AD286" s="59">
        <f>ROUND(IF(AQ286="7",BH286,0),2)</f>
        <v>0</v>
      </c>
      <c r="AE286" s="59">
        <f>ROUND(IF(AQ286="7",BI286,0),2)</f>
        <v>0</v>
      </c>
      <c r="AF286" s="59">
        <f>ROUND(IF(AQ286="2",BH286,0),2)</f>
        <v>0</v>
      </c>
      <c r="AG286" s="59">
        <f>ROUND(IF(AQ286="2",BI286,0),2)</f>
        <v>0</v>
      </c>
      <c r="AH286" s="59">
        <f>ROUND(IF(AQ286="0",BJ286,0),2)</f>
        <v>0</v>
      </c>
      <c r="AI286" s="46" t="s">
        <v>471</v>
      </c>
      <c r="AJ286" s="59">
        <f>IF(AN286=0,I286,0)</f>
        <v>0</v>
      </c>
      <c r="AK286" s="59">
        <f>IF(AN286=12,I286,0)</f>
        <v>0</v>
      </c>
      <c r="AL286" s="59">
        <f>IF(AN286=21,I286,0)</f>
        <v>0</v>
      </c>
      <c r="AN286" s="59">
        <v>12</v>
      </c>
      <c r="AO286" s="59">
        <f>H286*0</f>
        <v>0</v>
      </c>
      <c r="AP286" s="59">
        <f>H286*(1-0)</f>
        <v>0</v>
      </c>
      <c r="AQ286" s="61" t="s">
        <v>150</v>
      </c>
      <c r="AV286" s="59">
        <f>ROUND(AW286+AX286,2)</f>
        <v>0</v>
      </c>
      <c r="AW286" s="59">
        <f>ROUND(G286*AO286,2)</f>
        <v>0</v>
      </c>
      <c r="AX286" s="59">
        <f>ROUND(G286*AP286,2)</f>
        <v>0</v>
      </c>
      <c r="AY286" s="61" t="s">
        <v>377</v>
      </c>
      <c r="AZ286" s="61" t="s">
        <v>475</v>
      </c>
      <c r="BA286" s="46" t="s">
        <v>474</v>
      </c>
      <c r="BC286" s="59">
        <f>AW286+AX286</f>
        <v>0</v>
      </c>
      <c r="BD286" s="59">
        <f>H286/(100-BE286)*100</f>
        <v>0</v>
      </c>
      <c r="BE286" s="59">
        <v>0</v>
      </c>
      <c r="BF286" s="59">
        <f>L286</f>
        <v>0.21720200000000001</v>
      </c>
      <c r="BH286" s="59">
        <f>G286*AO286</f>
        <v>0</v>
      </c>
      <c r="BI286" s="59">
        <f>G286*AP286</f>
        <v>0</v>
      </c>
      <c r="BJ286" s="59">
        <f>G286*H286</f>
        <v>0</v>
      </c>
      <c r="BK286" s="59"/>
      <c r="BL286" s="59">
        <v>711</v>
      </c>
      <c r="BW286" s="59">
        <v>12</v>
      </c>
      <c r="BX286" s="16" t="s">
        <v>376</v>
      </c>
    </row>
    <row r="287" spans="1:76" x14ac:dyDescent="0.25">
      <c r="A287" s="62"/>
      <c r="D287" s="63" t="s">
        <v>379</v>
      </c>
      <c r="E287" s="63"/>
      <c r="G287" s="64">
        <v>22.3</v>
      </c>
      <c r="M287" s="65"/>
    </row>
    <row r="288" spans="1:76" ht="15" customHeight="1" x14ac:dyDescent="0.25">
      <c r="A288" s="58" t="s">
        <v>574</v>
      </c>
      <c r="B288" s="18" t="s">
        <v>471</v>
      </c>
      <c r="C288" s="18" t="s">
        <v>380</v>
      </c>
      <c r="D288" s="8" t="s">
        <v>381</v>
      </c>
      <c r="E288" s="8"/>
      <c r="F288" s="18" t="s">
        <v>114</v>
      </c>
      <c r="G288" s="59">
        <v>24.37</v>
      </c>
      <c r="H288" s="59">
        <v>0</v>
      </c>
      <c r="I288" s="59">
        <f>ROUND(G288*H288,2)</f>
        <v>0</v>
      </c>
      <c r="J288" s="59">
        <v>3.47E-3</v>
      </c>
      <c r="K288" s="59">
        <v>3.47E-3</v>
      </c>
      <c r="L288" s="59">
        <f>G288*K288</f>
        <v>8.4563899999999997E-2</v>
      </c>
      <c r="M288" s="60" t="s">
        <v>115</v>
      </c>
      <c r="Z288" s="59">
        <f>ROUND(IF(AQ288="5",BJ288,0),2)</f>
        <v>0</v>
      </c>
      <c r="AB288" s="59">
        <f>ROUND(IF(AQ288="1",BH288,0),2)</f>
        <v>0</v>
      </c>
      <c r="AC288" s="59">
        <f>ROUND(IF(AQ288="1",BI288,0),2)</f>
        <v>0</v>
      </c>
      <c r="AD288" s="59">
        <f>ROUND(IF(AQ288="7",BH288,0),2)</f>
        <v>0</v>
      </c>
      <c r="AE288" s="59">
        <f>ROUND(IF(AQ288="7",BI288,0),2)</f>
        <v>0</v>
      </c>
      <c r="AF288" s="59">
        <f>ROUND(IF(AQ288="2",BH288,0),2)</f>
        <v>0</v>
      </c>
      <c r="AG288" s="59">
        <f>ROUND(IF(AQ288="2",BI288,0),2)</f>
        <v>0</v>
      </c>
      <c r="AH288" s="59">
        <f>ROUND(IF(AQ288="0",BJ288,0),2)</f>
        <v>0</v>
      </c>
      <c r="AI288" s="46" t="s">
        <v>471</v>
      </c>
      <c r="AJ288" s="59">
        <f>IF(AN288=0,I288,0)</f>
        <v>0</v>
      </c>
      <c r="AK288" s="59">
        <f>IF(AN288=12,I288,0)</f>
        <v>0</v>
      </c>
      <c r="AL288" s="59">
        <f>IF(AN288=21,I288,0)</f>
        <v>0</v>
      </c>
      <c r="AN288" s="59">
        <v>12</v>
      </c>
      <c r="AO288" s="59">
        <f>H288*0.729088049</f>
        <v>0</v>
      </c>
      <c r="AP288" s="59">
        <f>H288*(1-0.729088049)</f>
        <v>0</v>
      </c>
      <c r="AQ288" s="61" t="s">
        <v>150</v>
      </c>
      <c r="AV288" s="59">
        <f>ROUND(AW288+AX288,2)</f>
        <v>0</v>
      </c>
      <c r="AW288" s="59">
        <f>ROUND(G288*AO288,2)</f>
        <v>0</v>
      </c>
      <c r="AX288" s="59">
        <f>ROUND(G288*AP288,2)</f>
        <v>0</v>
      </c>
      <c r="AY288" s="61" t="s">
        <v>377</v>
      </c>
      <c r="AZ288" s="61" t="s">
        <v>475</v>
      </c>
      <c r="BA288" s="46" t="s">
        <v>474</v>
      </c>
      <c r="BC288" s="59">
        <f>AW288+AX288</f>
        <v>0</v>
      </c>
      <c r="BD288" s="59">
        <f>H288/(100-BE288)*100</f>
        <v>0</v>
      </c>
      <c r="BE288" s="59">
        <v>0</v>
      </c>
      <c r="BF288" s="59">
        <f>L288</f>
        <v>8.4563899999999997E-2</v>
      </c>
      <c r="BH288" s="59">
        <f>G288*AO288</f>
        <v>0</v>
      </c>
      <c r="BI288" s="59">
        <f>G288*AP288</f>
        <v>0</v>
      </c>
      <c r="BJ288" s="59">
        <f>G288*H288</f>
        <v>0</v>
      </c>
      <c r="BK288" s="59"/>
      <c r="BL288" s="59">
        <v>711</v>
      </c>
      <c r="BW288" s="59">
        <v>12</v>
      </c>
      <c r="BX288" s="16" t="s">
        <v>381</v>
      </c>
    </row>
    <row r="289" spans="1:76" x14ac:dyDescent="0.25">
      <c r="A289" s="62"/>
      <c r="D289" s="63" t="s">
        <v>382</v>
      </c>
      <c r="E289" s="63"/>
      <c r="G289" s="64">
        <v>24.37</v>
      </c>
      <c r="M289" s="65"/>
    </row>
    <row r="290" spans="1:76" ht="15" customHeight="1" x14ac:dyDescent="0.25">
      <c r="A290" s="58" t="s">
        <v>575</v>
      </c>
      <c r="B290" s="18" t="s">
        <v>471</v>
      </c>
      <c r="C290" s="18" t="s">
        <v>383</v>
      </c>
      <c r="D290" s="8" t="s">
        <v>384</v>
      </c>
      <c r="E290" s="8"/>
      <c r="F290" s="18" t="s">
        <v>140</v>
      </c>
      <c r="G290" s="59">
        <v>33.15</v>
      </c>
      <c r="H290" s="59">
        <v>0</v>
      </c>
      <c r="I290" s="59">
        <f>ROUND(G290*H290,2)</f>
        <v>0</v>
      </c>
      <c r="J290" s="59">
        <v>4.2999999999999999E-4</v>
      </c>
      <c r="K290" s="59">
        <v>4.2999999999999999E-4</v>
      </c>
      <c r="L290" s="59">
        <f>G290*K290</f>
        <v>1.42545E-2</v>
      </c>
      <c r="M290" s="60" t="s">
        <v>115</v>
      </c>
      <c r="Z290" s="59">
        <f>ROUND(IF(AQ290="5",BJ290,0),2)</f>
        <v>0</v>
      </c>
      <c r="AB290" s="59">
        <f>ROUND(IF(AQ290="1",BH290,0),2)</f>
        <v>0</v>
      </c>
      <c r="AC290" s="59">
        <f>ROUND(IF(AQ290="1",BI290,0),2)</f>
        <v>0</v>
      </c>
      <c r="AD290" s="59">
        <f>ROUND(IF(AQ290="7",BH290,0),2)</f>
        <v>0</v>
      </c>
      <c r="AE290" s="59">
        <f>ROUND(IF(AQ290="7",BI290,0),2)</f>
        <v>0</v>
      </c>
      <c r="AF290" s="59">
        <f>ROUND(IF(AQ290="2",BH290,0),2)</f>
        <v>0</v>
      </c>
      <c r="AG290" s="59">
        <f>ROUND(IF(AQ290="2",BI290,0),2)</f>
        <v>0</v>
      </c>
      <c r="AH290" s="59">
        <f>ROUND(IF(AQ290="0",BJ290,0),2)</f>
        <v>0</v>
      </c>
      <c r="AI290" s="46" t="s">
        <v>471</v>
      </c>
      <c r="AJ290" s="59">
        <f>IF(AN290=0,I290,0)</f>
        <v>0</v>
      </c>
      <c r="AK290" s="59">
        <f>IF(AN290=12,I290,0)</f>
        <v>0</v>
      </c>
      <c r="AL290" s="59">
        <f>IF(AN290=21,I290,0)</f>
        <v>0</v>
      </c>
      <c r="AN290" s="59">
        <v>12</v>
      </c>
      <c r="AO290" s="59">
        <f>H290*0.767483743</f>
        <v>0</v>
      </c>
      <c r="AP290" s="59">
        <f>H290*(1-0.767483743)</f>
        <v>0</v>
      </c>
      <c r="AQ290" s="61" t="s">
        <v>150</v>
      </c>
      <c r="AV290" s="59">
        <f>ROUND(AW290+AX290,2)</f>
        <v>0</v>
      </c>
      <c r="AW290" s="59">
        <f>ROUND(G290*AO290,2)</f>
        <v>0</v>
      </c>
      <c r="AX290" s="59">
        <f>ROUND(G290*AP290,2)</f>
        <v>0</v>
      </c>
      <c r="AY290" s="61" t="s">
        <v>377</v>
      </c>
      <c r="AZ290" s="61" t="s">
        <v>475</v>
      </c>
      <c r="BA290" s="46" t="s">
        <v>474</v>
      </c>
      <c r="BC290" s="59">
        <f>AW290+AX290</f>
        <v>0</v>
      </c>
      <c r="BD290" s="59">
        <f>H290/(100-BE290)*100</f>
        <v>0</v>
      </c>
      <c r="BE290" s="59">
        <v>0</v>
      </c>
      <c r="BF290" s="59">
        <f>L290</f>
        <v>1.42545E-2</v>
      </c>
      <c r="BH290" s="59">
        <f>G290*AO290</f>
        <v>0</v>
      </c>
      <c r="BI290" s="59">
        <f>G290*AP290</f>
        <v>0</v>
      </c>
      <c r="BJ290" s="59">
        <f>G290*H290</f>
        <v>0</v>
      </c>
      <c r="BK290" s="59"/>
      <c r="BL290" s="59">
        <v>711</v>
      </c>
      <c r="BW290" s="59">
        <v>12</v>
      </c>
      <c r="BX290" s="16" t="s">
        <v>384</v>
      </c>
    </row>
    <row r="291" spans="1:76" x14ac:dyDescent="0.25">
      <c r="A291" s="62"/>
      <c r="D291" s="63" t="s">
        <v>385</v>
      </c>
      <c r="E291" s="63"/>
      <c r="G291" s="64">
        <v>33.15</v>
      </c>
      <c r="M291" s="65"/>
    </row>
    <row r="292" spans="1:76" ht="15" customHeight="1" x14ac:dyDescent="0.25">
      <c r="A292" s="54"/>
      <c r="B292" s="55" t="s">
        <v>471</v>
      </c>
      <c r="C292" s="55" t="s">
        <v>165</v>
      </c>
      <c r="D292" s="104" t="s">
        <v>166</v>
      </c>
      <c r="E292" s="104"/>
      <c r="F292" s="56" t="s">
        <v>88</v>
      </c>
      <c r="G292" s="56" t="s">
        <v>88</v>
      </c>
      <c r="H292" s="56" t="s">
        <v>88</v>
      </c>
      <c r="I292" s="39">
        <f>SUM(I293:I299)</f>
        <v>0</v>
      </c>
      <c r="J292" s="46"/>
      <c r="K292" s="46"/>
      <c r="L292" s="39">
        <f>SUM(L293:L299)</f>
        <v>9.1239999999999988E-2</v>
      </c>
      <c r="M292" s="57"/>
      <c r="AI292" s="46" t="s">
        <v>471</v>
      </c>
      <c r="AS292" s="39">
        <f>SUM(AJ293:AJ299)</f>
        <v>0</v>
      </c>
      <c r="AT292" s="39">
        <f>SUM(AK293:AK299)</f>
        <v>0</v>
      </c>
      <c r="AU292" s="39">
        <f>SUM(AL293:AL299)</f>
        <v>0</v>
      </c>
    </row>
    <row r="293" spans="1:76" ht="15" customHeight="1" x14ac:dyDescent="0.25">
      <c r="A293" s="58" t="s">
        <v>576</v>
      </c>
      <c r="B293" s="18" t="s">
        <v>471</v>
      </c>
      <c r="C293" s="18" t="s">
        <v>168</v>
      </c>
      <c r="D293" s="8" t="s">
        <v>169</v>
      </c>
      <c r="E293" s="8"/>
      <c r="F293" s="18" t="s">
        <v>140</v>
      </c>
      <c r="G293" s="59">
        <v>6</v>
      </c>
      <c r="H293" s="59">
        <v>0</v>
      </c>
      <c r="I293" s="59">
        <f>ROUND(G293*H293,2)</f>
        <v>0</v>
      </c>
      <c r="J293" s="59">
        <v>0</v>
      </c>
      <c r="K293" s="59">
        <v>1.3500000000000001E-3</v>
      </c>
      <c r="L293" s="59">
        <f>G293*K293</f>
        <v>8.0999999999999996E-3</v>
      </c>
      <c r="M293" s="60" t="s">
        <v>115</v>
      </c>
      <c r="Z293" s="59">
        <f>ROUND(IF(AQ293="5",BJ293,0),2)</f>
        <v>0</v>
      </c>
      <c r="AB293" s="59">
        <f>ROUND(IF(AQ293="1",BH293,0),2)</f>
        <v>0</v>
      </c>
      <c r="AC293" s="59">
        <f>ROUND(IF(AQ293="1",BI293,0),2)</f>
        <v>0</v>
      </c>
      <c r="AD293" s="59">
        <f>ROUND(IF(AQ293="7",BH293,0),2)</f>
        <v>0</v>
      </c>
      <c r="AE293" s="59">
        <f>ROUND(IF(AQ293="7",BI293,0),2)</f>
        <v>0</v>
      </c>
      <c r="AF293" s="59">
        <f>ROUND(IF(AQ293="2",BH293,0),2)</f>
        <v>0</v>
      </c>
      <c r="AG293" s="59">
        <f>ROUND(IF(AQ293="2",BI293,0),2)</f>
        <v>0</v>
      </c>
      <c r="AH293" s="59">
        <f>ROUND(IF(AQ293="0",BJ293,0),2)</f>
        <v>0</v>
      </c>
      <c r="AI293" s="46" t="s">
        <v>471</v>
      </c>
      <c r="AJ293" s="59">
        <f>IF(AN293=0,I293,0)</f>
        <v>0</v>
      </c>
      <c r="AK293" s="59">
        <f>IF(AN293=12,I293,0)</f>
        <v>0</v>
      </c>
      <c r="AL293" s="59">
        <f>IF(AN293=21,I293,0)</f>
        <v>0</v>
      </c>
      <c r="AN293" s="59">
        <v>12</v>
      </c>
      <c r="AO293" s="59">
        <f>H293*0</f>
        <v>0</v>
      </c>
      <c r="AP293" s="59">
        <f>H293*(1-0)</f>
        <v>0</v>
      </c>
      <c r="AQ293" s="61" t="s">
        <v>150</v>
      </c>
      <c r="AV293" s="59">
        <f>ROUND(AW293+AX293,2)</f>
        <v>0</v>
      </c>
      <c r="AW293" s="59">
        <f>ROUND(G293*AO293,2)</f>
        <v>0</v>
      </c>
      <c r="AX293" s="59">
        <f>ROUND(G293*AP293,2)</f>
        <v>0</v>
      </c>
      <c r="AY293" s="61" t="s">
        <v>170</v>
      </c>
      <c r="AZ293" s="61" t="s">
        <v>476</v>
      </c>
      <c r="BA293" s="46" t="s">
        <v>474</v>
      </c>
      <c r="BC293" s="59">
        <f>AW293+AX293</f>
        <v>0</v>
      </c>
      <c r="BD293" s="59">
        <f>H293/(100-BE293)*100</f>
        <v>0</v>
      </c>
      <c r="BE293" s="59">
        <v>0</v>
      </c>
      <c r="BF293" s="59">
        <f>L293</f>
        <v>8.0999999999999996E-3</v>
      </c>
      <c r="BH293" s="59">
        <f>G293*AO293</f>
        <v>0</v>
      </c>
      <c r="BI293" s="59">
        <f>G293*AP293</f>
        <v>0</v>
      </c>
      <c r="BJ293" s="59">
        <f>G293*H293</f>
        <v>0</v>
      </c>
      <c r="BK293" s="59"/>
      <c r="BL293" s="59">
        <v>764</v>
      </c>
      <c r="BW293" s="59">
        <v>12</v>
      </c>
      <c r="BX293" s="16" t="s">
        <v>169</v>
      </c>
    </row>
    <row r="294" spans="1:76" x14ac:dyDescent="0.25">
      <c r="A294" s="62"/>
      <c r="D294" s="63" t="s">
        <v>145</v>
      </c>
      <c r="E294" s="63"/>
      <c r="G294" s="64">
        <v>6</v>
      </c>
      <c r="M294" s="65"/>
    </row>
    <row r="295" spans="1:76" ht="15" customHeight="1" x14ac:dyDescent="0.25">
      <c r="A295" s="58" t="s">
        <v>577</v>
      </c>
      <c r="B295" s="18" t="s">
        <v>471</v>
      </c>
      <c r="C295" s="18" t="s">
        <v>173</v>
      </c>
      <c r="D295" s="8" t="s">
        <v>174</v>
      </c>
      <c r="E295" s="8"/>
      <c r="F295" s="18" t="s">
        <v>140</v>
      </c>
      <c r="G295" s="59">
        <v>6</v>
      </c>
      <c r="H295" s="59">
        <v>0</v>
      </c>
      <c r="I295" s="59">
        <f>ROUND(G295*H295,2)</f>
        <v>0</v>
      </c>
      <c r="J295" s="59">
        <v>3.9500000000000004E-3</v>
      </c>
      <c r="K295" s="59">
        <v>3.9500000000000004E-3</v>
      </c>
      <c r="L295" s="59">
        <f>G295*K295</f>
        <v>2.3700000000000002E-2</v>
      </c>
      <c r="M295" s="60" t="s">
        <v>115</v>
      </c>
      <c r="Z295" s="59">
        <f>ROUND(IF(AQ295="5",BJ295,0),2)</f>
        <v>0</v>
      </c>
      <c r="AB295" s="59">
        <f>ROUND(IF(AQ295="1",BH295,0),2)</f>
        <v>0</v>
      </c>
      <c r="AC295" s="59">
        <f>ROUND(IF(AQ295="1",BI295,0),2)</f>
        <v>0</v>
      </c>
      <c r="AD295" s="59">
        <f>ROUND(IF(AQ295="7",BH295,0),2)</f>
        <v>0</v>
      </c>
      <c r="AE295" s="59">
        <f>ROUND(IF(AQ295="7",BI295,0),2)</f>
        <v>0</v>
      </c>
      <c r="AF295" s="59">
        <f>ROUND(IF(AQ295="2",BH295,0),2)</f>
        <v>0</v>
      </c>
      <c r="AG295" s="59">
        <f>ROUND(IF(AQ295="2",BI295,0),2)</f>
        <v>0</v>
      </c>
      <c r="AH295" s="59">
        <f>ROUND(IF(AQ295="0",BJ295,0),2)</f>
        <v>0</v>
      </c>
      <c r="AI295" s="46" t="s">
        <v>471</v>
      </c>
      <c r="AJ295" s="59">
        <f>IF(AN295=0,I295,0)</f>
        <v>0</v>
      </c>
      <c r="AK295" s="59">
        <f>IF(AN295=12,I295,0)</f>
        <v>0</v>
      </c>
      <c r="AL295" s="59">
        <f>IF(AN295=21,I295,0)</f>
        <v>0</v>
      </c>
      <c r="AN295" s="59">
        <v>12</v>
      </c>
      <c r="AO295" s="59">
        <f>H295*0.565634409</f>
        <v>0</v>
      </c>
      <c r="AP295" s="59">
        <f>H295*(1-0.565634409)</f>
        <v>0</v>
      </c>
      <c r="AQ295" s="61" t="s">
        <v>150</v>
      </c>
      <c r="AV295" s="59">
        <f>ROUND(AW295+AX295,2)</f>
        <v>0</v>
      </c>
      <c r="AW295" s="59">
        <f>ROUND(G295*AO295,2)</f>
        <v>0</v>
      </c>
      <c r="AX295" s="59">
        <f>ROUND(G295*AP295,2)</f>
        <v>0</v>
      </c>
      <c r="AY295" s="61" t="s">
        <v>170</v>
      </c>
      <c r="AZ295" s="61" t="s">
        <v>476</v>
      </c>
      <c r="BA295" s="46" t="s">
        <v>474</v>
      </c>
      <c r="BC295" s="59">
        <f>AW295+AX295</f>
        <v>0</v>
      </c>
      <c r="BD295" s="59">
        <f>H295/(100-BE295)*100</f>
        <v>0</v>
      </c>
      <c r="BE295" s="59">
        <v>0</v>
      </c>
      <c r="BF295" s="59">
        <f>L295</f>
        <v>2.3700000000000002E-2</v>
      </c>
      <c r="BH295" s="59">
        <f>G295*AO295</f>
        <v>0</v>
      </c>
      <c r="BI295" s="59">
        <f>G295*AP295</f>
        <v>0</v>
      </c>
      <c r="BJ295" s="59">
        <f>G295*H295</f>
        <v>0</v>
      </c>
      <c r="BK295" s="59"/>
      <c r="BL295" s="59">
        <v>764</v>
      </c>
      <c r="BW295" s="59">
        <v>12</v>
      </c>
      <c r="BX295" s="16" t="s">
        <v>174</v>
      </c>
    </row>
    <row r="296" spans="1:76" x14ac:dyDescent="0.25">
      <c r="A296" s="62"/>
      <c r="D296" s="63" t="s">
        <v>145</v>
      </c>
      <c r="E296" s="63"/>
      <c r="G296" s="64">
        <v>6</v>
      </c>
      <c r="M296" s="65"/>
    </row>
    <row r="297" spans="1:76" ht="15" customHeight="1" x14ac:dyDescent="0.25">
      <c r="A297" s="58" t="s">
        <v>578</v>
      </c>
      <c r="B297" s="18" t="s">
        <v>471</v>
      </c>
      <c r="C297" s="18" t="s">
        <v>177</v>
      </c>
      <c r="D297" s="8" t="s">
        <v>178</v>
      </c>
      <c r="E297" s="8"/>
      <c r="F297" s="18" t="s">
        <v>140</v>
      </c>
      <c r="G297" s="59">
        <v>24.9</v>
      </c>
      <c r="H297" s="59">
        <v>0</v>
      </c>
      <c r="I297" s="59">
        <f>ROUND(G297*H297,2)</f>
        <v>0</v>
      </c>
      <c r="J297" s="59">
        <v>1.4599999999999999E-3</v>
      </c>
      <c r="K297" s="59">
        <v>1.4599999999999999E-3</v>
      </c>
      <c r="L297" s="59">
        <f>G297*K297</f>
        <v>3.6353999999999997E-2</v>
      </c>
      <c r="M297" s="60" t="s">
        <v>115</v>
      </c>
      <c r="Z297" s="59">
        <f>ROUND(IF(AQ297="5",BJ297,0),2)</f>
        <v>0</v>
      </c>
      <c r="AB297" s="59">
        <f>ROUND(IF(AQ297="1",BH297,0),2)</f>
        <v>0</v>
      </c>
      <c r="AC297" s="59">
        <f>ROUND(IF(AQ297="1",BI297,0),2)</f>
        <v>0</v>
      </c>
      <c r="AD297" s="59">
        <f>ROUND(IF(AQ297="7",BH297,0),2)</f>
        <v>0</v>
      </c>
      <c r="AE297" s="59">
        <f>ROUND(IF(AQ297="7",BI297,0),2)</f>
        <v>0</v>
      </c>
      <c r="AF297" s="59">
        <f>ROUND(IF(AQ297="2",BH297,0),2)</f>
        <v>0</v>
      </c>
      <c r="AG297" s="59">
        <f>ROUND(IF(AQ297="2",BI297,0),2)</f>
        <v>0</v>
      </c>
      <c r="AH297" s="59">
        <f>ROUND(IF(AQ297="0",BJ297,0),2)</f>
        <v>0</v>
      </c>
      <c r="AI297" s="46" t="s">
        <v>471</v>
      </c>
      <c r="AJ297" s="59">
        <f>IF(AN297=0,I297,0)</f>
        <v>0</v>
      </c>
      <c r="AK297" s="59">
        <f>IF(AN297=12,I297,0)</f>
        <v>0</v>
      </c>
      <c r="AL297" s="59">
        <f>IF(AN297=21,I297,0)</f>
        <v>0</v>
      </c>
      <c r="AN297" s="59">
        <v>12</v>
      </c>
      <c r="AO297" s="59">
        <f>H297*0.113898183</f>
        <v>0</v>
      </c>
      <c r="AP297" s="59">
        <f>H297*(1-0.113898183)</f>
        <v>0</v>
      </c>
      <c r="AQ297" s="61" t="s">
        <v>150</v>
      </c>
      <c r="AV297" s="59">
        <f>ROUND(AW297+AX297,2)</f>
        <v>0</v>
      </c>
      <c r="AW297" s="59">
        <f>ROUND(G297*AO297,2)</f>
        <v>0</v>
      </c>
      <c r="AX297" s="59">
        <f>ROUND(G297*AP297,2)</f>
        <v>0</v>
      </c>
      <c r="AY297" s="61" t="s">
        <v>170</v>
      </c>
      <c r="AZ297" s="61" t="s">
        <v>476</v>
      </c>
      <c r="BA297" s="46" t="s">
        <v>474</v>
      </c>
      <c r="BC297" s="59">
        <f>AW297+AX297</f>
        <v>0</v>
      </c>
      <c r="BD297" s="59">
        <f>H297/(100-BE297)*100</f>
        <v>0</v>
      </c>
      <c r="BE297" s="59">
        <v>0</v>
      </c>
      <c r="BF297" s="59">
        <f>L297</f>
        <v>3.6353999999999997E-2</v>
      </c>
      <c r="BH297" s="59">
        <f>G297*AO297</f>
        <v>0</v>
      </c>
      <c r="BI297" s="59">
        <f>G297*AP297</f>
        <v>0</v>
      </c>
      <c r="BJ297" s="59">
        <f>G297*H297</f>
        <v>0</v>
      </c>
      <c r="BK297" s="59"/>
      <c r="BL297" s="59">
        <v>764</v>
      </c>
      <c r="BW297" s="59">
        <v>12</v>
      </c>
      <c r="BX297" s="16" t="s">
        <v>178</v>
      </c>
    </row>
    <row r="298" spans="1:76" x14ac:dyDescent="0.25">
      <c r="A298" s="62"/>
      <c r="D298" s="63" t="s">
        <v>387</v>
      </c>
      <c r="E298" s="63"/>
      <c r="G298" s="64">
        <v>24.9</v>
      </c>
      <c r="M298" s="65"/>
    </row>
    <row r="299" spans="1:76" ht="15" customHeight="1" x14ac:dyDescent="0.25">
      <c r="A299" s="58" t="s">
        <v>579</v>
      </c>
      <c r="B299" s="18" t="s">
        <v>471</v>
      </c>
      <c r="C299" s="18" t="s">
        <v>388</v>
      </c>
      <c r="D299" s="8" t="s">
        <v>389</v>
      </c>
      <c r="E299" s="8"/>
      <c r="F299" s="18" t="s">
        <v>140</v>
      </c>
      <c r="G299" s="59">
        <v>19.399999999999999</v>
      </c>
      <c r="H299" s="59">
        <v>0</v>
      </c>
      <c r="I299" s="59">
        <f>ROUND(G299*H299,2)</f>
        <v>0</v>
      </c>
      <c r="J299" s="59">
        <v>1.1900000000000001E-3</v>
      </c>
      <c r="K299" s="59">
        <v>1.1900000000000001E-3</v>
      </c>
      <c r="L299" s="59">
        <f>G299*K299</f>
        <v>2.3085999999999999E-2</v>
      </c>
      <c r="M299" s="60" t="s">
        <v>115</v>
      </c>
      <c r="Z299" s="59">
        <f>ROUND(IF(AQ299="5",BJ299,0),2)</f>
        <v>0</v>
      </c>
      <c r="AB299" s="59">
        <f>ROUND(IF(AQ299="1",BH299,0),2)</f>
        <v>0</v>
      </c>
      <c r="AC299" s="59">
        <f>ROUND(IF(AQ299="1",BI299,0),2)</f>
        <v>0</v>
      </c>
      <c r="AD299" s="59">
        <f>ROUND(IF(AQ299="7",BH299,0),2)</f>
        <v>0</v>
      </c>
      <c r="AE299" s="59">
        <f>ROUND(IF(AQ299="7",BI299,0),2)</f>
        <v>0</v>
      </c>
      <c r="AF299" s="59">
        <f>ROUND(IF(AQ299="2",BH299,0),2)</f>
        <v>0</v>
      </c>
      <c r="AG299" s="59">
        <f>ROUND(IF(AQ299="2",BI299,0),2)</f>
        <v>0</v>
      </c>
      <c r="AH299" s="59">
        <f>ROUND(IF(AQ299="0",BJ299,0),2)</f>
        <v>0</v>
      </c>
      <c r="AI299" s="46" t="s">
        <v>471</v>
      </c>
      <c r="AJ299" s="59">
        <f>IF(AN299=0,I299,0)</f>
        <v>0</v>
      </c>
      <c r="AK299" s="59">
        <f>IF(AN299=12,I299,0)</f>
        <v>0</v>
      </c>
      <c r="AL299" s="59">
        <f>IF(AN299=21,I299,0)</f>
        <v>0</v>
      </c>
      <c r="AN299" s="59">
        <v>12</v>
      </c>
      <c r="AO299" s="59">
        <f>H299*0.381899982</f>
        <v>0</v>
      </c>
      <c r="AP299" s="59">
        <f>H299*(1-0.381899982)</f>
        <v>0</v>
      </c>
      <c r="AQ299" s="61" t="s">
        <v>150</v>
      </c>
      <c r="AV299" s="59">
        <f>ROUND(AW299+AX299,2)</f>
        <v>0</v>
      </c>
      <c r="AW299" s="59">
        <f>ROUND(G299*AO299,2)</f>
        <v>0</v>
      </c>
      <c r="AX299" s="59">
        <f>ROUND(G299*AP299,2)</f>
        <v>0</v>
      </c>
      <c r="AY299" s="61" t="s">
        <v>170</v>
      </c>
      <c r="AZ299" s="61" t="s">
        <v>476</v>
      </c>
      <c r="BA299" s="46" t="s">
        <v>474</v>
      </c>
      <c r="BC299" s="59">
        <f>AW299+AX299</f>
        <v>0</v>
      </c>
      <c r="BD299" s="59">
        <f>H299/(100-BE299)*100</f>
        <v>0</v>
      </c>
      <c r="BE299" s="59">
        <v>0</v>
      </c>
      <c r="BF299" s="59">
        <f>L299</f>
        <v>2.3085999999999999E-2</v>
      </c>
      <c r="BH299" s="59">
        <f>G299*AO299</f>
        <v>0</v>
      </c>
      <c r="BI299" s="59">
        <f>G299*AP299</f>
        <v>0</v>
      </c>
      <c r="BJ299" s="59">
        <f>G299*H299</f>
        <v>0</v>
      </c>
      <c r="BK299" s="59"/>
      <c r="BL299" s="59">
        <v>764</v>
      </c>
      <c r="BW299" s="59">
        <v>12</v>
      </c>
      <c r="BX299" s="16" t="s">
        <v>389</v>
      </c>
    </row>
    <row r="300" spans="1:76" x14ac:dyDescent="0.25">
      <c r="A300" s="62"/>
      <c r="D300" s="63" t="s">
        <v>390</v>
      </c>
      <c r="E300" s="63"/>
      <c r="G300" s="64">
        <v>19.399999999999999</v>
      </c>
      <c r="M300" s="65"/>
    </row>
    <row r="301" spans="1:76" ht="15" customHeight="1" x14ac:dyDescent="0.25">
      <c r="A301" s="54"/>
      <c r="B301" s="55" t="s">
        <v>471</v>
      </c>
      <c r="C301" s="55" t="s">
        <v>181</v>
      </c>
      <c r="D301" s="104" t="s">
        <v>182</v>
      </c>
      <c r="E301" s="104"/>
      <c r="F301" s="56" t="s">
        <v>88</v>
      </c>
      <c r="G301" s="56" t="s">
        <v>88</v>
      </c>
      <c r="H301" s="56" t="s">
        <v>88</v>
      </c>
      <c r="I301" s="39">
        <f>SUM(I302:I314)</f>
        <v>0</v>
      </c>
      <c r="J301" s="46"/>
      <c r="K301" s="46"/>
      <c r="L301" s="39">
        <f>SUM(L302:L314)</f>
        <v>2.3344680000000002</v>
      </c>
      <c r="M301" s="57"/>
      <c r="AI301" s="46" t="s">
        <v>471</v>
      </c>
      <c r="AS301" s="39">
        <f>SUM(AJ302:AJ314)</f>
        <v>0</v>
      </c>
      <c r="AT301" s="39">
        <f>SUM(AK302:AK314)</f>
        <v>0</v>
      </c>
      <c r="AU301" s="39">
        <f>SUM(AL302:AL314)</f>
        <v>0</v>
      </c>
    </row>
    <row r="302" spans="1:76" ht="15" customHeight="1" x14ac:dyDescent="0.25">
      <c r="A302" s="58" t="s">
        <v>580</v>
      </c>
      <c r="B302" s="18" t="s">
        <v>471</v>
      </c>
      <c r="C302" s="18" t="s">
        <v>191</v>
      </c>
      <c r="D302" s="8" t="s">
        <v>192</v>
      </c>
      <c r="E302" s="8"/>
      <c r="F302" s="18" t="s">
        <v>114</v>
      </c>
      <c r="G302" s="59">
        <v>57.6</v>
      </c>
      <c r="H302" s="59">
        <v>0</v>
      </c>
      <c r="I302" s="59">
        <f>ROUND(G302*H302,2)</f>
        <v>0</v>
      </c>
      <c r="J302" s="59">
        <v>4.0370000000000003E-2</v>
      </c>
      <c r="K302" s="59">
        <v>4.0370000000000003E-2</v>
      </c>
      <c r="L302" s="59">
        <f>G302*K302</f>
        <v>2.3253120000000003</v>
      </c>
      <c r="M302" s="60" t="s">
        <v>115</v>
      </c>
      <c r="Z302" s="59">
        <f>ROUND(IF(AQ302="5",BJ302,0),2)</f>
        <v>0</v>
      </c>
      <c r="AB302" s="59">
        <f>ROUND(IF(AQ302="1",BH302,0),2)</f>
        <v>0</v>
      </c>
      <c r="AC302" s="59">
        <f>ROUND(IF(AQ302="1",BI302,0),2)</f>
        <v>0</v>
      </c>
      <c r="AD302" s="59">
        <f>ROUND(IF(AQ302="7",BH302,0),2)</f>
        <v>0</v>
      </c>
      <c r="AE302" s="59">
        <f>ROUND(IF(AQ302="7",BI302,0),2)</f>
        <v>0</v>
      </c>
      <c r="AF302" s="59">
        <f>ROUND(IF(AQ302="2",BH302,0),2)</f>
        <v>0</v>
      </c>
      <c r="AG302" s="59">
        <f>ROUND(IF(AQ302="2",BI302,0),2)</f>
        <v>0</v>
      </c>
      <c r="AH302" s="59">
        <f>ROUND(IF(AQ302="0",BJ302,0),2)</f>
        <v>0</v>
      </c>
      <c r="AI302" s="46" t="s">
        <v>471</v>
      </c>
      <c r="AJ302" s="59">
        <f>IF(AN302=0,I302,0)</f>
        <v>0</v>
      </c>
      <c r="AK302" s="59">
        <f>IF(AN302=12,I302,0)</f>
        <v>0</v>
      </c>
      <c r="AL302" s="59">
        <f>IF(AN302=21,I302,0)</f>
        <v>0</v>
      </c>
      <c r="AN302" s="59">
        <v>12</v>
      </c>
      <c r="AO302" s="59">
        <f>H302*0.920036743</f>
        <v>0</v>
      </c>
      <c r="AP302" s="59">
        <f>H302*(1-0.920036743)</f>
        <v>0</v>
      </c>
      <c r="AQ302" s="61" t="s">
        <v>150</v>
      </c>
      <c r="AV302" s="59">
        <f>ROUND(AW302+AX302,2)</f>
        <v>0</v>
      </c>
      <c r="AW302" s="59">
        <f>ROUND(G302*AO302,2)</f>
        <v>0</v>
      </c>
      <c r="AX302" s="59">
        <f>ROUND(G302*AP302,2)</f>
        <v>0</v>
      </c>
      <c r="AY302" s="61" t="s">
        <v>187</v>
      </c>
      <c r="AZ302" s="61" t="s">
        <v>476</v>
      </c>
      <c r="BA302" s="46" t="s">
        <v>474</v>
      </c>
      <c r="BC302" s="59">
        <f>AW302+AX302</f>
        <v>0</v>
      </c>
      <c r="BD302" s="59">
        <f>H302/(100-BE302)*100</f>
        <v>0</v>
      </c>
      <c r="BE302" s="59">
        <v>0</v>
      </c>
      <c r="BF302" s="59">
        <f>L302</f>
        <v>2.3253120000000003</v>
      </c>
      <c r="BH302" s="59">
        <f>G302*AO302</f>
        <v>0</v>
      </c>
      <c r="BI302" s="59">
        <f>G302*AP302</f>
        <v>0</v>
      </c>
      <c r="BJ302" s="59">
        <f>G302*H302</f>
        <v>0</v>
      </c>
      <c r="BK302" s="59"/>
      <c r="BL302" s="59">
        <v>766</v>
      </c>
      <c r="BW302" s="59">
        <v>12</v>
      </c>
      <c r="BX302" s="16" t="s">
        <v>192</v>
      </c>
    </row>
    <row r="303" spans="1:76" x14ac:dyDescent="0.25">
      <c r="A303" s="62"/>
      <c r="D303" s="63" t="s">
        <v>391</v>
      </c>
      <c r="E303" s="63"/>
      <c r="G303" s="64">
        <v>9</v>
      </c>
      <c r="M303" s="65"/>
    </row>
    <row r="304" spans="1:76" x14ac:dyDescent="0.25">
      <c r="A304" s="62"/>
      <c r="D304" s="63" t="s">
        <v>392</v>
      </c>
      <c r="E304" s="63"/>
      <c r="G304" s="64">
        <v>5.4</v>
      </c>
      <c r="M304" s="65"/>
    </row>
    <row r="305" spans="1:76" x14ac:dyDescent="0.25">
      <c r="A305" s="62"/>
      <c r="D305" s="63" t="s">
        <v>393</v>
      </c>
      <c r="E305" s="63"/>
      <c r="G305" s="64">
        <v>21.6</v>
      </c>
      <c r="M305" s="65"/>
    </row>
    <row r="306" spans="1:76" x14ac:dyDescent="0.25">
      <c r="A306" s="62"/>
      <c r="D306" s="63" t="s">
        <v>394</v>
      </c>
      <c r="E306" s="63"/>
      <c r="G306" s="64">
        <v>14.4</v>
      </c>
      <c r="M306" s="65"/>
    </row>
    <row r="307" spans="1:76" x14ac:dyDescent="0.25">
      <c r="A307" s="62"/>
      <c r="D307" s="63" t="s">
        <v>395</v>
      </c>
      <c r="E307" s="63"/>
      <c r="G307" s="64">
        <v>7.2</v>
      </c>
      <c r="M307" s="65"/>
    </row>
    <row r="308" spans="1:76" ht="15" customHeight="1" x14ac:dyDescent="0.25">
      <c r="A308" s="58" t="s">
        <v>581</v>
      </c>
      <c r="B308" s="18" t="s">
        <v>471</v>
      </c>
      <c r="C308" s="18" t="s">
        <v>206</v>
      </c>
      <c r="D308" s="8" t="s">
        <v>207</v>
      </c>
      <c r="E308" s="8"/>
      <c r="F308" s="18" t="s">
        <v>140</v>
      </c>
      <c r="G308" s="59">
        <v>130.19999999999999</v>
      </c>
      <c r="H308" s="59">
        <v>0</v>
      </c>
      <c r="I308" s="59">
        <f>ROUND(G308*H308,2)</f>
        <v>0</v>
      </c>
      <c r="J308" s="59">
        <v>4.0000000000000003E-5</v>
      </c>
      <c r="K308" s="59">
        <v>4.0000000000000003E-5</v>
      </c>
      <c r="L308" s="59">
        <f>G308*K308</f>
        <v>5.208E-3</v>
      </c>
      <c r="M308" s="60" t="s">
        <v>115</v>
      </c>
      <c r="Z308" s="59">
        <f>ROUND(IF(AQ308="5",BJ308,0),2)</f>
        <v>0</v>
      </c>
      <c r="AB308" s="59">
        <f>ROUND(IF(AQ308="1",BH308,0),2)</f>
        <v>0</v>
      </c>
      <c r="AC308" s="59">
        <f>ROUND(IF(AQ308="1",BI308,0),2)</f>
        <v>0</v>
      </c>
      <c r="AD308" s="59">
        <f>ROUND(IF(AQ308="7",BH308,0),2)</f>
        <v>0</v>
      </c>
      <c r="AE308" s="59">
        <f>ROUND(IF(AQ308="7",BI308,0),2)</f>
        <v>0</v>
      </c>
      <c r="AF308" s="59">
        <f>ROUND(IF(AQ308="2",BH308,0),2)</f>
        <v>0</v>
      </c>
      <c r="AG308" s="59">
        <f>ROUND(IF(AQ308="2",BI308,0),2)</f>
        <v>0</v>
      </c>
      <c r="AH308" s="59">
        <f>ROUND(IF(AQ308="0",BJ308,0),2)</f>
        <v>0</v>
      </c>
      <c r="AI308" s="46" t="s">
        <v>471</v>
      </c>
      <c r="AJ308" s="59">
        <f>IF(AN308=0,I308,0)</f>
        <v>0</v>
      </c>
      <c r="AK308" s="59">
        <f>IF(AN308=12,I308,0)</f>
        <v>0</v>
      </c>
      <c r="AL308" s="59">
        <f>IF(AN308=21,I308,0)</f>
        <v>0</v>
      </c>
      <c r="AN308" s="59">
        <v>12</v>
      </c>
      <c r="AO308" s="59">
        <f>H308*0.41255311</f>
        <v>0</v>
      </c>
      <c r="AP308" s="59">
        <f>H308*(1-0.41255311)</f>
        <v>0</v>
      </c>
      <c r="AQ308" s="61" t="s">
        <v>150</v>
      </c>
      <c r="AV308" s="59">
        <f>ROUND(AW308+AX308,2)</f>
        <v>0</v>
      </c>
      <c r="AW308" s="59">
        <f>ROUND(G308*AO308,2)</f>
        <v>0</v>
      </c>
      <c r="AX308" s="59">
        <f>ROUND(G308*AP308,2)</f>
        <v>0</v>
      </c>
      <c r="AY308" s="61" t="s">
        <v>187</v>
      </c>
      <c r="AZ308" s="61" t="s">
        <v>476</v>
      </c>
      <c r="BA308" s="46" t="s">
        <v>474</v>
      </c>
      <c r="BC308" s="59">
        <f>AW308+AX308</f>
        <v>0</v>
      </c>
      <c r="BD308" s="59">
        <f>H308/(100-BE308)*100</f>
        <v>0</v>
      </c>
      <c r="BE308" s="59">
        <v>0</v>
      </c>
      <c r="BF308" s="59">
        <f>L308</f>
        <v>5.208E-3</v>
      </c>
      <c r="BH308" s="59">
        <f>G308*AO308</f>
        <v>0</v>
      </c>
      <c r="BI308" s="59">
        <f>G308*AP308</f>
        <v>0</v>
      </c>
      <c r="BJ308" s="59">
        <f>G308*H308</f>
        <v>0</v>
      </c>
      <c r="BK308" s="59"/>
      <c r="BL308" s="59">
        <v>766</v>
      </c>
      <c r="BW308" s="59">
        <v>12</v>
      </c>
      <c r="BX308" s="16" t="s">
        <v>207</v>
      </c>
    </row>
    <row r="309" spans="1:76" x14ac:dyDescent="0.25">
      <c r="A309" s="62"/>
      <c r="D309" s="63" t="s">
        <v>396</v>
      </c>
      <c r="E309" s="63"/>
      <c r="G309" s="64">
        <v>130.19999999999999</v>
      </c>
      <c r="M309" s="65"/>
    </row>
    <row r="310" spans="1:76" ht="15" customHeight="1" x14ac:dyDescent="0.25">
      <c r="A310" s="58" t="s">
        <v>582</v>
      </c>
      <c r="B310" s="18" t="s">
        <v>471</v>
      </c>
      <c r="C310" s="18" t="s">
        <v>211</v>
      </c>
      <c r="D310" s="8" t="s">
        <v>212</v>
      </c>
      <c r="E310" s="8"/>
      <c r="F310" s="18" t="s">
        <v>140</v>
      </c>
      <c r="G310" s="59">
        <v>32.9</v>
      </c>
      <c r="H310" s="59">
        <v>0</v>
      </c>
      <c r="I310" s="59">
        <f>ROUND(G310*H310,2)</f>
        <v>0</v>
      </c>
      <c r="J310" s="59">
        <v>1.2E-4</v>
      </c>
      <c r="K310" s="59">
        <v>1.2E-4</v>
      </c>
      <c r="L310" s="59">
        <f>G310*K310</f>
        <v>3.9480000000000001E-3</v>
      </c>
      <c r="M310" s="60" t="s">
        <v>115</v>
      </c>
      <c r="Z310" s="59">
        <f>ROUND(IF(AQ310="5",BJ310,0),2)</f>
        <v>0</v>
      </c>
      <c r="AB310" s="59">
        <f>ROUND(IF(AQ310="1",BH310,0),2)</f>
        <v>0</v>
      </c>
      <c r="AC310" s="59">
        <f>ROUND(IF(AQ310="1",BI310,0),2)</f>
        <v>0</v>
      </c>
      <c r="AD310" s="59">
        <f>ROUND(IF(AQ310="7",BH310,0),2)</f>
        <v>0</v>
      </c>
      <c r="AE310" s="59">
        <f>ROUND(IF(AQ310="7",BI310,0),2)</f>
        <v>0</v>
      </c>
      <c r="AF310" s="59">
        <f>ROUND(IF(AQ310="2",BH310,0),2)</f>
        <v>0</v>
      </c>
      <c r="AG310" s="59">
        <f>ROUND(IF(AQ310="2",BI310,0),2)</f>
        <v>0</v>
      </c>
      <c r="AH310" s="59">
        <f>ROUND(IF(AQ310="0",BJ310,0),2)</f>
        <v>0</v>
      </c>
      <c r="AI310" s="46" t="s">
        <v>471</v>
      </c>
      <c r="AJ310" s="59">
        <f>IF(AN310=0,I310,0)</f>
        <v>0</v>
      </c>
      <c r="AK310" s="59">
        <f>IF(AN310=12,I310,0)</f>
        <v>0</v>
      </c>
      <c r="AL310" s="59">
        <f>IF(AN310=21,I310,0)</f>
        <v>0</v>
      </c>
      <c r="AN310" s="59">
        <v>12</v>
      </c>
      <c r="AO310" s="59">
        <f>H310*0.319457343</f>
        <v>0</v>
      </c>
      <c r="AP310" s="59">
        <f>H310*(1-0.319457343)</f>
        <v>0</v>
      </c>
      <c r="AQ310" s="61" t="s">
        <v>150</v>
      </c>
      <c r="AV310" s="59">
        <f>ROUND(AW310+AX310,2)</f>
        <v>0</v>
      </c>
      <c r="AW310" s="59">
        <f>ROUND(G310*AO310,2)</f>
        <v>0</v>
      </c>
      <c r="AX310" s="59">
        <f>ROUND(G310*AP310,2)</f>
        <v>0</v>
      </c>
      <c r="AY310" s="61" t="s">
        <v>187</v>
      </c>
      <c r="AZ310" s="61" t="s">
        <v>476</v>
      </c>
      <c r="BA310" s="46" t="s">
        <v>474</v>
      </c>
      <c r="BC310" s="59">
        <f>AW310+AX310</f>
        <v>0</v>
      </c>
      <c r="BD310" s="59">
        <f>H310/(100-BE310)*100</f>
        <v>0</v>
      </c>
      <c r="BE310" s="59">
        <v>0</v>
      </c>
      <c r="BF310" s="59">
        <f>L310</f>
        <v>3.9480000000000001E-3</v>
      </c>
      <c r="BH310" s="59">
        <f>G310*AO310</f>
        <v>0</v>
      </c>
      <c r="BI310" s="59">
        <f>G310*AP310</f>
        <v>0</v>
      </c>
      <c r="BJ310" s="59">
        <f>G310*H310</f>
        <v>0</v>
      </c>
      <c r="BK310" s="59"/>
      <c r="BL310" s="59">
        <v>766</v>
      </c>
      <c r="BW310" s="59">
        <v>12</v>
      </c>
      <c r="BX310" s="16" t="s">
        <v>212</v>
      </c>
    </row>
    <row r="311" spans="1:76" x14ac:dyDescent="0.25">
      <c r="A311" s="62"/>
      <c r="D311" s="63" t="s">
        <v>477</v>
      </c>
      <c r="E311" s="63"/>
      <c r="G311" s="64">
        <v>32.9</v>
      </c>
      <c r="M311" s="65"/>
    </row>
    <row r="312" spans="1:76" ht="15" customHeight="1" x14ac:dyDescent="0.25">
      <c r="A312" s="58" t="s">
        <v>583</v>
      </c>
      <c r="B312" s="18" t="s">
        <v>471</v>
      </c>
      <c r="C312" s="18" t="s">
        <v>216</v>
      </c>
      <c r="D312" s="8" t="s">
        <v>217</v>
      </c>
      <c r="E312" s="8"/>
      <c r="F312" s="18" t="s">
        <v>218</v>
      </c>
      <c r="G312" s="59">
        <v>12</v>
      </c>
      <c r="H312" s="59">
        <v>0</v>
      </c>
      <c r="I312" s="59">
        <f>ROUND(G312*H312,2)</f>
        <v>0</v>
      </c>
      <c r="J312" s="59">
        <v>0</v>
      </c>
      <c r="K312" s="59">
        <v>0</v>
      </c>
      <c r="L312" s="59">
        <f>G312*K312</f>
        <v>0</v>
      </c>
      <c r="M312" s="60"/>
      <c r="Z312" s="59">
        <f>ROUND(IF(AQ312="5",BJ312,0),2)</f>
        <v>0</v>
      </c>
      <c r="AB312" s="59">
        <f>ROUND(IF(AQ312="1",BH312,0),2)</f>
        <v>0</v>
      </c>
      <c r="AC312" s="59">
        <f>ROUND(IF(AQ312="1",BI312,0),2)</f>
        <v>0</v>
      </c>
      <c r="AD312" s="59">
        <f>ROUND(IF(AQ312="7",BH312,0),2)</f>
        <v>0</v>
      </c>
      <c r="AE312" s="59">
        <f>ROUND(IF(AQ312="7",BI312,0),2)</f>
        <v>0</v>
      </c>
      <c r="AF312" s="59">
        <f>ROUND(IF(AQ312="2",BH312,0),2)</f>
        <v>0</v>
      </c>
      <c r="AG312" s="59">
        <f>ROUND(IF(AQ312="2",BI312,0),2)</f>
        <v>0</v>
      </c>
      <c r="AH312" s="59">
        <f>ROUND(IF(AQ312="0",BJ312,0),2)</f>
        <v>0</v>
      </c>
      <c r="AI312" s="46" t="s">
        <v>471</v>
      </c>
      <c r="AJ312" s="59">
        <f>IF(AN312=0,I312,0)</f>
        <v>0</v>
      </c>
      <c r="AK312" s="59">
        <f>IF(AN312=12,I312,0)</f>
        <v>0</v>
      </c>
      <c r="AL312" s="59">
        <f>IF(AN312=21,I312,0)</f>
        <v>0</v>
      </c>
      <c r="AN312" s="59">
        <v>12</v>
      </c>
      <c r="AO312" s="59">
        <f>H312*0</f>
        <v>0</v>
      </c>
      <c r="AP312" s="59">
        <f>H312*(1-0)</f>
        <v>0</v>
      </c>
      <c r="AQ312" s="61" t="s">
        <v>150</v>
      </c>
      <c r="AV312" s="59">
        <f>ROUND(AW312+AX312,2)</f>
        <v>0</v>
      </c>
      <c r="AW312" s="59">
        <f>ROUND(G312*AO312,2)</f>
        <v>0</v>
      </c>
      <c r="AX312" s="59">
        <f>ROUND(G312*AP312,2)</f>
        <v>0</v>
      </c>
      <c r="AY312" s="61" t="s">
        <v>187</v>
      </c>
      <c r="AZ312" s="61" t="s">
        <v>476</v>
      </c>
      <c r="BA312" s="46" t="s">
        <v>474</v>
      </c>
      <c r="BC312" s="59">
        <f>AW312+AX312</f>
        <v>0</v>
      </c>
      <c r="BD312" s="59">
        <f>H312/(100-BE312)*100</f>
        <v>0</v>
      </c>
      <c r="BE312" s="59">
        <v>0</v>
      </c>
      <c r="BF312" s="59">
        <f>L312</f>
        <v>0</v>
      </c>
      <c r="BH312" s="59">
        <f>G312*AO312</f>
        <v>0</v>
      </c>
      <c r="BI312" s="59">
        <f>G312*AP312</f>
        <v>0</v>
      </c>
      <c r="BJ312" s="59">
        <f>G312*H312</f>
        <v>0</v>
      </c>
      <c r="BK312" s="59"/>
      <c r="BL312" s="59">
        <v>766</v>
      </c>
      <c r="BW312" s="59">
        <v>12</v>
      </c>
      <c r="BX312" s="16" t="s">
        <v>217</v>
      </c>
    </row>
    <row r="313" spans="1:76" x14ac:dyDescent="0.25">
      <c r="A313" s="62"/>
      <c r="D313" s="63" t="s">
        <v>176</v>
      </c>
      <c r="E313" s="63"/>
      <c r="G313" s="64">
        <v>12</v>
      </c>
      <c r="M313" s="65"/>
    </row>
    <row r="314" spans="1:76" ht="15" customHeight="1" x14ac:dyDescent="0.25">
      <c r="A314" s="58" t="s">
        <v>584</v>
      </c>
      <c r="B314" s="18" t="s">
        <v>471</v>
      </c>
      <c r="C314" s="18" t="s">
        <v>222</v>
      </c>
      <c r="D314" s="8" t="s">
        <v>223</v>
      </c>
      <c r="E314" s="8"/>
      <c r="F314" s="18" t="s">
        <v>224</v>
      </c>
      <c r="G314" s="59">
        <v>1.859</v>
      </c>
      <c r="H314" s="59">
        <v>0</v>
      </c>
      <c r="I314" s="59">
        <f>ROUND(G314*H314,2)</f>
        <v>0</v>
      </c>
      <c r="J314" s="59">
        <v>0</v>
      </c>
      <c r="K314" s="59">
        <v>0</v>
      </c>
      <c r="L314" s="59">
        <f>G314*K314</f>
        <v>0</v>
      </c>
      <c r="M314" s="60" t="s">
        <v>115</v>
      </c>
      <c r="Z314" s="59">
        <f>ROUND(IF(AQ314="5",BJ314,0),2)</f>
        <v>0</v>
      </c>
      <c r="AB314" s="59">
        <f>ROUND(IF(AQ314="1",BH314,0),2)</f>
        <v>0</v>
      </c>
      <c r="AC314" s="59">
        <f>ROUND(IF(AQ314="1",BI314,0),2)</f>
        <v>0</v>
      </c>
      <c r="AD314" s="59">
        <f>ROUND(IF(AQ314="7",BH314,0),2)</f>
        <v>0</v>
      </c>
      <c r="AE314" s="59">
        <f>ROUND(IF(AQ314="7",BI314,0),2)</f>
        <v>0</v>
      </c>
      <c r="AF314" s="59">
        <f>ROUND(IF(AQ314="2",BH314,0),2)</f>
        <v>0</v>
      </c>
      <c r="AG314" s="59">
        <f>ROUND(IF(AQ314="2",BI314,0),2)</f>
        <v>0</v>
      </c>
      <c r="AH314" s="59">
        <f>ROUND(IF(AQ314="0",BJ314,0),2)</f>
        <v>0</v>
      </c>
      <c r="AI314" s="46" t="s">
        <v>471</v>
      </c>
      <c r="AJ314" s="59">
        <f>IF(AN314=0,I314,0)</f>
        <v>0</v>
      </c>
      <c r="AK314" s="59">
        <f>IF(AN314=12,I314,0)</f>
        <v>0</v>
      </c>
      <c r="AL314" s="59">
        <f>IF(AN314=21,I314,0)</f>
        <v>0</v>
      </c>
      <c r="AN314" s="59">
        <v>12</v>
      </c>
      <c r="AO314" s="59">
        <f>H314*0</f>
        <v>0</v>
      </c>
      <c r="AP314" s="59">
        <f>H314*(1-0)</f>
        <v>0</v>
      </c>
      <c r="AQ314" s="61" t="s">
        <v>137</v>
      </c>
      <c r="AV314" s="59">
        <f>ROUND(AW314+AX314,2)</f>
        <v>0</v>
      </c>
      <c r="AW314" s="59">
        <f>ROUND(G314*AO314,2)</f>
        <v>0</v>
      </c>
      <c r="AX314" s="59">
        <f>ROUND(G314*AP314,2)</f>
        <v>0</v>
      </c>
      <c r="AY314" s="61" t="s">
        <v>187</v>
      </c>
      <c r="AZ314" s="61" t="s">
        <v>476</v>
      </c>
      <c r="BA314" s="46" t="s">
        <v>474</v>
      </c>
      <c r="BC314" s="59">
        <f>AW314+AX314</f>
        <v>0</v>
      </c>
      <c r="BD314" s="59">
        <f>H314/(100-BE314)*100</f>
        <v>0</v>
      </c>
      <c r="BE314" s="59">
        <v>0</v>
      </c>
      <c r="BF314" s="59">
        <f>L314</f>
        <v>0</v>
      </c>
      <c r="BH314" s="59">
        <f>G314*AO314</f>
        <v>0</v>
      </c>
      <c r="BI314" s="59">
        <f>G314*AP314</f>
        <v>0</v>
      </c>
      <c r="BJ314" s="59">
        <f>G314*H314</f>
        <v>0</v>
      </c>
      <c r="BK314" s="59"/>
      <c r="BL314" s="59">
        <v>766</v>
      </c>
      <c r="BW314" s="59">
        <v>12</v>
      </c>
      <c r="BX314" s="16" t="s">
        <v>223</v>
      </c>
    </row>
    <row r="315" spans="1:76" ht="15" customHeight="1" x14ac:dyDescent="0.25">
      <c r="A315" s="54"/>
      <c r="B315" s="55" t="s">
        <v>471</v>
      </c>
      <c r="C315" s="55" t="s">
        <v>397</v>
      </c>
      <c r="D315" s="104" t="s">
        <v>398</v>
      </c>
      <c r="E315" s="104"/>
      <c r="F315" s="56" t="s">
        <v>88</v>
      </c>
      <c r="G315" s="56" t="s">
        <v>88</v>
      </c>
      <c r="H315" s="56" t="s">
        <v>88</v>
      </c>
      <c r="I315" s="39">
        <f>SUM(I316)</f>
        <v>0</v>
      </c>
      <c r="J315" s="46"/>
      <c r="K315" s="46"/>
      <c r="L315" s="39">
        <f>SUM(L316)</f>
        <v>0.261324</v>
      </c>
      <c r="M315" s="57"/>
      <c r="AI315" s="46" t="s">
        <v>471</v>
      </c>
      <c r="AS315" s="39">
        <f>SUM(AJ316)</f>
        <v>0</v>
      </c>
      <c r="AT315" s="39">
        <f>SUM(AK316)</f>
        <v>0</v>
      </c>
      <c r="AU315" s="39">
        <f>SUM(AL316)</f>
        <v>0</v>
      </c>
    </row>
    <row r="316" spans="1:76" ht="15" customHeight="1" x14ac:dyDescent="0.25">
      <c r="A316" s="58" t="s">
        <v>585</v>
      </c>
      <c r="B316" s="18" t="s">
        <v>471</v>
      </c>
      <c r="C316" s="18" t="s">
        <v>399</v>
      </c>
      <c r="D316" s="8" t="s">
        <v>400</v>
      </c>
      <c r="E316" s="8"/>
      <c r="F316" s="18" t="s">
        <v>114</v>
      </c>
      <c r="G316" s="59">
        <v>24.4</v>
      </c>
      <c r="H316" s="59">
        <v>0</v>
      </c>
      <c r="I316" s="59">
        <f>ROUND(G316*H316,2)</f>
        <v>0</v>
      </c>
      <c r="J316" s="59">
        <v>1.0710000000000001E-2</v>
      </c>
      <c r="K316" s="59">
        <v>1.0710000000000001E-2</v>
      </c>
      <c r="L316" s="59">
        <f>G316*K316</f>
        <v>0.261324</v>
      </c>
      <c r="M316" s="60" t="s">
        <v>115</v>
      </c>
      <c r="Z316" s="59">
        <f>ROUND(IF(AQ316="5",BJ316,0),2)</f>
        <v>0</v>
      </c>
      <c r="AB316" s="59">
        <f>ROUND(IF(AQ316="1",BH316,0),2)</f>
        <v>0</v>
      </c>
      <c r="AC316" s="59">
        <f>ROUND(IF(AQ316="1",BI316,0),2)</f>
        <v>0</v>
      </c>
      <c r="AD316" s="59">
        <f>ROUND(IF(AQ316="7",BH316,0),2)</f>
        <v>0</v>
      </c>
      <c r="AE316" s="59">
        <f>ROUND(IF(AQ316="7",BI316,0),2)</f>
        <v>0</v>
      </c>
      <c r="AF316" s="59">
        <f>ROUND(IF(AQ316="2",BH316,0),2)</f>
        <v>0</v>
      </c>
      <c r="AG316" s="59">
        <f>ROUND(IF(AQ316="2",BI316,0),2)</f>
        <v>0</v>
      </c>
      <c r="AH316" s="59">
        <f>ROUND(IF(AQ316="0",BJ316,0),2)</f>
        <v>0</v>
      </c>
      <c r="AI316" s="46" t="s">
        <v>471</v>
      </c>
      <c r="AJ316" s="59">
        <f>IF(AN316=0,I316,0)</f>
        <v>0</v>
      </c>
      <c r="AK316" s="59">
        <f>IF(AN316=12,I316,0)</f>
        <v>0</v>
      </c>
      <c r="AL316" s="59">
        <f>IF(AN316=21,I316,0)</f>
        <v>0</v>
      </c>
      <c r="AN316" s="59">
        <v>12</v>
      </c>
      <c r="AO316" s="59">
        <f>H316*0.791824982</f>
        <v>0</v>
      </c>
      <c r="AP316" s="59">
        <f>H316*(1-0.791824982)</f>
        <v>0</v>
      </c>
      <c r="AQ316" s="61" t="s">
        <v>150</v>
      </c>
      <c r="AV316" s="59">
        <f>ROUND(AW316+AX316,2)</f>
        <v>0</v>
      </c>
      <c r="AW316" s="59">
        <f>ROUND(G316*AO316,2)</f>
        <v>0</v>
      </c>
      <c r="AX316" s="59">
        <f>ROUND(G316*AP316,2)</f>
        <v>0</v>
      </c>
      <c r="AY316" s="61" t="s">
        <v>401</v>
      </c>
      <c r="AZ316" s="61" t="s">
        <v>478</v>
      </c>
      <c r="BA316" s="46" t="s">
        <v>474</v>
      </c>
      <c r="BC316" s="59">
        <f>AW316+AX316</f>
        <v>0</v>
      </c>
      <c r="BD316" s="59">
        <f>H316/(100-BE316)*100</f>
        <v>0</v>
      </c>
      <c r="BE316" s="59">
        <v>0</v>
      </c>
      <c r="BF316" s="59">
        <f>L316</f>
        <v>0.261324</v>
      </c>
      <c r="BH316" s="59">
        <f>G316*AO316</f>
        <v>0</v>
      </c>
      <c r="BI316" s="59">
        <f>G316*AP316</f>
        <v>0</v>
      </c>
      <c r="BJ316" s="59">
        <f>G316*H316</f>
        <v>0</v>
      </c>
      <c r="BK316" s="59"/>
      <c r="BL316" s="59">
        <v>777</v>
      </c>
      <c r="BW316" s="59">
        <v>12</v>
      </c>
      <c r="BX316" s="16" t="s">
        <v>400</v>
      </c>
    </row>
    <row r="317" spans="1:76" x14ac:dyDescent="0.25">
      <c r="A317" s="62"/>
      <c r="D317" s="63" t="s">
        <v>403</v>
      </c>
      <c r="E317" s="63"/>
      <c r="G317" s="64">
        <v>24.4</v>
      </c>
      <c r="M317" s="65"/>
    </row>
    <row r="318" spans="1:76" ht="15" customHeight="1" x14ac:dyDescent="0.25">
      <c r="A318" s="54"/>
      <c r="B318" s="55" t="s">
        <v>471</v>
      </c>
      <c r="C318" s="55" t="s">
        <v>225</v>
      </c>
      <c r="D318" s="104" t="s">
        <v>226</v>
      </c>
      <c r="E318" s="104"/>
      <c r="F318" s="56" t="s">
        <v>88</v>
      </c>
      <c r="G318" s="56" t="s">
        <v>88</v>
      </c>
      <c r="H318" s="56" t="s">
        <v>88</v>
      </c>
      <c r="I318" s="39">
        <f>SUM(I319:I327)</f>
        <v>0</v>
      </c>
      <c r="J318" s="46"/>
      <c r="K318" s="46"/>
      <c r="L318" s="39">
        <f>SUM(L319:L327)</f>
        <v>1.7443960000000001E-2</v>
      </c>
      <c r="M318" s="57"/>
      <c r="AI318" s="46" t="s">
        <v>471</v>
      </c>
      <c r="AS318" s="39">
        <f>SUM(AJ319:AJ327)</f>
        <v>0</v>
      </c>
      <c r="AT318" s="39">
        <f>SUM(AK319:AK327)</f>
        <v>0</v>
      </c>
      <c r="AU318" s="39">
        <f>SUM(AL319:AL327)</f>
        <v>0</v>
      </c>
    </row>
    <row r="319" spans="1:76" ht="15" customHeight="1" x14ac:dyDescent="0.25">
      <c r="A319" s="58" t="s">
        <v>586</v>
      </c>
      <c r="B319" s="18" t="s">
        <v>471</v>
      </c>
      <c r="C319" s="18" t="s">
        <v>228</v>
      </c>
      <c r="D319" s="8" t="s">
        <v>229</v>
      </c>
      <c r="E319" s="8"/>
      <c r="F319" s="18" t="s">
        <v>114</v>
      </c>
      <c r="G319" s="59">
        <v>6.1539999999999999</v>
      </c>
      <c r="H319" s="59">
        <v>0</v>
      </c>
      <c r="I319" s="59">
        <f>ROUND(G319*H319,2)</f>
        <v>0</v>
      </c>
      <c r="J319" s="59">
        <v>2.9E-4</v>
      </c>
      <c r="K319" s="59">
        <v>2.9E-4</v>
      </c>
      <c r="L319" s="59">
        <f>G319*K319</f>
        <v>1.78466E-3</v>
      </c>
      <c r="M319" s="60" t="s">
        <v>115</v>
      </c>
      <c r="Z319" s="59">
        <f>ROUND(IF(AQ319="5",BJ319,0),2)</f>
        <v>0</v>
      </c>
      <c r="AB319" s="59">
        <f>ROUND(IF(AQ319="1",BH319,0),2)</f>
        <v>0</v>
      </c>
      <c r="AC319" s="59">
        <f>ROUND(IF(AQ319="1",BI319,0),2)</f>
        <v>0</v>
      </c>
      <c r="AD319" s="59">
        <f>ROUND(IF(AQ319="7",BH319,0),2)</f>
        <v>0</v>
      </c>
      <c r="AE319" s="59">
        <f>ROUND(IF(AQ319="7",BI319,0),2)</f>
        <v>0</v>
      </c>
      <c r="AF319" s="59">
        <f>ROUND(IF(AQ319="2",BH319,0),2)</f>
        <v>0</v>
      </c>
      <c r="AG319" s="59">
        <f>ROUND(IF(AQ319="2",BI319,0),2)</f>
        <v>0</v>
      </c>
      <c r="AH319" s="59">
        <f>ROUND(IF(AQ319="0",BJ319,0),2)</f>
        <v>0</v>
      </c>
      <c r="AI319" s="46" t="s">
        <v>471</v>
      </c>
      <c r="AJ319" s="59">
        <f>IF(AN319=0,I319,0)</f>
        <v>0</v>
      </c>
      <c r="AK319" s="59">
        <f>IF(AN319=12,I319,0)</f>
        <v>0</v>
      </c>
      <c r="AL319" s="59">
        <f>IF(AN319=21,I319,0)</f>
        <v>0</v>
      </c>
      <c r="AN319" s="59">
        <v>12</v>
      </c>
      <c r="AO319" s="59">
        <f>H319*0.178147182</f>
        <v>0</v>
      </c>
      <c r="AP319" s="59">
        <f>H319*(1-0.178147182)</f>
        <v>0</v>
      </c>
      <c r="AQ319" s="61" t="s">
        <v>150</v>
      </c>
      <c r="AV319" s="59">
        <f>ROUND(AW319+AX319,2)</f>
        <v>0</v>
      </c>
      <c r="AW319" s="59">
        <f>ROUND(G319*AO319,2)</f>
        <v>0</v>
      </c>
      <c r="AX319" s="59">
        <f>ROUND(G319*AP319,2)</f>
        <v>0</v>
      </c>
      <c r="AY319" s="61" t="s">
        <v>230</v>
      </c>
      <c r="AZ319" s="61" t="s">
        <v>479</v>
      </c>
      <c r="BA319" s="46" t="s">
        <v>474</v>
      </c>
      <c r="BC319" s="59">
        <f>AW319+AX319</f>
        <v>0</v>
      </c>
      <c r="BD319" s="59">
        <f>H319/(100-BE319)*100</f>
        <v>0</v>
      </c>
      <c r="BE319" s="59">
        <v>0</v>
      </c>
      <c r="BF319" s="59">
        <f>L319</f>
        <v>1.78466E-3</v>
      </c>
      <c r="BH319" s="59">
        <f>G319*AO319</f>
        <v>0</v>
      </c>
      <c r="BI319" s="59">
        <f>G319*AP319</f>
        <v>0</v>
      </c>
      <c r="BJ319" s="59">
        <f>G319*H319</f>
        <v>0</v>
      </c>
      <c r="BK319" s="59"/>
      <c r="BL319" s="59">
        <v>783</v>
      </c>
      <c r="BW319" s="59">
        <v>12</v>
      </c>
      <c r="BX319" s="16" t="s">
        <v>229</v>
      </c>
    </row>
    <row r="320" spans="1:76" x14ac:dyDescent="0.25">
      <c r="A320" s="62"/>
      <c r="D320" s="63" t="s">
        <v>405</v>
      </c>
      <c r="E320" s="63"/>
      <c r="G320" s="64">
        <v>6.1539999999999999</v>
      </c>
      <c r="M320" s="65"/>
    </row>
    <row r="321" spans="1:76" ht="15" customHeight="1" x14ac:dyDescent="0.25">
      <c r="A321" s="58" t="s">
        <v>587</v>
      </c>
      <c r="B321" s="18" t="s">
        <v>471</v>
      </c>
      <c r="C321" s="18" t="s">
        <v>235</v>
      </c>
      <c r="D321" s="8" t="s">
        <v>236</v>
      </c>
      <c r="E321" s="8"/>
      <c r="F321" s="18" t="s">
        <v>114</v>
      </c>
      <c r="G321" s="59">
        <v>8.75</v>
      </c>
      <c r="H321" s="59">
        <v>0</v>
      </c>
      <c r="I321" s="59">
        <f>ROUND(G321*H321,2)</f>
        <v>0</v>
      </c>
      <c r="J321" s="59">
        <v>2.7E-4</v>
      </c>
      <c r="K321" s="59">
        <v>2.7E-4</v>
      </c>
      <c r="L321" s="59">
        <f>G321*K321</f>
        <v>2.3625E-3</v>
      </c>
      <c r="M321" s="60" t="s">
        <v>115</v>
      </c>
      <c r="Z321" s="59">
        <f>ROUND(IF(AQ321="5",BJ321,0),2)</f>
        <v>0</v>
      </c>
      <c r="AB321" s="59">
        <f>ROUND(IF(AQ321="1",BH321,0),2)</f>
        <v>0</v>
      </c>
      <c r="AC321" s="59">
        <f>ROUND(IF(AQ321="1",BI321,0),2)</f>
        <v>0</v>
      </c>
      <c r="AD321" s="59">
        <f>ROUND(IF(AQ321="7",BH321,0),2)</f>
        <v>0</v>
      </c>
      <c r="AE321" s="59">
        <f>ROUND(IF(AQ321="7",BI321,0),2)</f>
        <v>0</v>
      </c>
      <c r="AF321" s="59">
        <f>ROUND(IF(AQ321="2",BH321,0),2)</f>
        <v>0</v>
      </c>
      <c r="AG321" s="59">
        <f>ROUND(IF(AQ321="2",BI321,0),2)</f>
        <v>0</v>
      </c>
      <c r="AH321" s="59">
        <f>ROUND(IF(AQ321="0",BJ321,0),2)</f>
        <v>0</v>
      </c>
      <c r="AI321" s="46" t="s">
        <v>471</v>
      </c>
      <c r="AJ321" s="59">
        <f>IF(AN321=0,I321,0)</f>
        <v>0</v>
      </c>
      <c r="AK321" s="59">
        <f>IF(AN321=12,I321,0)</f>
        <v>0</v>
      </c>
      <c r="AL321" s="59">
        <f>IF(AN321=21,I321,0)</f>
        <v>0</v>
      </c>
      <c r="AN321" s="59">
        <v>12</v>
      </c>
      <c r="AO321" s="59">
        <f>H321*0.140415743</f>
        <v>0</v>
      </c>
      <c r="AP321" s="59">
        <f>H321*(1-0.140415743)</f>
        <v>0</v>
      </c>
      <c r="AQ321" s="61" t="s">
        <v>150</v>
      </c>
      <c r="AV321" s="59">
        <f>ROUND(AW321+AX321,2)</f>
        <v>0</v>
      </c>
      <c r="AW321" s="59">
        <f>ROUND(G321*AO321,2)</f>
        <v>0</v>
      </c>
      <c r="AX321" s="59">
        <f>ROUND(G321*AP321,2)</f>
        <v>0</v>
      </c>
      <c r="AY321" s="61" t="s">
        <v>230</v>
      </c>
      <c r="AZ321" s="61" t="s">
        <v>479</v>
      </c>
      <c r="BA321" s="46" t="s">
        <v>474</v>
      </c>
      <c r="BC321" s="59">
        <f>AW321+AX321</f>
        <v>0</v>
      </c>
      <c r="BD321" s="59">
        <f>H321/(100-BE321)*100</f>
        <v>0</v>
      </c>
      <c r="BE321" s="59">
        <v>0</v>
      </c>
      <c r="BF321" s="59">
        <f>L321</f>
        <v>2.3625E-3</v>
      </c>
      <c r="BH321" s="59">
        <f>G321*AO321</f>
        <v>0</v>
      </c>
      <c r="BI321" s="59">
        <f>G321*AP321</f>
        <v>0</v>
      </c>
      <c r="BJ321" s="59">
        <f>G321*H321</f>
        <v>0</v>
      </c>
      <c r="BK321" s="59"/>
      <c r="BL321" s="59">
        <v>783</v>
      </c>
      <c r="BW321" s="59">
        <v>12</v>
      </c>
      <c r="BX321" s="16" t="s">
        <v>236</v>
      </c>
    </row>
    <row r="322" spans="1:76" x14ac:dyDescent="0.25">
      <c r="A322" s="62"/>
      <c r="D322" s="63" t="s">
        <v>406</v>
      </c>
      <c r="E322" s="63"/>
      <c r="G322" s="64">
        <v>8.75</v>
      </c>
      <c r="M322" s="65"/>
    </row>
    <row r="323" spans="1:76" ht="15" customHeight="1" x14ac:dyDescent="0.25">
      <c r="A323" s="58" t="s">
        <v>588</v>
      </c>
      <c r="B323" s="18" t="s">
        <v>471</v>
      </c>
      <c r="C323" s="18" t="s">
        <v>407</v>
      </c>
      <c r="D323" s="8" t="s">
        <v>408</v>
      </c>
      <c r="E323" s="8"/>
      <c r="F323" s="18" t="s">
        <v>114</v>
      </c>
      <c r="G323" s="59">
        <v>30.22</v>
      </c>
      <c r="H323" s="59">
        <v>0</v>
      </c>
      <c r="I323" s="59">
        <f>ROUND(G323*H323,2)</f>
        <v>0</v>
      </c>
      <c r="J323" s="59">
        <v>3.6000000000000002E-4</v>
      </c>
      <c r="K323" s="59">
        <v>3.6000000000000002E-4</v>
      </c>
      <c r="L323" s="59">
        <f>G323*K323</f>
        <v>1.08792E-2</v>
      </c>
      <c r="M323" s="60" t="s">
        <v>115</v>
      </c>
      <c r="Z323" s="59">
        <f>ROUND(IF(AQ323="5",BJ323,0),2)</f>
        <v>0</v>
      </c>
      <c r="AB323" s="59">
        <f>ROUND(IF(AQ323="1",BH323,0),2)</f>
        <v>0</v>
      </c>
      <c r="AC323" s="59">
        <f>ROUND(IF(AQ323="1",BI323,0),2)</f>
        <v>0</v>
      </c>
      <c r="AD323" s="59">
        <f>ROUND(IF(AQ323="7",BH323,0),2)</f>
        <v>0</v>
      </c>
      <c r="AE323" s="59">
        <f>ROUND(IF(AQ323="7",BI323,0),2)</f>
        <v>0</v>
      </c>
      <c r="AF323" s="59">
        <f>ROUND(IF(AQ323="2",BH323,0),2)</f>
        <v>0</v>
      </c>
      <c r="AG323" s="59">
        <f>ROUND(IF(AQ323="2",BI323,0),2)</f>
        <v>0</v>
      </c>
      <c r="AH323" s="59">
        <f>ROUND(IF(AQ323="0",BJ323,0),2)</f>
        <v>0</v>
      </c>
      <c r="AI323" s="46" t="s">
        <v>471</v>
      </c>
      <c r="AJ323" s="59">
        <f>IF(AN323=0,I323,0)</f>
        <v>0</v>
      </c>
      <c r="AK323" s="59">
        <f>IF(AN323=12,I323,0)</f>
        <v>0</v>
      </c>
      <c r="AL323" s="59">
        <f>IF(AN323=21,I323,0)</f>
        <v>0</v>
      </c>
      <c r="AN323" s="59">
        <v>12</v>
      </c>
      <c r="AO323" s="59">
        <f>H323*0.23711537</f>
        <v>0</v>
      </c>
      <c r="AP323" s="59">
        <f>H323*(1-0.23711537)</f>
        <v>0</v>
      </c>
      <c r="AQ323" s="61" t="s">
        <v>150</v>
      </c>
      <c r="AV323" s="59">
        <f>ROUND(AW323+AX323,2)</f>
        <v>0</v>
      </c>
      <c r="AW323" s="59">
        <f>ROUND(G323*AO323,2)</f>
        <v>0</v>
      </c>
      <c r="AX323" s="59">
        <f>ROUND(G323*AP323,2)</f>
        <v>0</v>
      </c>
      <c r="AY323" s="61" t="s">
        <v>230</v>
      </c>
      <c r="AZ323" s="61" t="s">
        <v>479</v>
      </c>
      <c r="BA323" s="46" t="s">
        <v>474</v>
      </c>
      <c r="BC323" s="59">
        <f>AW323+AX323</f>
        <v>0</v>
      </c>
      <c r="BD323" s="59">
        <f>H323/(100-BE323)*100</f>
        <v>0</v>
      </c>
      <c r="BE323" s="59">
        <v>0</v>
      </c>
      <c r="BF323" s="59">
        <f>L323</f>
        <v>1.08792E-2</v>
      </c>
      <c r="BH323" s="59">
        <f>G323*AO323</f>
        <v>0</v>
      </c>
      <c r="BI323" s="59">
        <f>G323*AP323</f>
        <v>0</v>
      </c>
      <c r="BJ323" s="59">
        <f>G323*H323</f>
        <v>0</v>
      </c>
      <c r="BK323" s="59"/>
      <c r="BL323" s="59">
        <v>783</v>
      </c>
      <c r="BW323" s="59">
        <v>12</v>
      </c>
      <c r="BX323" s="16" t="s">
        <v>408</v>
      </c>
    </row>
    <row r="324" spans="1:76" x14ac:dyDescent="0.25">
      <c r="A324" s="62"/>
      <c r="D324" s="63" t="s">
        <v>410</v>
      </c>
      <c r="E324" s="63"/>
      <c r="G324" s="64">
        <v>30.22</v>
      </c>
      <c r="M324" s="65"/>
    </row>
    <row r="325" spans="1:76" ht="15" customHeight="1" x14ac:dyDescent="0.25">
      <c r="A325" s="58" t="s">
        <v>589</v>
      </c>
      <c r="B325" s="18" t="s">
        <v>471</v>
      </c>
      <c r="C325" s="18" t="s">
        <v>411</v>
      </c>
      <c r="D325" s="8" t="s">
        <v>412</v>
      </c>
      <c r="E325" s="8"/>
      <c r="F325" s="18" t="s">
        <v>114</v>
      </c>
      <c r="G325" s="59">
        <v>30.22</v>
      </c>
      <c r="H325" s="59">
        <v>0</v>
      </c>
      <c r="I325" s="59">
        <f>ROUND(G325*H325,2)</f>
        <v>0</v>
      </c>
      <c r="J325" s="59">
        <v>1.0000000000000001E-5</v>
      </c>
      <c r="K325" s="59">
        <v>1.0000000000000001E-5</v>
      </c>
      <c r="L325" s="59">
        <f>G325*K325</f>
        <v>3.0220000000000003E-4</v>
      </c>
      <c r="M325" s="60" t="s">
        <v>115</v>
      </c>
      <c r="Z325" s="59">
        <f>ROUND(IF(AQ325="5",BJ325,0),2)</f>
        <v>0</v>
      </c>
      <c r="AB325" s="59">
        <f>ROUND(IF(AQ325="1",BH325,0),2)</f>
        <v>0</v>
      </c>
      <c r="AC325" s="59">
        <f>ROUND(IF(AQ325="1",BI325,0),2)</f>
        <v>0</v>
      </c>
      <c r="AD325" s="59">
        <f>ROUND(IF(AQ325="7",BH325,0),2)</f>
        <v>0</v>
      </c>
      <c r="AE325" s="59">
        <f>ROUND(IF(AQ325="7",BI325,0),2)</f>
        <v>0</v>
      </c>
      <c r="AF325" s="59">
        <f>ROUND(IF(AQ325="2",BH325,0),2)</f>
        <v>0</v>
      </c>
      <c r="AG325" s="59">
        <f>ROUND(IF(AQ325="2",BI325,0),2)</f>
        <v>0</v>
      </c>
      <c r="AH325" s="59">
        <f>ROUND(IF(AQ325="0",BJ325,0),2)</f>
        <v>0</v>
      </c>
      <c r="AI325" s="46" t="s">
        <v>471</v>
      </c>
      <c r="AJ325" s="59">
        <f>IF(AN325=0,I325,0)</f>
        <v>0</v>
      </c>
      <c r="AK325" s="59">
        <f>IF(AN325=12,I325,0)</f>
        <v>0</v>
      </c>
      <c r="AL325" s="59">
        <f>IF(AN325=21,I325,0)</f>
        <v>0</v>
      </c>
      <c r="AN325" s="59">
        <v>12</v>
      </c>
      <c r="AO325" s="59">
        <f>H325*0.06128009</f>
        <v>0</v>
      </c>
      <c r="AP325" s="59">
        <f>H325*(1-0.06128009)</f>
        <v>0</v>
      </c>
      <c r="AQ325" s="61" t="s">
        <v>150</v>
      </c>
      <c r="AV325" s="59">
        <f>ROUND(AW325+AX325,2)</f>
        <v>0</v>
      </c>
      <c r="AW325" s="59">
        <f>ROUND(G325*AO325,2)</f>
        <v>0</v>
      </c>
      <c r="AX325" s="59">
        <f>ROUND(G325*AP325,2)</f>
        <v>0</v>
      </c>
      <c r="AY325" s="61" t="s">
        <v>230</v>
      </c>
      <c r="AZ325" s="61" t="s">
        <v>479</v>
      </c>
      <c r="BA325" s="46" t="s">
        <v>474</v>
      </c>
      <c r="BC325" s="59">
        <f>AW325+AX325</f>
        <v>0</v>
      </c>
      <c r="BD325" s="59">
        <f>H325/(100-BE325)*100</f>
        <v>0</v>
      </c>
      <c r="BE325" s="59">
        <v>0</v>
      </c>
      <c r="BF325" s="59">
        <f>L325</f>
        <v>3.0220000000000003E-4</v>
      </c>
      <c r="BH325" s="59">
        <f>G325*AO325</f>
        <v>0</v>
      </c>
      <c r="BI325" s="59">
        <f>G325*AP325</f>
        <v>0</v>
      </c>
      <c r="BJ325" s="59">
        <f>G325*H325</f>
        <v>0</v>
      </c>
      <c r="BK325" s="59"/>
      <c r="BL325" s="59">
        <v>783</v>
      </c>
      <c r="BW325" s="59">
        <v>12</v>
      </c>
      <c r="BX325" s="16" t="s">
        <v>412</v>
      </c>
    </row>
    <row r="326" spans="1:76" x14ac:dyDescent="0.25">
      <c r="A326" s="62"/>
      <c r="D326" s="63" t="s">
        <v>410</v>
      </c>
      <c r="E326" s="63"/>
      <c r="G326" s="64">
        <v>30.22</v>
      </c>
      <c r="M326" s="65"/>
    </row>
    <row r="327" spans="1:76" ht="15" customHeight="1" x14ac:dyDescent="0.25">
      <c r="A327" s="58" t="s">
        <v>590</v>
      </c>
      <c r="B327" s="18" t="s">
        <v>471</v>
      </c>
      <c r="C327" s="18" t="s">
        <v>414</v>
      </c>
      <c r="D327" s="8" t="s">
        <v>412</v>
      </c>
      <c r="E327" s="8"/>
      <c r="F327" s="18" t="s">
        <v>114</v>
      </c>
      <c r="G327" s="59">
        <v>30.22</v>
      </c>
      <c r="H327" s="59">
        <v>0</v>
      </c>
      <c r="I327" s="59">
        <f>ROUND(G327*H327,2)</f>
        <v>0</v>
      </c>
      <c r="J327" s="59">
        <v>6.9999999999999994E-5</v>
      </c>
      <c r="K327" s="59">
        <v>6.9999999999999994E-5</v>
      </c>
      <c r="L327" s="59">
        <f>G327*K327</f>
        <v>2.1153999999999999E-3</v>
      </c>
      <c r="M327" s="60" t="s">
        <v>115</v>
      </c>
      <c r="Z327" s="59">
        <f>ROUND(IF(AQ327="5",BJ327,0),2)</f>
        <v>0</v>
      </c>
      <c r="AB327" s="59">
        <f>ROUND(IF(AQ327="1",BH327,0),2)</f>
        <v>0</v>
      </c>
      <c r="AC327" s="59">
        <f>ROUND(IF(AQ327="1",BI327,0),2)</f>
        <v>0</v>
      </c>
      <c r="AD327" s="59">
        <f>ROUND(IF(AQ327="7",BH327,0),2)</f>
        <v>0</v>
      </c>
      <c r="AE327" s="59">
        <f>ROUND(IF(AQ327="7",BI327,0),2)</f>
        <v>0</v>
      </c>
      <c r="AF327" s="59">
        <f>ROUND(IF(AQ327="2",BH327,0),2)</f>
        <v>0</v>
      </c>
      <c r="AG327" s="59">
        <f>ROUND(IF(AQ327="2",BI327,0),2)</f>
        <v>0</v>
      </c>
      <c r="AH327" s="59">
        <f>ROUND(IF(AQ327="0",BJ327,0),2)</f>
        <v>0</v>
      </c>
      <c r="AI327" s="46" t="s">
        <v>471</v>
      </c>
      <c r="AJ327" s="59">
        <f>IF(AN327=0,I327,0)</f>
        <v>0</v>
      </c>
      <c r="AK327" s="59">
        <f>IF(AN327=12,I327,0)</f>
        <v>0</v>
      </c>
      <c r="AL327" s="59">
        <f>IF(AN327=21,I327,0)</f>
        <v>0</v>
      </c>
      <c r="AN327" s="59">
        <v>12</v>
      </c>
      <c r="AO327" s="59">
        <f>H327*0.091915035</f>
        <v>0</v>
      </c>
      <c r="AP327" s="59">
        <f>H327*(1-0.091915035)</f>
        <v>0</v>
      </c>
      <c r="AQ327" s="61" t="s">
        <v>150</v>
      </c>
      <c r="AV327" s="59">
        <f>ROUND(AW327+AX327,2)</f>
        <v>0</v>
      </c>
      <c r="AW327" s="59">
        <f>ROUND(G327*AO327,2)</f>
        <v>0</v>
      </c>
      <c r="AX327" s="59">
        <f>ROUND(G327*AP327,2)</f>
        <v>0</v>
      </c>
      <c r="AY327" s="61" t="s">
        <v>230</v>
      </c>
      <c r="AZ327" s="61" t="s">
        <v>479</v>
      </c>
      <c r="BA327" s="46" t="s">
        <v>474</v>
      </c>
      <c r="BC327" s="59">
        <f>AW327+AX327</f>
        <v>0</v>
      </c>
      <c r="BD327" s="59">
        <f>H327/(100-BE327)*100</f>
        <v>0</v>
      </c>
      <c r="BE327" s="59">
        <v>0</v>
      </c>
      <c r="BF327" s="59">
        <f>L327</f>
        <v>2.1153999999999999E-3</v>
      </c>
      <c r="BH327" s="59">
        <f>G327*AO327</f>
        <v>0</v>
      </c>
      <c r="BI327" s="59">
        <f>G327*AP327</f>
        <v>0</v>
      </c>
      <c r="BJ327" s="59">
        <f>G327*H327</f>
        <v>0</v>
      </c>
      <c r="BK327" s="59"/>
      <c r="BL327" s="59">
        <v>783</v>
      </c>
      <c r="BW327" s="59">
        <v>12</v>
      </c>
      <c r="BX327" s="16" t="s">
        <v>412</v>
      </c>
    </row>
    <row r="328" spans="1:76" x14ac:dyDescent="0.25">
      <c r="A328" s="62"/>
      <c r="D328" s="63" t="s">
        <v>410</v>
      </c>
      <c r="E328" s="63"/>
      <c r="G328" s="64">
        <v>30.22</v>
      </c>
      <c r="M328" s="65"/>
    </row>
    <row r="329" spans="1:76" ht="15" customHeight="1" x14ac:dyDescent="0.25">
      <c r="A329" s="54"/>
      <c r="B329" s="55" t="s">
        <v>471</v>
      </c>
      <c r="C329" s="55" t="s">
        <v>239</v>
      </c>
      <c r="D329" s="104" t="s">
        <v>240</v>
      </c>
      <c r="E329" s="104"/>
      <c r="F329" s="56" t="s">
        <v>88</v>
      </c>
      <c r="G329" s="56" t="s">
        <v>88</v>
      </c>
      <c r="H329" s="56" t="s">
        <v>88</v>
      </c>
      <c r="I329" s="39">
        <f>SUM(I330:I334)</f>
        <v>0</v>
      </c>
      <c r="J329" s="46"/>
      <c r="K329" s="46"/>
      <c r="L329" s="39">
        <f>SUM(L330:L334)</f>
        <v>0.11506860000000001</v>
      </c>
      <c r="M329" s="57"/>
      <c r="AI329" s="46" t="s">
        <v>471</v>
      </c>
      <c r="AS329" s="39">
        <f>SUM(AJ330:AJ334)</f>
        <v>0</v>
      </c>
      <c r="AT329" s="39">
        <f>SUM(AK330:AK334)</f>
        <v>0</v>
      </c>
      <c r="AU329" s="39">
        <f>SUM(AL330:AL334)</f>
        <v>0</v>
      </c>
    </row>
    <row r="330" spans="1:76" ht="15" customHeight="1" x14ac:dyDescent="0.25">
      <c r="A330" s="58" t="s">
        <v>591</v>
      </c>
      <c r="B330" s="18" t="s">
        <v>471</v>
      </c>
      <c r="C330" s="18" t="s">
        <v>242</v>
      </c>
      <c r="D330" s="8" t="s">
        <v>243</v>
      </c>
      <c r="E330" s="8"/>
      <c r="F330" s="18" t="s">
        <v>114</v>
      </c>
      <c r="G330" s="59">
        <v>256.68</v>
      </c>
      <c r="H330" s="59">
        <v>0</v>
      </c>
      <c r="I330" s="59">
        <f>ROUND(G330*H330,2)</f>
        <v>0</v>
      </c>
      <c r="J330" s="59">
        <v>3.5E-4</v>
      </c>
      <c r="K330" s="59">
        <v>3.5E-4</v>
      </c>
      <c r="L330" s="59">
        <f>G330*K330</f>
        <v>8.9838000000000001E-2</v>
      </c>
      <c r="M330" s="60" t="s">
        <v>115</v>
      </c>
      <c r="Z330" s="59">
        <f>ROUND(IF(AQ330="5",BJ330,0),2)</f>
        <v>0</v>
      </c>
      <c r="AB330" s="59">
        <f>ROUND(IF(AQ330="1",BH330,0),2)</f>
        <v>0</v>
      </c>
      <c r="AC330" s="59">
        <f>ROUND(IF(AQ330="1",BI330,0),2)</f>
        <v>0</v>
      </c>
      <c r="AD330" s="59">
        <f>ROUND(IF(AQ330="7",BH330,0),2)</f>
        <v>0</v>
      </c>
      <c r="AE330" s="59">
        <f>ROUND(IF(AQ330="7",BI330,0),2)</f>
        <v>0</v>
      </c>
      <c r="AF330" s="59">
        <f>ROUND(IF(AQ330="2",BH330,0),2)</f>
        <v>0</v>
      </c>
      <c r="AG330" s="59">
        <f>ROUND(IF(AQ330="2",BI330,0),2)</f>
        <v>0</v>
      </c>
      <c r="AH330" s="59">
        <f>ROUND(IF(AQ330="0",BJ330,0),2)</f>
        <v>0</v>
      </c>
      <c r="AI330" s="46" t="s">
        <v>471</v>
      </c>
      <c r="AJ330" s="59">
        <f>IF(AN330=0,I330,0)</f>
        <v>0</v>
      </c>
      <c r="AK330" s="59">
        <f>IF(AN330=12,I330,0)</f>
        <v>0</v>
      </c>
      <c r="AL330" s="59">
        <f>IF(AN330=21,I330,0)</f>
        <v>0</v>
      </c>
      <c r="AN330" s="59">
        <v>12</v>
      </c>
      <c r="AO330" s="59">
        <f>H330*0.577223798</f>
        <v>0</v>
      </c>
      <c r="AP330" s="59">
        <f>H330*(1-0.577223798)</f>
        <v>0</v>
      </c>
      <c r="AQ330" s="61" t="s">
        <v>150</v>
      </c>
      <c r="AV330" s="59">
        <f>ROUND(AW330+AX330,2)</f>
        <v>0</v>
      </c>
      <c r="AW330" s="59">
        <f>ROUND(G330*AO330,2)</f>
        <v>0</v>
      </c>
      <c r="AX330" s="59">
        <f>ROUND(G330*AP330,2)</f>
        <v>0</v>
      </c>
      <c r="AY330" s="61" t="s">
        <v>244</v>
      </c>
      <c r="AZ330" s="61" t="s">
        <v>479</v>
      </c>
      <c r="BA330" s="46" t="s">
        <v>474</v>
      </c>
      <c r="BC330" s="59">
        <f>AW330+AX330</f>
        <v>0</v>
      </c>
      <c r="BD330" s="59">
        <f>H330/(100-BE330)*100</f>
        <v>0</v>
      </c>
      <c r="BE330" s="59">
        <v>0</v>
      </c>
      <c r="BF330" s="59">
        <f>L330</f>
        <v>8.9838000000000001E-2</v>
      </c>
      <c r="BH330" s="59">
        <f>G330*AO330</f>
        <v>0</v>
      </c>
      <c r="BI330" s="59">
        <f>G330*AP330</f>
        <v>0</v>
      </c>
      <c r="BJ330" s="59">
        <f>G330*H330</f>
        <v>0</v>
      </c>
      <c r="BK330" s="59"/>
      <c r="BL330" s="59">
        <v>784</v>
      </c>
      <c r="BW330" s="59">
        <v>12</v>
      </c>
      <c r="BX330" s="16" t="s">
        <v>243</v>
      </c>
    </row>
    <row r="331" spans="1:76" x14ac:dyDescent="0.25">
      <c r="A331" s="62"/>
      <c r="D331" s="63" t="s">
        <v>416</v>
      </c>
      <c r="E331" s="63"/>
      <c r="G331" s="64">
        <v>256.68</v>
      </c>
      <c r="M331" s="65"/>
    </row>
    <row r="332" spans="1:76" ht="15" customHeight="1" x14ac:dyDescent="0.25">
      <c r="A332" s="58" t="s">
        <v>592</v>
      </c>
      <c r="B332" s="18" t="s">
        <v>471</v>
      </c>
      <c r="C332" s="18" t="s">
        <v>249</v>
      </c>
      <c r="D332" s="8" t="s">
        <v>250</v>
      </c>
      <c r="E332" s="8"/>
      <c r="F332" s="18" t="s">
        <v>114</v>
      </c>
      <c r="G332" s="59">
        <v>26.1</v>
      </c>
      <c r="H332" s="59">
        <v>0</v>
      </c>
      <c r="I332" s="59">
        <f>ROUND(G332*H332,2)</f>
        <v>0</v>
      </c>
      <c r="J332" s="59">
        <v>7.6999999999999996E-4</v>
      </c>
      <c r="K332" s="59">
        <v>7.6999999999999996E-4</v>
      </c>
      <c r="L332" s="59">
        <f>G332*K332</f>
        <v>2.0097E-2</v>
      </c>
      <c r="M332" s="60" t="s">
        <v>115</v>
      </c>
      <c r="Z332" s="59">
        <f>ROUND(IF(AQ332="5",BJ332,0),2)</f>
        <v>0</v>
      </c>
      <c r="AB332" s="59">
        <f>ROUND(IF(AQ332="1",BH332,0),2)</f>
        <v>0</v>
      </c>
      <c r="AC332" s="59">
        <f>ROUND(IF(AQ332="1",BI332,0),2)</f>
        <v>0</v>
      </c>
      <c r="AD332" s="59">
        <f>ROUND(IF(AQ332="7",BH332,0),2)</f>
        <v>0</v>
      </c>
      <c r="AE332" s="59">
        <f>ROUND(IF(AQ332="7",BI332,0),2)</f>
        <v>0</v>
      </c>
      <c r="AF332" s="59">
        <f>ROUND(IF(AQ332="2",BH332,0),2)</f>
        <v>0</v>
      </c>
      <c r="AG332" s="59">
        <f>ROUND(IF(AQ332="2",BI332,0),2)</f>
        <v>0</v>
      </c>
      <c r="AH332" s="59">
        <f>ROUND(IF(AQ332="0",BJ332,0),2)</f>
        <v>0</v>
      </c>
      <c r="AI332" s="46" t="s">
        <v>471</v>
      </c>
      <c r="AJ332" s="59">
        <f>IF(AN332=0,I332,0)</f>
        <v>0</v>
      </c>
      <c r="AK332" s="59">
        <f>IF(AN332=12,I332,0)</f>
        <v>0</v>
      </c>
      <c r="AL332" s="59">
        <f>IF(AN332=21,I332,0)</f>
        <v>0</v>
      </c>
      <c r="AN332" s="59">
        <v>12</v>
      </c>
      <c r="AO332" s="59">
        <f>H332*0.248890105</f>
        <v>0</v>
      </c>
      <c r="AP332" s="59">
        <f>H332*(1-0.248890105)</f>
        <v>0</v>
      </c>
      <c r="AQ332" s="61" t="s">
        <v>150</v>
      </c>
      <c r="AV332" s="59">
        <f>ROUND(AW332+AX332,2)</f>
        <v>0</v>
      </c>
      <c r="AW332" s="59">
        <f>ROUND(G332*AO332,2)</f>
        <v>0</v>
      </c>
      <c r="AX332" s="59">
        <f>ROUND(G332*AP332,2)</f>
        <v>0</v>
      </c>
      <c r="AY332" s="61" t="s">
        <v>244</v>
      </c>
      <c r="AZ332" s="61" t="s">
        <v>479</v>
      </c>
      <c r="BA332" s="46" t="s">
        <v>474</v>
      </c>
      <c r="BC332" s="59">
        <f>AW332+AX332</f>
        <v>0</v>
      </c>
      <c r="BD332" s="59">
        <f>H332/(100-BE332)*100</f>
        <v>0</v>
      </c>
      <c r="BE332" s="59">
        <v>0</v>
      </c>
      <c r="BF332" s="59">
        <f>L332</f>
        <v>2.0097E-2</v>
      </c>
      <c r="BH332" s="59">
        <f>G332*AO332</f>
        <v>0</v>
      </c>
      <c r="BI332" s="59">
        <f>G332*AP332</f>
        <v>0</v>
      </c>
      <c r="BJ332" s="59">
        <f>G332*H332</f>
        <v>0</v>
      </c>
      <c r="BK332" s="59"/>
      <c r="BL332" s="59">
        <v>784</v>
      </c>
      <c r="BW332" s="59">
        <v>12</v>
      </c>
      <c r="BX332" s="16" t="s">
        <v>250</v>
      </c>
    </row>
    <row r="333" spans="1:76" x14ac:dyDescent="0.25">
      <c r="A333" s="62"/>
      <c r="D333" s="63" t="s">
        <v>417</v>
      </c>
      <c r="E333" s="63"/>
      <c r="G333" s="64">
        <v>26.1</v>
      </c>
      <c r="M333" s="65"/>
    </row>
    <row r="334" spans="1:76" ht="15" customHeight="1" x14ac:dyDescent="0.25">
      <c r="A334" s="58" t="s">
        <v>593</v>
      </c>
      <c r="B334" s="18" t="s">
        <v>471</v>
      </c>
      <c r="C334" s="18" t="s">
        <v>254</v>
      </c>
      <c r="D334" s="8" t="s">
        <v>255</v>
      </c>
      <c r="E334" s="8"/>
      <c r="F334" s="18" t="s">
        <v>114</v>
      </c>
      <c r="G334" s="59">
        <v>513.36</v>
      </c>
      <c r="H334" s="59">
        <v>0</v>
      </c>
      <c r="I334" s="59">
        <f>ROUND(G334*H334,2)</f>
        <v>0</v>
      </c>
      <c r="J334" s="59">
        <v>1.0000000000000001E-5</v>
      </c>
      <c r="K334" s="59">
        <v>1.0000000000000001E-5</v>
      </c>
      <c r="L334" s="59">
        <f>G334*K334</f>
        <v>5.1336000000000003E-3</v>
      </c>
      <c r="M334" s="60" t="s">
        <v>115</v>
      </c>
      <c r="Z334" s="59">
        <f>ROUND(IF(AQ334="5",BJ334,0),2)</f>
        <v>0</v>
      </c>
      <c r="AB334" s="59">
        <f>ROUND(IF(AQ334="1",BH334,0),2)</f>
        <v>0</v>
      </c>
      <c r="AC334" s="59">
        <f>ROUND(IF(AQ334="1",BI334,0),2)</f>
        <v>0</v>
      </c>
      <c r="AD334" s="59">
        <f>ROUND(IF(AQ334="7",BH334,0),2)</f>
        <v>0</v>
      </c>
      <c r="AE334" s="59">
        <f>ROUND(IF(AQ334="7",BI334,0),2)</f>
        <v>0</v>
      </c>
      <c r="AF334" s="59">
        <f>ROUND(IF(AQ334="2",BH334,0),2)</f>
        <v>0</v>
      </c>
      <c r="AG334" s="59">
        <f>ROUND(IF(AQ334="2",BI334,0),2)</f>
        <v>0</v>
      </c>
      <c r="AH334" s="59">
        <f>ROUND(IF(AQ334="0",BJ334,0),2)</f>
        <v>0</v>
      </c>
      <c r="AI334" s="46" t="s">
        <v>471</v>
      </c>
      <c r="AJ334" s="59">
        <f>IF(AN334=0,I334,0)</f>
        <v>0</v>
      </c>
      <c r="AK334" s="59">
        <f>IF(AN334=12,I334,0)</f>
        <v>0</v>
      </c>
      <c r="AL334" s="59">
        <f>IF(AN334=21,I334,0)</f>
        <v>0</v>
      </c>
      <c r="AN334" s="59">
        <v>12</v>
      </c>
      <c r="AO334" s="59">
        <f>H334*0.236832231</f>
        <v>0</v>
      </c>
      <c r="AP334" s="59">
        <f>H334*(1-0.236832231)</f>
        <v>0</v>
      </c>
      <c r="AQ334" s="61" t="s">
        <v>150</v>
      </c>
      <c r="AV334" s="59">
        <f>ROUND(AW334+AX334,2)</f>
        <v>0</v>
      </c>
      <c r="AW334" s="59">
        <f>ROUND(G334*AO334,2)</f>
        <v>0</v>
      </c>
      <c r="AX334" s="59">
        <f>ROUND(G334*AP334,2)</f>
        <v>0</v>
      </c>
      <c r="AY334" s="61" t="s">
        <v>244</v>
      </c>
      <c r="AZ334" s="61" t="s">
        <v>479</v>
      </c>
      <c r="BA334" s="46" t="s">
        <v>474</v>
      </c>
      <c r="BC334" s="59">
        <f>AW334+AX334</f>
        <v>0</v>
      </c>
      <c r="BD334" s="59">
        <f>H334/(100-BE334)*100</f>
        <v>0</v>
      </c>
      <c r="BE334" s="59">
        <v>0</v>
      </c>
      <c r="BF334" s="59">
        <f>L334</f>
        <v>5.1336000000000003E-3</v>
      </c>
      <c r="BH334" s="59">
        <f>G334*AO334</f>
        <v>0</v>
      </c>
      <c r="BI334" s="59">
        <f>G334*AP334</f>
        <v>0</v>
      </c>
      <c r="BJ334" s="59">
        <f>G334*H334</f>
        <v>0</v>
      </c>
      <c r="BK334" s="59"/>
      <c r="BL334" s="59">
        <v>784</v>
      </c>
      <c r="BW334" s="59">
        <v>12</v>
      </c>
      <c r="BX334" s="16" t="s">
        <v>255</v>
      </c>
    </row>
    <row r="335" spans="1:76" x14ac:dyDescent="0.25">
      <c r="A335" s="62"/>
      <c r="D335" s="63" t="s">
        <v>418</v>
      </c>
      <c r="E335" s="63"/>
      <c r="G335" s="64">
        <v>513.36</v>
      </c>
      <c r="M335" s="65"/>
    </row>
    <row r="336" spans="1:76" ht="15" customHeight="1" x14ac:dyDescent="0.25">
      <c r="A336" s="54"/>
      <c r="B336" s="55" t="s">
        <v>471</v>
      </c>
      <c r="C336" s="55" t="s">
        <v>259</v>
      </c>
      <c r="D336" s="104" t="s">
        <v>260</v>
      </c>
      <c r="E336" s="104"/>
      <c r="F336" s="56" t="s">
        <v>88</v>
      </c>
      <c r="G336" s="56" t="s">
        <v>88</v>
      </c>
      <c r="H336" s="56" t="s">
        <v>88</v>
      </c>
      <c r="I336" s="39">
        <f>SUM(I337)</f>
        <v>0</v>
      </c>
      <c r="J336" s="46"/>
      <c r="K336" s="46"/>
      <c r="L336" s="39">
        <f>SUM(L337)</f>
        <v>8.2512000000000002E-2</v>
      </c>
      <c r="M336" s="57"/>
      <c r="AI336" s="46" t="s">
        <v>471</v>
      </c>
      <c r="AS336" s="39">
        <f>SUM(AJ337)</f>
        <v>0</v>
      </c>
      <c r="AT336" s="39">
        <f>SUM(AK337)</f>
        <v>0</v>
      </c>
      <c r="AU336" s="39">
        <f>SUM(AL337)</f>
        <v>0</v>
      </c>
    </row>
    <row r="337" spans="1:76" ht="15" customHeight="1" x14ac:dyDescent="0.25">
      <c r="A337" s="58" t="s">
        <v>594</v>
      </c>
      <c r="B337" s="18" t="s">
        <v>471</v>
      </c>
      <c r="C337" s="18" t="s">
        <v>262</v>
      </c>
      <c r="D337" s="8" t="s">
        <v>419</v>
      </c>
      <c r="E337" s="8"/>
      <c r="F337" s="18" t="s">
        <v>114</v>
      </c>
      <c r="G337" s="59">
        <v>21.6</v>
      </c>
      <c r="H337" s="59">
        <v>0</v>
      </c>
      <c r="I337" s="59">
        <f>ROUND(G337*H337,2)</f>
        <v>0</v>
      </c>
      <c r="J337" s="59">
        <v>3.82E-3</v>
      </c>
      <c r="K337" s="59">
        <v>3.82E-3</v>
      </c>
      <c r="L337" s="59">
        <f>G337*K337</f>
        <v>8.2512000000000002E-2</v>
      </c>
      <c r="M337" s="60" t="s">
        <v>115</v>
      </c>
      <c r="Z337" s="59">
        <f>ROUND(IF(AQ337="5",BJ337,0),2)</f>
        <v>0</v>
      </c>
      <c r="AB337" s="59">
        <f>ROUND(IF(AQ337="1",BH337,0),2)</f>
        <v>0</v>
      </c>
      <c r="AC337" s="59">
        <f>ROUND(IF(AQ337="1",BI337,0),2)</f>
        <v>0</v>
      </c>
      <c r="AD337" s="59">
        <f>ROUND(IF(AQ337="7",BH337,0),2)</f>
        <v>0</v>
      </c>
      <c r="AE337" s="59">
        <f>ROUND(IF(AQ337="7",BI337,0),2)</f>
        <v>0</v>
      </c>
      <c r="AF337" s="59">
        <f>ROUND(IF(AQ337="2",BH337,0),2)</f>
        <v>0</v>
      </c>
      <c r="AG337" s="59">
        <f>ROUND(IF(AQ337="2",BI337,0),2)</f>
        <v>0</v>
      </c>
      <c r="AH337" s="59">
        <f>ROUND(IF(AQ337="0",BJ337,0),2)</f>
        <v>0</v>
      </c>
      <c r="AI337" s="46" t="s">
        <v>471</v>
      </c>
      <c r="AJ337" s="59">
        <f>IF(AN337=0,I337,0)</f>
        <v>0</v>
      </c>
      <c r="AK337" s="59">
        <f>IF(AN337=12,I337,0)</f>
        <v>0</v>
      </c>
      <c r="AL337" s="59">
        <f>IF(AN337=21,I337,0)</f>
        <v>0</v>
      </c>
      <c r="AN337" s="59">
        <v>12</v>
      </c>
      <c r="AO337" s="59">
        <f>H337*0.657241014</f>
        <v>0</v>
      </c>
      <c r="AP337" s="59">
        <f>H337*(1-0.657241014)</f>
        <v>0</v>
      </c>
      <c r="AQ337" s="61" t="s">
        <v>150</v>
      </c>
      <c r="AV337" s="59">
        <f>ROUND(AW337+AX337,2)</f>
        <v>0</v>
      </c>
      <c r="AW337" s="59">
        <f>ROUND(G337*AO337,2)</f>
        <v>0</v>
      </c>
      <c r="AX337" s="59">
        <f>ROUND(G337*AP337,2)</f>
        <v>0</v>
      </c>
      <c r="AY337" s="61" t="s">
        <v>264</v>
      </c>
      <c r="AZ337" s="61" t="s">
        <v>479</v>
      </c>
      <c r="BA337" s="46" t="s">
        <v>474</v>
      </c>
      <c r="BC337" s="59">
        <f>AW337+AX337</f>
        <v>0</v>
      </c>
      <c r="BD337" s="59">
        <f>H337/(100-BE337)*100</f>
        <v>0</v>
      </c>
      <c r="BE337" s="59">
        <v>0</v>
      </c>
      <c r="BF337" s="59">
        <f>L337</f>
        <v>8.2512000000000002E-2</v>
      </c>
      <c r="BH337" s="59">
        <f>G337*AO337</f>
        <v>0</v>
      </c>
      <c r="BI337" s="59">
        <f>G337*AP337</f>
        <v>0</v>
      </c>
      <c r="BJ337" s="59">
        <f>G337*H337</f>
        <v>0</v>
      </c>
      <c r="BK337" s="59"/>
      <c r="BL337" s="59">
        <v>786</v>
      </c>
      <c r="BW337" s="59">
        <v>12</v>
      </c>
      <c r="BX337" s="16" t="s">
        <v>419</v>
      </c>
    </row>
    <row r="338" spans="1:76" x14ac:dyDescent="0.25">
      <c r="A338" s="62"/>
      <c r="D338" s="63" t="s">
        <v>420</v>
      </c>
      <c r="E338" s="63"/>
      <c r="G338" s="64">
        <v>21.6</v>
      </c>
      <c r="M338" s="65"/>
    </row>
    <row r="339" spans="1:76" ht="15" customHeight="1" x14ac:dyDescent="0.25">
      <c r="A339" s="54"/>
      <c r="B339" s="55" t="s">
        <v>471</v>
      </c>
      <c r="C339" s="55" t="s">
        <v>267</v>
      </c>
      <c r="D339" s="104" t="s">
        <v>268</v>
      </c>
      <c r="E339" s="104"/>
      <c r="F339" s="56" t="s">
        <v>88</v>
      </c>
      <c r="G339" s="56" t="s">
        <v>88</v>
      </c>
      <c r="H339" s="56" t="s">
        <v>88</v>
      </c>
      <c r="I339" s="39">
        <f>SUM(I340:I344)</f>
        <v>0</v>
      </c>
      <c r="J339" s="46"/>
      <c r="K339" s="46"/>
      <c r="L339" s="39">
        <f>SUM(L340:L344)</f>
        <v>0</v>
      </c>
      <c r="M339" s="57"/>
      <c r="AI339" s="46" t="s">
        <v>471</v>
      </c>
      <c r="AS339" s="39">
        <f>SUM(AJ340:AJ344)</f>
        <v>0</v>
      </c>
      <c r="AT339" s="39">
        <f>SUM(AK340:AK344)</f>
        <v>0</v>
      </c>
      <c r="AU339" s="39">
        <f>SUM(AL340:AL344)</f>
        <v>0</v>
      </c>
    </row>
    <row r="340" spans="1:76" ht="15" customHeight="1" x14ac:dyDescent="0.25">
      <c r="A340" s="58" t="s">
        <v>595</v>
      </c>
      <c r="B340" s="18" t="s">
        <v>471</v>
      </c>
      <c r="C340" s="18" t="s">
        <v>270</v>
      </c>
      <c r="D340" s="8" t="s">
        <v>271</v>
      </c>
      <c r="E340" s="8"/>
      <c r="F340" s="18" t="s">
        <v>272</v>
      </c>
      <c r="G340" s="59">
        <v>12</v>
      </c>
      <c r="H340" s="59">
        <v>0</v>
      </c>
      <c r="I340" s="59">
        <f>ROUND(G340*H340,2)</f>
        <v>0</v>
      </c>
      <c r="J340" s="59">
        <v>0</v>
      </c>
      <c r="K340" s="59">
        <v>0</v>
      </c>
      <c r="L340" s="59">
        <f>G340*K340</f>
        <v>0</v>
      </c>
      <c r="M340" s="60" t="s">
        <v>115</v>
      </c>
      <c r="Z340" s="59">
        <f>ROUND(IF(AQ340="5",BJ340,0),2)</f>
        <v>0</v>
      </c>
      <c r="AB340" s="59">
        <f>ROUND(IF(AQ340="1",BH340,0),2)</f>
        <v>0</v>
      </c>
      <c r="AC340" s="59">
        <f>ROUND(IF(AQ340="1",BI340,0),2)</f>
        <v>0</v>
      </c>
      <c r="AD340" s="59">
        <f>ROUND(IF(AQ340="7",BH340,0),2)</f>
        <v>0</v>
      </c>
      <c r="AE340" s="59">
        <f>ROUND(IF(AQ340="7",BI340,0),2)</f>
        <v>0</v>
      </c>
      <c r="AF340" s="59">
        <f>ROUND(IF(AQ340="2",BH340,0),2)</f>
        <v>0</v>
      </c>
      <c r="AG340" s="59">
        <f>ROUND(IF(AQ340="2",BI340,0),2)</f>
        <v>0</v>
      </c>
      <c r="AH340" s="59">
        <f>ROUND(IF(AQ340="0",BJ340,0),2)</f>
        <v>0</v>
      </c>
      <c r="AI340" s="46" t="s">
        <v>471</v>
      </c>
      <c r="AJ340" s="59">
        <f>IF(AN340=0,I340,0)</f>
        <v>0</v>
      </c>
      <c r="AK340" s="59">
        <f>IF(AN340=12,I340,0)</f>
        <v>0</v>
      </c>
      <c r="AL340" s="59">
        <f>IF(AN340=21,I340,0)</f>
        <v>0</v>
      </c>
      <c r="AN340" s="59">
        <v>12</v>
      </c>
      <c r="AO340" s="59">
        <f>H340*0</f>
        <v>0</v>
      </c>
      <c r="AP340" s="59">
        <f>H340*(1-0)</f>
        <v>0</v>
      </c>
      <c r="AQ340" s="61" t="s">
        <v>111</v>
      </c>
      <c r="AV340" s="59">
        <f>ROUND(AW340+AX340,2)</f>
        <v>0</v>
      </c>
      <c r="AW340" s="59">
        <f>ROUND(G340*AO340,2)</f>
        <v>0</v>
      </c>
      <c r="AX340" s="59">
        <f>ROUND(G340*AP340,2)</f>
        <v>0</v>
      </c>
      <c r="AY340" s="61" t="s">
        <v>273</v>
      </c>
      <c r="AZ340" s="61" t="s">
        <v>480</v>
      </c>
      <c r="BA340" s="46" t="s">
        <v>474</v>
      </c>
      <c r="BC340" s="59">
        <f>AW340+AX340</f>
        <v>0</v>
      </c>
      <c r="BD340" s="59">
        <f>H340/(100-BE340)*100</f>
        <v>0</v>
      </c>
      <c r="BE340" s="59">
        <v>0</v>
      </c>
      <c r="BF340" s="59">
        <f>L340</f>
        <v>0</v>
      </c>
      <c r="BH340" s="59">
        <f>G340*AO340</f>
        <v>0</v>
      </c>
      <c r="BI340" s="59">
        <f>G340*AP340</f>
        <v>0</v>
      </c>
      <c r="BJ340" s="59">
        <f>G340*H340</f>
        <v>0</v>
      </c>
      <c r="BK340" s="59"/>
      <c r="BL340" s="59">
        <v>90</v>
      </c>
      <c r="BW340" s="59">
        <v>12</v>
      </c>
      <c r="BX340" s="16" t="s">
        <v>271</v>
      </c>
    </row>
    <row r="341" spans="1:76" x14ac:dyDescent="0.25">
      <c r="A341" s="62"/>
      <c r="D341" s="63" t="s">
        <v>176</v>
      </c>
      <c r="E341" s="63"/>
      <c r="G341" s="64">
        <v>12</v>
      </c>
      <c r="M341" s="65"/>
    </row>
    <row r="342" spans="1:76" ht="15" customHeight="1" x14ac:dyDescent="0.25">
      <c r="A342" s="58" t="s">
        <v>596</v>
      </c>
      <c r="B342" s="18" t="s">
        <v>471</v>
      </c>
      <c r="C342" s="18" t="s">
        <v>423</v>
      </c>
      <c r="D342" s="8" t="s">
        <v>271</v>
      </c>
      <c r="E342" s="8"/>
      <c r="F342" s="18" t="s">
        <v>272</v>
      </c>
      <c r="G342" s="59">
        <v>18</v>
      </c>
      <c r="H342" s="59">
        <v>0</v>
      </c>
      <c r="I342" s="59">
        <f>ROUND(G342*H342,2)</f>
        <v>0</v>
      </c>
      <c r="J342" s="59">
        <v>0</v>
      </c>
      <c r="K342" s="59">
        <v>0</v>
      </c>
      <c r="L342" s="59">
        <f>G342*K342</f>
        <v>0</v>
      </c>
      <c r="M342" s="60" t="s">
        <v>115</v>
      </c>
      <c r="Z342" s="59">
        <f>ROUND(IF(AQ342="5",BJ342,0),2)</f>
        <v>0</v>
      </c>
      <c r="AB342" s="59">
        <f>ROUND(IF(AQ342="1",BH342,0),2)</f>
        <v>0</v>
      </c>
      <c r="AC342" s="59">
        <f>ROUND(IF(AQ342="1",BI342,0),2)</f>
        <v>0</v>
      </c>
      <c r="AD342" s="59">
        <f>ROUND(IF(AQ342="7",BH342,0),2)</f>
        <v>0</v>
      </c>
      <c r="AE342" s="59">
        <f>ROUND(IF(AQ342="7",BI342,0),2)</f>
        <v>0</v>
      </c>
      <c r="AF342" s="59">
        <f>ROUND(IF(AQ342="2",BH342,0),2)</f>
        <v>0</v>
      </c>
      <c r="AG342" s="59">
        <f>ROUND(IF(AQ342="2",BI342,0),2)</f>
        <v>0</v>
      </c>
      <c r="AH342" s="59">
        <f>ROUND(IF(AQ342="0",BJ342,0),2)</f>
        <v>0</v>
      </c>
      <c r="AI342" s="46" t="s">
        <v>471</v>
      </c>
      <c r="AJ342" s="59">
        <f>IF(AN342=0,I342,0)</f>
        <v>0</v>
      </c>
      <c r="AK342" s="59">
        <f>IF(AN342=12,I342,0)</f>
        <v>0</v>
      </c>
      <c r="AL342" s="59">
        <f>IF(AN342=21,I342,0)</f>
        <v>0</v>
      </c>
      <c r="AN342" s="59">
        <v>12</v>
      </c>
      <c r="AO342" s="59">
        <f>H342*0</f>
        <v>0</v>
      </c>
      <c r="AP342" s="59">
        <f>H342*(1-0)</f>
        <v>0</v>
      </c>
      <c r="AQ342" s="61" t="s">
        <v>111</v>
      </c>
      <c r="AV342" s="59">
        <f>ROUND(AW342+AX342,2)</f>
        <v>0</v>
      </c>
      <c r="AW342" s="59">
        <f>ROUND(G342*AO342,2)</f>
        <v>0</v>
      </c>
      <c r="AX342" s="59">
        <f>ROUND(G342*AP342,2)</f>
        <v>0</v>
      </c>
      <c r="AY342" s="61" t="s">
        <v>273</v>
      </c>
      <c r="AZ342" s="61" t="s">
        <v>480</v>
      </c>
      <c r="BA342" s="46" t="s">
        <v>474</v>
      </c>
      <c r="BC342" s="59">
        <f>AW342+AX342</f>
        <v>0</v>
      </c>
      <c r="BD342" s="59">
        <f>H342/(100-BE342)*100</f>
        <v>0</v>
      </c>
      <c r="BE342" s="59">
        <v>0</v>
      </c>
      <c r="BF342" s="59">
        <f>L342</f>
        <v>0</v>
      </c>
      <c r="BH342" s="59">
        <f>G342*AO342</f>
        <v>0</v>
      </c>
      <c r="BI342" s="59">
        <f>G342*AP342</f>
        <v>0</v>
      </c>
      <c r="BJ342" s="59">
        <f>G342*H342</f>
        <v>0</v>
      </c>
      <c r="BK342" s="59"/>
      <c r="BL342" s="59">
        <v>90</v>
      </c>
      <c r="BW342" s="59">
        <v>12</v>
      </c>
      <c r="BX342" s="16" t="s">
        <v>271</v>
      </c>
    </row>
    <row r="343" spans="1:76" x14ac:dyDescent="0.25">
      <c r="A343" s="62"/>
      <c r="D343" s="63" t="s">
        <v>215</v>
      </c>
      <c r="E343" s="63"/>
      <c r="G343" s="64">
        <v>18</v>
      </c>
      <c r="M343" s="65"/>
    </row>
    <row r="344" spans="1:76" ht="15" customHeight="1" x14ac:dyDescent="0.25">
      <c r="A344" s="58" t="s">
        <v>597</v>
      </c>
      <c r="B344" s="18" t="s">
        <v>471</v>
      </c>
      <c r="C344" s="18" t="s">
        <v>270</v>
      </c>
      <c r="D344" s="8" t="s">
        <v>271</v>
      </c>
      <c r="E344" s="8"/>
      <c r="F344" s="18" t="s">
        <v>272</v>
      </c>
      <c r="G344" s="59">
        <v>30</v>
      </c>
      <c r="H344" s="59">
        <v>0</v>
      </c>
      <c r="I344" s="59">
        <f>ROUND(G344*H344,2)</f>
        <v>0</v>
      </c>
      <c r="J344" s="59">
        <v>0</v>
      </c>
      <c r="K344" s="59">
        <v>0</v>
      </c>
      <c r="L344" s="59">
        <f>G344*K344</f>
        <v>0</v>
      </c>
      <c r="M344" s="60" t="s">
        <v>115</v>
      </c>
      <c r="Z344" s="59">
        <f>ROUND(IF(AQ344="5",BJ344,0),2)</f>
        <v>0</v>
      </c>
      <c r="AB344" s="59">
        <f>ROUND(IF(AQ344="1",BH344,0),2)</f>
        <v>0</v>
      </c>
      <c r="AC344" s="59">
        <f>ROUND(IF(AQ344="1",BI344,0),2)</f>
        <v>0</v>
      </c>
      <c r="AD344" s="59">
        <f>ROUND(IF(AQ344="7",BH344,0),2)</f>
        <v>0</v>
      </c>
      <c r="AE344" s="59">
        <f>ROUND(IF(AQ344="7",BI344,0),2)</f>
        <v>0</v>
      </c>
      <c r="AF344" s="59">
        <f>ROUND(IF(AQ344="2",BH344,0),2)</f>
        <v>0</v>
      </c>
      <c r="AG344" s="59">
        <f>ROUND(IF(AQ344="2",BI344,0),2)</f>
        <v>0</v>
      </c>
      <c r="AH344" s="59">
        <f>ROUND(IF(AQ344="0",BJ344,0),2)</f>
        <v>0</v>
      </c>
      <c r="AI344" s="46" t="s">
        <v>471</v>
      </c>
      <c r="AJ344" s="59">
        <f>IF(AN344=0,I344,0)</f>
        <v>0</v>
      </c>
      <c r="AK344" s="59">
        <f>IF(AN344=12,I344,0)</f>
        <v>0</v>
      </c>
      <c r="AL344" s="59">
        <f>IF(AN344=21,I344,0)</f>
        <v>0</v>
      </c>
      <c r="AN344" s="59">
        <v>12</v>
      </c>
      <c r="AO344" s="59">
        <f>H344*0</f>
        <v>0</v>
      </c>
      <c r="AP344" s="59">
        <f>H344*(1-0)</f>
        <v>0</v>
      </c>
      <c r="AQ344" s="61" t="s">
        <v>111</v>
      </c>
      <c r="AV344" s="59">
        <f>ROUND(AW344+AX344,2)</f>
        <v>0</v>
      </c>
      <c r="AW344" s="59">
        <f>ROUND(G344*AO344,2)</f>
        <v>0</v>
      </c>
      <c r="AX344" s="59">
        <f>ROUND(G344*AP344,2)</f>
        <v>0</v>
      </c>
      <c r="AY344" s="61" t="s">
        <v>273</v>
      </c>
      <c r="AZ344" s="61" t="s">
        <v>480</v>
      </c>
      <c r="BA344" s="46" t="s">
        <v>474</v>
      </c>
      <c r="BC344" s="59">
        <f>AW344+AX344</f>
        <v>0</v>
      </c>
      <c r="BD344" s="59">
        <f>H344/(100-BE344)*100</f>
        <v>0</v>
      </c>
      <c r="BE344" s="59">
        <v>0</v>
      </c>
      <c r="BF344" s="59">
        <f>L344</f>
        <v>0</v>
      </c>
      <c r="BH344" s="59">
        <f>G344*AO344</f>
        <v>0</v>
      </c>
      <c r="BI344" s="59">
        <f>G344*AP344</f>
        <v>0</v>
      </c>
      <c r="BJ344" s="59">
        <f>G344*H344</f>
        <v>0</v>
      </c>
      <c r="BK344" s="59"/>
      <c r="BL344" s="59">
        <v>90</v>
      </c>
      <c r="BW344" s="59">
        <v>12</v>
      </c>
      <c r="BX344" s="16" t="s">
        <v>271</v>
      </c>
    </row>
    <row r="345" spans="1:76" x14ac:dyDescent="0.25">
      <c r="A345" s="62"/>
      <c r="D345" s="63" t="s">
        <v>276</v>
      </c>
      <c r="E345" s="63"/>
      <c r="G345" s="64">
        <v>30</v>
      </c>
      <c r="M345" s="65"/>
    </row>
    <row r="346" spans="1:76" ht="15" customHeight="1" x14ac:dyDescent="0.25">
      <c r="A346" s="54"/>
      <c r="B346" s="55" t="s">
        <v>471</v>
      </c>
      <c r="C346" s="55" t="s">
        <v>277</v>
      </c>
      <c r="D346" s="104" t="s">
        <v>278</v>
      </c>
      <c r="E346" s="104"/>
      <c r="F346" s="56" t="s">
        <v>88</v>
      </c>
      <c r="G346" s="56" t="s">
        <v>88</v>
      </c>
      <c r="H346" s="56" t="s">
        <v>88</v>
      </c>
      <c r="I346" s="39">
        <f>SUM(I347:I349)</f>
        <v>0</v>
      </c>
      <c r="J346" s="46"/>
      <c r="K346" s="46"/>
      <c r="L346" s="39">
        <f>SUM(L347:L349)</f>
        <v>0.10526999999999999</v>
      </c>
      <c r="M346" s="57"/>
      <c r="AI346" s="46" t="s">
        <v>471</v>
      </c>
      <c r="AS346" s="39">
        <f>SUM(AJ347:AJ349)</f>
        <v>0</v>
      </c>
      <c r="AT346" s="39">
        <f>SUM(AK347:AK349)</f>
        <v>0</v>
      </c>
      <c r="AU346" s="39">
        <f>SUM(AL347:AL349)</f>
        <v>0</v>
      </c>
    </row>
    <row r="347" spans="1:76" ht="15" customHeight="1" x14ac:dyDescent="0.25">
      <c r="A347" s="58" t="s">
        <v>498</v>
      </c>
      <c r="B347" s="18" t="s">
        <v>471</v>
      </c>
      <c r="C347" s="18" t="s">
        <v>280</v>
      </c>
      <c r="D347" s="8" t="s">
        <v>281</v>
      </c>
      <c r="E347" s="8"/>
      <c r="F347" s="18" t="s">
        <v>114</v>
      </c>
      <c r="G347" s="59">
        <v>87</v>
      </c>
      <c r="H347" s="59">
        <v>0</v>
      </c>
      <c r="I347" s="59">
        <f>ROUND(G347*H347,2)</f>
        <v>0</v>
      </c>
      <c r="J347" s="59">
        <v>1.2099999999999999E-3</v>
      </c>
      <c r="K347" s="59">
        <v>1.2099999999999999E-3</v>
      </c>
      <c r="L347" s="59">
        <f>G347*K347</f>
        <v>0.10526999999999999</v>
      </c>
      <c r="M347" s="60" t="s">
        <v>115</v>
      </c>
      <c r="Z347" s="59">
        <f>ROUND(IF(AQ347="5",BJ347,0),2)</f>
        <v>0</v>
      </c>
      <c r="AB347" s="59">
        <f>ROUND(IF(AQ347="1",BH347,0),2)</f>
        <v>0</v>
      </c>
      <c r="AC347" s="59">
        <f>ROUND(IF(AQ347="1",BI347,0),2)</f>
        <v>0</v>
      </c>
      <c r="AD347" s="59">
        <f>ROUND(IF(AQ347="7",BH347,0),2)</f>
        <v>0</v>
      </c>
      <c r="AE347" s="59">
        <f>ROUND(IF(AQ347="7",BI347,0),2)</f>
        <v>0</v>
      </c>
      <c r="AF347" s="59">
        <f>ROUND(IF(AQ347="2",BH347,0),2)</f>
        <v>0</v>
      </c>
      <c r="AG347" s="59">
        <f>ROUND(IF(AQ347="2",BI347,0),2)</f>
        <v>0</v>
      </c>
      <c r="AH347" s="59">
        <f>ROUND(IF(AQ347="0",BJ347,0),2)</f>
        <v>0</v>
      </c>
      <c r="AI347" s="46" t="s">
        <v>471</v>
      </c>
      <c r="AJ347" s="59">
        <f>IF(AN347=0,I347,0)</f>
        <v>0</v>
      </c>
      <c r="AK347" s="59">
        <f>IF(AN347=12,I347,0)</f>
        <v>0</v>
      </c>
      <c r="AL347" s="59">
        <f>IF(AN347=21,I347,0)</f>
        <v>0</v>
      </c>
      <c r="AN347" s="59">
        <v>12</v>
      </c>
      <c r="AO347" s="59">
        <f>H347*0.309860944</f>
        <v>0</v>
      </c>
      <c r="AP347" s="59">
        <f>H347*(1-0.309860944)</f>
        <v>0</v>
      </c>
      <c r="AQ347" s="61" t="s">
        <v>111</v>
      </c>
      <c r="AV347" s="59">
        <f>ROUND(AW347+AX347,2)</f>
        <v>0</v>
      </c>
      <c r="AW347" s="59">
        <f>ROUND(G347*AO347,2)</f>
        <v>0</v>
      </c>
      <c r="AX347" s="59">
        <f>ROUND(G347*AP347,2)</f>
        <v>0</v>
      </c>
      <c r="AY347" s="61" t="s">
        <v>282</v>
      </c>
      <c r="AZ347" s="61" t="s">
        <v>480</v>
      </c>
      <c r="BA347" s="46" t="s">
        <v>474</v>
      </c>
      <c r="BC347" s="59">
        <f>AW347+AX347</f>
        <v>0</v>
      </c>
      <c r="BD347" s="59">
        <f>H347/(100-BE347)*100</f>
        <v>0</v>
      </c>
      <c r="BE347" s="59">
        <v>0</v>
      </c>
      <c r="BF347" s="59">
        <f>L347</f>
        <v>0.10526999999999999</v>
      </c>
      <c r="BH347" s="59">
        <f>G347*AO347</f>
        <v>0</v>
      </c>
      <c r="BI347" s="59">
        <f>G347*AP347</f>
        <v>0</v>
      </c>
      <c r="BJ347" s="59">
        <f>G347*H347</f>
        <v>0</v>
      </c>
      <c r="BK347" s="59"/>
      <c r="BL347" s="59">
        <v>94</v>
      </c>
      <c r="BW347" s="59">
        <v>12</v>
      </c>
      <c r="BX347" s="16" t="s">
        <v>281</v>
      </c>
    </row>
    <row r="348" spans="1:76" x14ac:dyDescent="0.25">
      <c r="A348" s="62"/>
      <c r="D348" s="63" t="s">
        <v>425</v>
      </c>
      <c r="E348" s="63"/>
      <c r="G348" s="64">
        <v>87</v>
      </c>
      <c r="M348" s="65"/>
    </row>
    <row r="349" spans="1:76" ht="15" customHeight="1" x14ac:dyDescent="0.25">
      <c r="A349" s="58" t="s">
        <v>598</v>
      </c>
      <c r="B349" s="18" t="s">
        <v>471</v>
      </c>
      <c r="C349" s="18" t="s">
        <v>426</v>
      </c>
      <c r="D349" s="8" t="s">
        <v>427</v>
      </c>
      <c r="E349" s="8"/>
      <c r="F349" s="18" t="s">
        <v>272</v>
      </c>
      <c r="G349" s="59">
        <v>30</v>
      </c>
      <c r="H349" s="59">
        <v>0</v>
      </c>
      <c r="I349" s="59">
        <f>ROUND(G349*H349,2)</f>
        <v>0</v>
      </c>
      <c r="J349" s="59">
        <v>0</v>
      </c>
      <c r="K349" s="59">
        <v>0</v>
      </c>
      <c r="L349" s="59">
        <f>G349*K349</f>
        <v>0</v>
      </c>
      <c r="M349" s="60" t="s">
        <v>115</v>
      </c>
      <c r="Z349" s="59">
        <f>ROUND(IF(AQ349="5",BJ349,0),2)</f>
        <v>0</v>
      </c>
      <c r="AB349" s="59">
        <f>ROUND(IF(AQ349="1",BH349,0),2)</f>
        <v>0</v>
      </c>
      <c r="AC349" s="59">
        <f>ROUND(IF(AQ349="1",BI349,0),2)</f>
        <v>0</v>
      </c>
      <c r="AD349" s="59">
        <f>ROUND(IF(AQ349="7",BH349,0),2)</f>
        <v>0</v>
      </c>
      <c r="AE349" s="59">
        <f>ROUND(IF(AQ349="7",BI349,0),2)</f>
        <v>0</v>
      </c>
      <c r="AF349" s="59">
        <f>ROUND(IF(AQ349="2",BH349,0),2)</f>
        <v>0</v>
      </c>
      <c r="AG349" s="59">
        <f>ROUND(IF(AQ349="2",BI349,0),2)</f>
        <v>0</v>
      </c>
      <c r="AH349" s="59">
        <f>ROUND(IF(AQ349="0",BJ349,0),2)</f>
        <v>0</v>
      </c>
      <c r="AI349" s="46" t="s">
        <v>471</v>
      </c>
      <c r="AJ349" s="59">
        <f>IF(AN349=0,I349,0)</f>
        <v>0</v>
      </c>
      <c r="AK349" s="59">
        <f>IF(AN349=12,I349,0)</f>
        <v>0</v>
      </c>
      <c r="AL349" s="59">
        <f>IF(AN349=21,I349,0)</f>
        <v>0</v>
      </c>
      <c r="AN349" s="59">
        <v>12</v>
      </c>
      <c r="AO349" s="59">
        <f>H349*0</f>
        <v>0</v>
      </c>
      <c r="AP349" s="59">
        <f>H349*(1-0)</f>
        <v>0</v>
      </c>
      <c r="AQ349" s="61" t="s">
        <v>111</v>
      </c>
      <c r="AV349" s="59">
        <f>ROUND(AW349+AX349,2)</f>
        <v>0</v>
      </c>
      <c r="AW349" s="59">
        <f>ROUND(G349*AO349,2)</f>
        <v>0</v>
      </c>
      <c r="AX349" s="59">
        <f>ROUND(G349*AP349,2)</f>
        <v>0</v>
      </c>
      <c r="AY349" s="61" t="s">
        <v>282</v>
      </c>
      <c r="AZ349" s="61" t="s">
        <v>480</v>
      </c>
      <c r="BA349" s="46" t="s">
        <v>474</v>
      </c>
      <c r="BC349" s="59">
        <f>AW349+AX349</f>
        <v>0</v>
      </c>
      <c r="BD349" s="59">
        <f>H349/(100-BE349)*100</f>
        <v>0</v>
      </c>
      <c r="BE349" s="59">
        <v>0</v>
      </c>
      <c r="BF349" s="59">
        <f>L349</f>
        <v>0</v>
      </c>
      <c r="BH349" s="59">
        <f>G349*AO349</f>
        <v>0</v>
      </c>
      <c r="BI349" s="59">
        <f>G349*AP349</f>
        <v>0</v>
      </c>
      <c r="BJ349" s="59">
        <f>G349*H349</f>
        <v>0</v>
      </c>
      <c r="BK349" s="59"/>
      <c r="BL349" s="59">
        <v>94</v>
      </c>
      <c r="BW349" s="59">
        <v>12</v>
      </c>
      <c r="BX349" s="16" t="s">
        <v>427</v>
      </c>
    </row>
    <row r="350" spans="1:76" x14ac:dyDescent="0.25">
      <c r="A350" s="62"/>
      <c r="D350" s="63" t="s">
        <v>296</v>
      </c>
      <c r="E350" s="63"/>
      <c r="G350" s="64">
        <v>30</v>
      </c>
      <c r="M350" s="65"/>
    </row>
    <row r="351" spans="1:76" ht="15" customHeight="1" x14ac:dyDescent="0.25">
      <c r="A351" s="54"/>
      <c r="B351" s="55" t="s">
        <v>471</v>
      </c>
      <c r="C351" s="55" t="s">
        <v>284</v>
      </c>
      <c r="D351" s="104" t="s">
        <v>285</v>
      </c>
      <c r="E351" s="104"/>
      <c r="F351" s="56" t="s">
        <v>88</v>
      </c>
      <c r="G351" s="56" t="s">
        <v>88</v>
      </c>
      <c r="H351" s="56" t="s">
        <v>88</v>
      </c>
      <c r="I351" s="39">
        <f>SUM(I352)</f>
        <v>0</v>
      </c>
      <c r="J351" s="46"/>
      <c r="K351" s="46"/>
      <c r="L351" s="39">
        <f>SUM(L352)</f>
        <v>1.0267200000000001E-2</v>
      </c>
      <c r="M351" s="57"/>
      <c r="AI351" s="46" t="s">
        <v>471</v>
      </c>
      <c r="AS351" s="39">
        <f>SUM(AJ352)</f>
        <v>0</v>
      </c>
      <c r="AT351" s="39">
        <f>SUM(AK352)</f>
        <v>0</v>
      </c>
      <c r="AU351" s="39">
        <f>SUM(AL352)</f>
        <v>0</v>
      </c>
    </row>
    <row r="352" spans="1:76" ht="15" customHeight="1" x14ac:dyDescent="0.25">
      <c r="A352" s="58" t="s">
        <v>599</v>
      </c>
      <c r="B352" s="18" t="s">
        <v>471</v>
      </c>
      <c r="C352" s="18" t="s">
        <v>287</v>
      </c>
      <c r="D352" s="8" t="s">
        <v>288</v>
      </c>
      <c r="E352" s="8"/>
      <c r="F352" s="18" t="s">
        <v>114</v>
      </c>
      <c r="G352" s="59">
        <v>256.68</v>
      </c>
      <c r="H352" s="59">
        <v>0</v>
      </c>
      <c r="I352" s="59">
        <f>ROUND(G352*H352,2)</f>
        <v>0</v>
      </c>
      <c r="J352" s="59">
        <v>4.0000000000000003E-5</v>
      </c>
      <c r="K352" s="59">
        <v>4.0000000000000003E-5</v>
      </c>
      <c r="L352" s="59">
        <f>G352*K352</f>
        <v>1.0267200000000001E-2</v>
      </c>
      <c r="M352" s="60" t="s">
        <v>115</v>
      </c>
      <c r="Z352" s="59">
        <f>ROUND(IF(AQ352="5",BJ352,0),2)</f>
        <v>0</v>
      </c>
      <c r="AB352" s="59">
        <f>ROUND(IF(AQ352="1",BH352,0),2)</f>
        <v>0</v>
      </c>
      <c r="AC352" s="59">
        <f>ROUND(IF(AQ352="1",BI352,0),2)</f>
        <v>0</v>
      </c>
      <c r="AD352" s="59">
        <f>ROUND(IF(AQ352="7",BH352,0),2)</f>
        <v>0</v>
      </c>
      <c r="AE352" s="59">
        <f>ROUND(IF(AQ352="7",BI352,0),2)</f>
        <v>0</v>
      </c>
      <c r="AF352" s="59">
        <f>ROUND(IF(AQ352="2",BH352,0),2)</f>
        <v>0</v>
      </c>
      <c r="AG352" s="59">
        <f>ROUND(IF(AQ352="2",BI352,0),2)</f>
        <v>0</v>
      </c>
      <c r="AH352" s="59">
        <f>ROUND(IF(AQ352="0",BJ352,0),2)</f>
        <v>0</v>
      </c>
      <c r="AI352" s="46" t="s">
        <v>471</v>
      </c>
      <c r="AJ352" s="59">
        <f>IF(AN352=0,I352,0)</f>
        <v>0</v>
      </c>
      <c r="AK352" s="59">
        <f>IF(AN352=12,I352,0)</f>
        <v>0</v>
      </c>
      <c r="AL352" s="59">
        <f>IF(AN352=21,I352,0)</f>
        <v>0</v>
      </c>
      <c r="AN352" s="59">
        <v>12</v>
      </c>
      <c r="AO352" s="59">
        <f>H352*0.012649582</f>
        <v>0</v>
      </c>
      <c r="AP352" s="59">
        <f>H352*(1-0.012649582)</f>
        <v>0</v>
      </c>
      <c r="AQ352" s="61" t="s">
        <v>111</v>
      </c>
      <c r="AV352" s="59">
        <f>ROUND(AW352+AX352,2)</f>
        <v>0</v>
      </c>
      <c r="AW352" s="59">
        <f>ROUND(G352*AO352,2)</f>
        <v>0</v>
      </c>
      <c r="AX352" s="59">
        <f>ROUND(G352*AP352,2)</f>
        <v>0</v>
      </c>
      <c r="AY352" s="61" t="s">
        <v>289</v>
      </c>
      <c r="AZ352" s="61" t="s">
        <v>480</v>
      </c>
      <c r="BA352" s="46" t="s">
        <v>474</v>
      </c>
      <c r="BC352" s="59">
        <f>AW352+AX352</f>
        <v>0</v>
      </c>
      <c r="BD352" s="59">
        <f>H352/(100-BE352)*100</f>
        <v>0</v>
      </c>
      <c r="BE352" s="59">
        <v>0</v>
      </c>
      <c r="BF352" s="59">
        <f>L352</f>
        <v>1.0267200000000001E-2</v>
      </c>
      <c r="BH352" s="59">
        <f>G352*AO352</f>
        <v>0</v>
      </c>
      <c r="BI352" s="59">
        <f>G352*AP352</f>
        <v>0</v>
      </c>
      <c r="BJ352" s="59">
        <f>G352*H352</f>
        <v>0</v>
      </c>
      <c r="BK352" s="59"/>
      <c r="BL352" s="59">
        <v>95</v>
      </c>
      <c r="BW352" s="59">
        <v>12</v>
      </c>
      <c r="BX352" s="16" t="s">
        <v>288</v>
      </c>
    </row>
    <row r="353" spans="1:76" x14ac:dyDescent="0.25">
      <c r="A353" s="62"/>
      <c r="D353" s="63" t="s">
        <v>416</v>
      </c>
      <c r="E353" s="63"/>
      <c r="G353" s="64">
        <v>256.68</v>
      </c>
      <c r="M353" s="65"/>
    </row>
    <row r="354" spans="1:76" ht="15" customHeight="1" x14ac:dyDescent="0.25">
      <c r="A354" s="54"/>
      <c r="B354" s="55" t="s">
        <v>471</v>
      </c>
      <c r="C354" s="55" t="s">
        <v>290</v>
      </c>
      <c r="D354" s="104" t="s">
        <v>291</v>
      </c>
      <c r="E354" s="104"/>
      <c r="F354" s="56" t="s">
        <v>88</v>
      </c>
      <c r="G354" s="56" t="s">
        <v>88</v>
      </c>
      <c r="H354" s="56" t="s">
        <v>88</v>
      </c>
      <c r="I354" s="39">
        <f>SUM(I355:I367)</f>
        <v>0</v>
      </c>
      <c r="J354" s="46"/>
      <c r="K354" s="46"/>
      <c r="L354" s="39">
        <f>SUM(L355:L367)</f>
        <v>7.8838920000000003</v>
      </c>
      <c r="M354" s="57"/>
      <c r="AI354" s="46" t="s">
        <v>471</v>
      </c>
      <c r="AS354" s="39">
        <f>SUM(AJ355:AJ367)</f>
        <v>0</v>
      </c>
      <c r="AT354" s="39">
        <f>SUM(AK355:AK367)</f>
        <v>0</v>
      </c>
      <c r="AU354" s="39">
        <f>SUM(AL355:AL367)</f>
        <v>0</v>
      </c>
    </row>
    <row r="355" spans="1:76" ht="15" customHeight="1" x14ac:dyDescent="0.25">
      <c r="A355" s="58" t="s">
        <v>600</v>
      </c>
      <c r="B355" s="18" t="s">
        <v>471</v>
      </c>
      <c r="C355" s="18" t="s">
        <v>293</v>
      </c>
      <c r="D355" s="8" t="s">
        <v>294</v>
      </c>
      <c r="E355" s="8"/>
      <c r="F355" s="18" t="s">
        <v>140</v>
      </c>
      <c r="G355" s="59">
        <v>24.9</v>
      </c>
      <c r="H355" s="59">
        <v>0</v>
      </c>
      <c r="I355" s="59">
        <f>ROUND(G355*H355,2)</f>
        <v>0</v>
      </c>
      <c r="J355" s="59">
        <v>0</v>
      </c>
      <c r="K355" s="59">
        <v>1.188E-2</v>
      </c>
      <c r="L355" s="59">
        <f>G355*K355</f>
        <v>0.29581199999999996</v>
      </c>
      <c r="M355" s="60" t="s">
        <v>115</v>
      </c>
      <c r="Z355" s="59">
        <f>ROUND(IF(AQ355="5",BJ355,0),2)</f>
        <v>0</v>
      </c>
      <c r="AB355" s="59">
        <f>ROUND(IF(AQ355="1",BH355,0),2)</f>
        <v>0</v>
      </c>
      <c r="AC355" s="59">
        <f>ROUND(IF(AQ355="1",BI355,0),2)</f>
        <v>0</v>
      </c>
      <c r="AD355" s="59">
        <f>ROUND(IF(AQ355="7",BH355,0),2)</f>
        <v>0</v>
      </c>
      <c r="AE355" s="59">
        <f>ROUND(IF(AQ355="7",BI355,0),2)</f>
        <v>0</v>
      </c>
      <c r="AF355" s="59">
        <f>ROUND(IF(AQ355="2",BH355,0),2)</f>
        <v>0</v>
      </c>
      <c r="AG355" s="59">
        <f>ROUND(IF(AQ355="2",BI355,0),2)</f>
        <v>0</v>
      </c>
      <c r="AH355" s="59">
        <f>ROUND(IF(AQ355="0",BJ355,0),2)</f>
        <v>0</v>
      </c>
      <c r="AI355" s="46" t="s">
        <v>471</v>
      </c>
      <c r="AJ355" s="59">
        <f>IF(AN355=0,I355,0)</f>
        <v>0</v>
      </c>
      <c r="AK355" s="59">
        <f>IF(AN355=12,I355,0)</f>
        <v>0</v>
      </c>
      <c r="AL355" s="59">
        <f>IF(AN355=21,I355,0)</f>
        <v>0</v>
      </c>
      <c r="AN355" s="59">
        <v>12</v>
      </c>
      <c r="AO355" s="59">
        <f>H355*0</f>
        <v>0</v>
      </c>
      <c r="AP355" s="59">
        <f>H355*(1-0)</f>
        <v>0</v>
      </c>
      <c r="AQ355" s="61" t="s">
        <v>111</v>
      </c>
      <c r="AV355" s="59">
        <f>ROUND(AW355+AX355,2)</f>
        <v>0</v>
      </c>
      <c r="AW355" s="59">
        <f>ROUND(G355*AO355,2)</f>
        <v>0</v>
      </c>
      <c r="AX355" s="59">
        <f>ROUND(G355*AP355,2)</f>
        <v>0</v>
      </c>
      <c r="AY355" s="61" t="s">
        <v>295</v>
      </c>
      <c r="AZ355" s="61" t="s">
        <v>480</v>
      </c>
      <c r="BA355" s="46" t="s">
        <v>474</v>
      </c>
      <c r="BC355" s="59">
        <f>AW355+AX355</f>
        <v>0</v>
      </c>
      <c r="BD355" s="59">
        <f>H355/(100-BE355)*100</f>
        <v>0</v>
      </c>
      <c r="BE355" s="59">
        <v>0</v>
      </c>
      <c r="BF355" s="59">
        <f>L355</f>
        <v>0.29581199999999996</v>
      </c>
      <c r="BH355" s="59">
        <f>G355*AO355</f>
        <v>0</v>
      </c>
      <c r="BI355" s="59">
        <f>G355*AP355</f>
        <v>0</v>
      </c>
      <c r="BJ355" s="59">
        <f>G355*H355</f>
        <v>0</v>
      </c>
      <c r="BK355" s="59"/>
      <c r="BL355" s="59">
        <v>96</v>
      </c>
      <c r="BW355" s="59">
        <v>12</v>
      </c>
      <c r="BX355" s="16" t="s">
        <v>294</v>
      </c>
    </row>
    <row r="356" spans="1:76" x14ac:dyDescent="0.25">
      <c r="A356" s="62"/>
      <c r="D356" s="63" t="s">
        <v>387</v>
      </c>
      <c r="E356" s="63"/>
      <c r="G356" s="64">
        <v>24.9</v>
      </c>
      <c r="M356" s="65"/>
    </row>
    <row r="357" spans="1:76" ht="15" customHeight="1" x14ac:dyDescent="0.25">
      <c r="A357" s="58" t="s">
        <v>601</v>
      </c>
      <c r="B357" s="18" t="s">
        <v>471</v>
      </c>
      <c r="C357" s="18" t="s">
        <v>297</v>
      </c>
      <c r="D357" s="8" t="s">
        <v>298</v>
      </c>
      <c r="E357" s="8"/>
      <c r="F357" s="18" t="s">
        <v>299</v>
      </c>
      <c r="G357" s="59">
        <v>44</v>
      </c>
      <c r="H357" s="59">
        <v>0</v>
      </c>
      <c r="I357" s="59">
        <f>ROUND(G357*H357,2)</f>
        <v>0</v>
      </c>
      <c r="J357" s="59">
        <v>0</v>
      </c>
      <c r="K357" s="59">
        <v>0</v>
      </c>
      <c r="L357" s="59">
        <f>G357*K357</f>
        <v>0</v>
      </c>
      <c r="M357" s="60" t="s">
        <v>115</v>
      </c>
      <c r="Z357" s="59">
        <f>ROUND(IF(AQ357="5",BJ357,0),2)</f>
        <v>0</v>
      </c>
      <c r="AB357" s="59">
        <f>ROUND(IF(AQ357="1",BH357,0),2)</f>
        <v>0</v>
      </c>
      <c r="AC357" s="59">
        <f>ROUND(IF(AQ357="1",BI357,0),2)</f>
        <v>0</v>
      </c>
      <c r="AD357" s="59">
        <f>ROUND(IF(AQ357="7",BH357,0),2)</f>
        <v>0</v>
      </c>
      <c r="AE357" s="59">
        <f>ROUND(IF(AQ357="7",BI357,0),2)</f>
        <v>0</v>
      </c>
      <c r="AF357" s="59">
        <f>ROUND(IF(AQ357="2",BH357,0),2)</f>
        <v>0</v>
      </c>
      <c r="AG357" s="59">
        <f>ROUND(IF(AQ357="2",BI357,0),2)</f>
        <v>0</v>
      </c>
      <c r="AH357" s="59">
        <f>ROUND(IF(AQ357="0",BJ357,0),2)</f>
        <v>0</v>
      </c>
      <c r="AI357" s="46" t="s">
        <v>471</v>
      </c>
      <c r="AJ357" s="59">
        <f>IF(AN357=0,I357,0)</f>
        <v>0</v>
      </c>
      <c r="AK357" s="59">
        <f>IF(AN357=12,I357,0)</f>
        <v>0</v>
      </c>
      <c r="AL357" s="59">
        <f>IF(AN357=21,I357,0)</f>
        <v>0</v>
      </c>
      <c r="AN357" s="59">
        <v>12</v>
      </c>
      <c r="AO357" s="59">
        <f>H357*0</f>
        <v>0</v>
      </c>
      <c r="AP357" s="59">
        <f>H357*(1-0)</f>
        <v>0</v>
      </c>
      <c r="AQ357" s="61" t="s">
        <v>111</v>
      </c>
      <c r="AV357" s="59">
        <f>ROUND(AW357+AX357,2)</f>
        <v>0</v>
      </c>
      <c r="AW357" s="59">
        <f>ROUND(G357*AO357,2)</f>
        <v>0</v>
      </c>
      <c r="AX357" s="59">
        <f>ROUND(G357*AP357,2)</f>
        <v>0</v>
      </c>
      <c r="AY357" s="61" t="s">
        <v>295</v>
      </c>
      <c r="AZ357" s="61" t="s">
        <v>480</v>
      </c>
      <c r="BA357" s="46" t="s">
        <v>474</v>
      </c>
      <c r="BC357" s="59">
        <f>AW357+AX357</f>
        <v>0</v>
      </c>
      <c r="BD357" s="59">
        <f>H357/(100-BE357)*100</f>
        <v>0</v>
      </c>
      <c r="BE357" s="59">
        <v>0</v>
      </c>
      <c r="BF357" s="59">
        <f>L357</f>
        <v>0</v>
      </c>
      <c r="BH357" s="59">
        <f>G357*AO357</f>
        <v>0</v>
      </c>
      <c r="BI357" s="59">
        <f>G357*AP357</f>
        <v>0</v>
      </c>
      <c r="BJ357" s="59">
        <f>G357*H357</f>
        <v>0</v>
      </c>
      <c r="BK357" s="59"/>
      <c r="BL357" s="59">
        <v>96</v>
      </c>
      <c r="BW357" s="59">
        <v>12</v>
      </c>
      <c r="BX357" s="16" t="s">
        <v>298</v>
      </c>
    </row>
    <row r="358" spans="1:76" x14ac:dyDescent="0.25">
      <c r="A358" s="62"/>
      <c r="D358" s="63" t="s">
        <v>431</v>
      </c>
      <c r="E358" s="63"/>
      <c r="G358" s="64">
        <v>44</v>
      </c>
      <c r="M358" s="65"/>
    </row>
    <row r="359" spans="1:76" ht="15" customHeight="1" x14ac:dyDescent="0.25">
      <c r="A359" s="58" t="s">
        <v>602</v>
      </c>
      <c r="B359" s="18" t="s">
        <v>471</v>
      </c>
      <c r="C359" s="18" t="s">
        <v>302</v>
      </c>
      <c r="D359" s="8" t="s">
        <v>303</v>
      </c>
      <c r="E359" s="8"/>
      <c r="F359" s="18" t="s">
        <v>114</v>
      </c>
      <c r="G359" s="59">
        <v>57.6</v>
      </c>
      <c r="H359" s="59">
        <v>0</v>
      </c>
      <c r="I359" s="59">
        <f>ROUND(G359*H359,2)</f>
        <v>0</v>
      </c>
      <c r="J359" s="59">
        <v>1E-3</v>
      </c>
      <c r="K359" s="59">
        <v>3.2000000000000001E-2</v>
      </c>
      <c r="L359" s="59">
        <f>G359*K359</f>
        <v>1.8432000000000002</v>
      </c>
      <c r="M359" s="60" t="s">
        <v>115</v>
      </c>
      <c r="Z359" s="59">
        <f>ROUND(IF(AQ359="5",BJ359,0),2)</f>
        <v>0</v>
      </c>
      <c r="AB359" s="59">
        <f>ROUND(IF(AQ359="1",BH359,0),2)</f>
        <v>0</v>
      </c>
      <c r="AC359" s="59">
        <f>ROUND(IF(AQ359="1",BI359,0),2)</f>
        <v>0</v>
      </c>
      <c r="AD359" s="59">
        <f>ROUND(IF(AQ359="7",BH359,0),2)</f>
        <v>0</v>
      </c>
      <c r="AE359" s="59">
        <f>ROUND(IF(AQ359="7",BI359,0),2)</f>
        <v>0</v>
      </c>
      <c r="AF359" s="59">
        <f>ROUND(IF(AQ359="2",BH359,0),2)</f>
        <v>0</v>
      </c>
      <c r="AG359" s="59">
        <f>ROUND(IF(AQ359="2",BI359,0),2)</f>
        <v>0</v>
      </c>
      <c r="AH359" s="59">
        <f>ROUND(IF(AQ359="0",BJ359,0),2)</f>
        <v>0</v>
      </c>
      <c r="AI359" s="46" t="s">
        <v>471</v>
      </c>
      <c r="AJ359" s="59">
        <f>IF(AN359=0,I359,0)</f>
        <v>0</v>
      </c>
      <c r="AK359" s="59">
        <f>IF(AN359=12,I359,0)</f>
        <v>0</v>
      </c>
      <c r="AL359" s="59">
        <f>IF(AN359=21,I359,0)</f>
        <v>0</v>
      </c>
      <c r="AN359" s="59">
        <v>12</v>
      </c>
      <c r="AO359" s="59">
        <f>H359*0.133991144</f>
        <v>0</v>
      </c>
      <c r="AP359" s="59">
        <f>H359*(1-0.133991144)</f>
        <v>0</v>
      </c>
      <c r="AQ359" s="61" t="s">
        <v>111</v>
      </c>
      <c r="AV359" s="59">
        <f>ROUND(AW359+AX359,2)</f>
        <v>0</v>
      </c>
      <c r="AW359" s="59">
        <f>ROUND(G359*AO359,2)</f>
        <v>0</v>
      </c>
      <c r="AX359" s="59">
        <f>ROUND(G359*AP359,2)</f>
        <v>0</v>
      </c>
      <c r="AY359" s="61" t="s">
        <v>295</v>
      </c>
      <c r="AZ359" s="61" t="s">
        <v>480</v>
      </c>
      <c r="BA359" s="46" t="s">
        <v>474</v>
      </c>
      <c r="BC359" s="59">
        <f>AW359+AX359</f>
        <v>0</v>
      </c>
      <c r="BD359" s="59">
        <f>H359/(100-BE359)*100</f>
        <v>0</v>
      </c>
      <c r="BE359" s="59">
        <v>0</v>
      </c>
      <c r="BF359" s="59">
        <f>L359</f>
        <v>1.8432000000000002</v>
      </c>
      <c r="BH359" s="59">
        <f>G359*AO359</f>
        <v>0</v>
      </c>
      <c r="BI359" s="59">
        <f>G359*AP359</f>
        <v>0</v>
      </c>
      <c r="BJ359" s="59">
        <f>G359*H359</f>
        <v>0</v>
      </c>
      <c r="BK359" s="59"/>
      <c r="BL359" s="59">
        <v>96</v>
      </c>
      <c r="BW359" s="59">
        <v>12</v>
      </c>
      <c r="BX359" s="16" t="s">
        <v>303</v>
      </c>
    </row>
    <row r="360" spans="1:76" x14ac:dyDescent="0.25">
      <c r="A360" s="62"/>
      <c r="D360" s="63" t="s">
        <v>433</v>
      </c>
      <c r="E360" s="63"/>
      <c r="G360" s="64">
        <v>57.6</v>
      </c>
      <c r="M360" s="65"/>
    </row>
    <row r="361" spans="1:76" ht="15" customHeight="1" x14ac:dyDescent="0.25">
      <c r="A361" s="58" t="s">
        <v>603</v>
      </c>
      <c r="B361" s="18" t="s">
        <v>471</v>
      </c>
      <c r="C361" s="18" t="s">
        <v>435</v>
      </c>
      <c r="D361" s="8" t="s">
        <v>436</v>
      </c>
      <c r="E361" s="8"/>
      <c r="F361" s="18" t="s">
        <v>360</v>
      </c>
      <c r="G361" s="59">
        <v>1.115</v>
      </c>
      <c r="H361" s="59">
        <v>0</v>
      </c>
      <c r="I361" s="59">
        <f>ROUND(G361*H361,2)</f>
        <v>0</v>
      </c>
      <c r="J361" s="59">
        <v>0</v>
      </c>
      <c r="K361" s="59">
        <v>2.2000000000000002</v>
      </c>
      <c r="L361" s="59">
        <f>G361*K361</f>
        <v>2.4530000000000003</v>
      </c>
      <c r="M361" s="60" t="s">
        <v>115</v>
      </c>
      <c r="Z361" s="59">
        <f>ROUND(IF(AQ361="5",BJ361,0),2)</f>
        <v>0</v>
      </c>
      <c r="AB361" s="59">
        <f>ROUND(IF(AQ361="1",BH361,0),2)</f>
        <v>0</v>
      </c>
      <c r="AC361" s="59">
        <f>ROUND(IF(AQ361="1",BI361,0),2)</f>
        <v>0</v>
      </c>
      <c r="AD361" s="59">
        <f>ROUND(IF(AQ361="7",BH361,0),2)</f>
        <v>0</v>
      </c>
      <c r="AE361" s="59">
        <f>ROUND(IF(AQ361="7",BI361,0),2)</f>
        <v>0</v>
      </c>
      <c r="AF361" s="59">
        <f>ROUND(IF(AQ361="2",BH361,0),2)</f>
        <v>0</v>
      </c>
      <c r="AG361" s="59">
        <f>ROUND(IF(AQ361="2",BI361,0),2)</f>
        <v>0</v>
      </c>
      <c r="AH361" s="59">
        <f>ROUND(IF(AQ361="0",BJ361,0),2)</f>
        <v>0</v>
      </c>
      <c r="AI361" s="46" t="s">
        <v>471</v>
      </c>
      <c r="AJ361" s="59">
        <f>IF(AN361=0,I361,0)</f>
        <v>0</v>
      </c>
      <c r="AK361" s="59">
        <f>IF(AN361=12,I361,0)</f>
        <v>0</v>
      </c>
      <c r="AL361" s="59">
        <f>IF(AN361=21,I361,0)</f>
        <v>0</v>
      </c>
      <c r="AN361" s="59">
        <v>12</v>
      </c>
      <c r="AO361" s="59">
        <f>H361*0</f>
        <v>0</v>
      </c>
      <c r="AP361" s="59">
        <f>H361*(1-0)</f>
        <v>0</v>
      </c>
      <c r="AQ361" s="61" t="s">
        <v>111</v>
      </c>
      <c r="AV361" s="59">
        <f>ROUND(AW361+AX361,2)</f>
        <v>0</v>
      </c>
      <c r="AW361" s="59">
        <f>ROUND(G361*AO361,2)</f>
        <v>0</v>
      </c>
      <c r="AX361" s="59">
        <f>ROUND(G361*AP361,2)</f>
        <v>0</v>
      </c>
      <c r="AY361" s="61" t="s">
        <v>295</v>
      </c>
      <c r="AZ361" s="61" t="s">
        <v>480</v>
      </c>
      <c r="BA361" s="46" t="s">
        <v>474</v>
      </c>
      <c r="BC361" s="59">
        <f>AW361+AX361</f>
        <v>0</v>
      </c>
      <c r="BD361" s="59">
        <f>H361/(100-BE361)*100</f>
        <v>0</v>
      </c>
      <c r="BE361" s="59">
        <v>0</v>
      </c>
      <c r="BF361" s="59">
        <f>L361</f>
        <v>2.4530000000000003</v>
      </c>
      <c r="BH361" s="59">
        <f>G361*AO361</f>
        <v>0</v>
      </c>
      <c r="BI361" s="59">
        <f>G361*AP361</f>
        <v>0</v>
      </c>
      <c r="BJ361" s="59">
        <f>G361*H361</f>
        <v>0</v>
      </c>
      <c r="BK361" s="59"/>
      <c r="BL361" s="59">
        <v>96</v>
      </c>
      <c r="BW361" s="59">
        <v>12</v>
      </c>
      <c r="BX361" s="16" t="s">
        <v>436</v>
      </c>
    </row>
    <row r="362" spans="1:76" x14ac:dyDescent="0.25">
      <c r="A362" s="62"/>
      <c r="D362" s="63" t="s">
        <v>362</v>
      </c>
      <c r="E362" s="63"/>
      <c r="G362" s="64">
        <v>1.115</v>
      </c>
      <c r="M362" s="65"/>
    </row>
    <row r="363" spans="1:76" ht="15" customHeight="1" x14ac:dyDescent="0.25">
      <c r="A363" s="58" t="s">
        <v>604</v>
      </c>
      <c r="B363" s="18" t="s">
        <v>471</v>
      </c>
      <c r="C363" s="18" t="s">
        <v>438</v>
      </c>
      <c r="D363" s="8" t="s">
        <v>439</v>
      </c>
      <c r="E363" s="8"/>
      <c r="F363" s="18" t="s">
        <v>360</v>
      </c>
      <c r="G363" s="59">
        <v>0.89200000000000002</v>
      </c>
      <c r="H363" s="59">
        <v>0</v>
      </c>
      <c r="I363" s="59">
        <f>ROUND(G363*H363,2)</f>
        <v>0</v>
      </c>
      <c r="J363" s="59">
        <v>0</v>
      </c>
      <c r="K363" s="59">
        <v>2.2000000000000002</v>
      </c>
      <c r="L363" s="59">
        <f>G363*K363</f>
        <v>1.9624000000000001</v>
      </c>
      <c r="M363" s="60" t="s">
        <v>115</v>
      </c>
      <c r="Z363" s="59">
        <f>ROUND(IF(AQ363="5",BJ363,0),2)</f>
        <v>0</v>
      </c>
      <c r="AB363" s="59">
        <f>ROUND(IF(AQ363="1",BH363,0),2)</f>
        <v>0</v>
      </c>
      <c r="AC363" s="59">
        <f>ROUND(IF(AQ363="1",BI363,0),2)</f>
        <v>0</v>
      </c>
      <c r="AD363" s="59">
        <f>ROUND(IF(AQ363="7",BH363,0),2)</f>
        <v>0</v>
      </c>
      <c r="AE363" s="59">
        <f>ROUND(IF(AQ363="7",BI363,0),2)</f>
        <v>0</v>
      </c>
      <c r="AF363" s="59">
        <f>ROUND(IF(AQ363="2",BH363,0),2)</f>
        <v>0</v>
      </c>
      <c r="AG363" s="59">
        <f>ROUND(IF(AQ363="2",BI363,0),2)</f>
        <v>0</v>
      </c>
      <c r="AH363" s="59">
        <f>ROUND(IF(AQ363="0",BJ363,0),2)</f>
        <v>0</v>
      </c>
      <c r="AI363" s="46" t="s">
        <v>471</v>
      </c>
      <c r="AJ363" s="59">
        <f>IF(AN363=0,I363,0)</f>
        <v>0</v>
      </c>
      <c r="AK363" s="59">
        <f>IF(AN363=12,I363,0)</f>
        <v>0</v>
      </c>
      <c r="AL363" s="59">
        <f>IF(AN363=21,I363,0)</f>
        <v>0</v>
      </c>
      <c r="AN363" s="59">
        <v>12</v>
      </c>
      <c r="AO363" s="59">
        <f>H363*0</f>
        <v>0</v>
      </c>
      <c r="AP363" s="59">
        <f>H363*(1-0)</f>
        <v>0</v>
      </c>
      <c r="AQ363" s="61" t="s">
        <v>111</v>
      </c>
      <c r="AV363" s="59">
        <f>ROUND(AW363+AX363,2)</f>
        <v>0</v>
      </c>
      <c r="AW363" s="59">
        <f>ROUND(G363*AO363,2)</f>
        <v>0</v>
      </c>
      <c r="AX363" s="59">
        <f>ROUND(G363*AP363,2)</f>
        <v>0</v>
      </c>
      <c r="AY363" s="61" t="s">
        <v>295</v>
      </c>
      <c r="AZ363" s="61" t="s">
        <v>480</v>
      </c>
      <c r="BA363" s="46" t="s">
        <v>474</v>
      </c>
      <c r="BC363" s="59">
        <f>AW363+AX363</f>
        <v>0</v>
      </c>
      <c r="BD363" s="59">
        <f>H363/(100-BE363)*100</f>
        <v>0</v>
      </c>
      <c r="BE363" s="59">
        <v>0</v>
      </c>
      <c r="BF363" s="59">
        <f>L363</f>
        <v>1.9624000000000001</v>
      </c>
      <c r="BH363" s="59">
        <f>G363*AO363</f>
        <v>0</v>
      </c>
      <c r="BI363" s="59">
        <f>G363*AP363</f>
        <v>0</v>
      </c>
      <c r="BJ363" s="59">
        <f>G363*H363</f>
        <v>0</v>
      </c>
      <c r="BK363" s="59"/>
      <c r="BL363" s="59">
        <v>96</v>
      </c>
      <c r="BW363" s="59">
        <v>12</v>
      </c>
      <c r="BX363" s="16" t="s">
        <v>439</v>
      </c>
    </row>
    <row r="364" spans="1:76" x14ac:dyDescent="0.25">
      <c r="A364" s="62"/>
      <c r="D364" s="63" t="s">
        <v>440</v>
      </c>
      <c r="E364" s="63"/>
      <c r="G364" s="64">
        <v>0.89200000000000002</v>
      </c>
      <c r="M364" s="65"/>
    </row>
    <row r="365" spans="1:76" ht="15" customHeight="1" x14ac:dyDescent="0.25">
      <c r="A365" s="58" t="s">
        <v>605</v>
      </c>
      <c r="B365" s="18" t="s">
        <v>471</v>
      </c>
      <c r="C365" s="18" t="s">
        <v>442</v>
      </c>
      <c r="D365" s="8" t="s">
        <v>443</v>
      </c>
      <c r="E365" s="8"/>
      <c r="F365" s="18" t="s">
        <v>114</v>
      </c>
      <c r="G365" s="59">
        <v>22.3</v>
      </c>
      <c r="H365" s="59">
        <v>0</v>
      </c>
      <c r="I365" s="59">
        <f>ROUND(G365*H365,2)</f>
        <v>0</v>
      </c>
      <c r="J365" s="59">
        <v>0</v>
      </c>
      <c r="K365" s="59">
        <v>1.26E-2</v>
      </c>
      <c r="L365" s="59">
        <f>G365*K365</f>
        <v>0.28098000000000001</v>
      </c>
      <c r="M365" s="60" t="s">
        <v>115</v>
      </c>
      <c r="Z365" s="59">
        <f>ROUND(IF(AQ365="5",BJ365,0),2)</f>
        <v>0</v>
      </c>
      <c r="AB365" s="59">
        <f>ROUND(IF(AQ365="1",BH365,0),2)</f>
        <v>0</v>
      </c>
      <c r="AC365" s="59">
        <f>ROUND(IF(AQ365="1",BI365,0),2)</f>
        <v>0</v>
      </c>
      <c r="AD365" s="59">
        <f>ROUND(IF(AQ365="7",BH365,0),2)</f>
        <v>0</v>
      </c>
      <c r="AE365" s="59">
        <f>ROUND(IF(AQ365="7",BI365,0),2)</f>
        <v>0</v>
      </c>
      <c r="AF365" s="59">
        <f>ROUND(IF(AQ365="2",BH365,0),2)</f>
        <v>0</v>
      </c>
      <c r="AG365" s="59">
        <f>ROUND(IF(AQ365="2",BI365,0),2)</f>
        <v>0</v>
      </c>
      <c r="AH365" s="59">
        <f>ROUND(IF(AQ365="0",BJ365,0),2)</f>
        <v>0</v>
      </c>
      <c r="AI365" s="46" t="s">
        <v>471</v>
      </c>
      <c r="AJ365" s="59">
        <f>IF(AN365=0,I365,0)</f>
        <v>0</v>
      </c>
      <c r="AK365" s="59">
        <f>IF(AN365=12,I365,0)</f>
        <v>0</v>
      </c>
      <c r="AL365" s="59">
        <f>IF(AN365=21,I365,0)</f>
        <v>0</v>
      </c>
      <c r="AN365" s="59">
        <v>12</v>
      </c>
      <c r="AO365" s="59">
        <f>H365*0</f>
        <v>0</v>
      </c>
      <c r="AP365" s="59">
        <f>H365*(1-0)</f>
        <v>0</v>
      </c>
      <c r="AQ365" s="61" t="s">
        <v>111</v>
      </c>
      <c r="AV365" s="59">
        <f>ROUND(AW365+AX365,2)</f>
        <v>0</v>
      </c>
      <c r="AW365" s="59">
        <f>ROUND(G365*AO365,2)</f>
        <v>0</v>
      </c>
      <c r="AX365" s="59">
        <f>ROUND(G365*AP365,2)</f>
        <v>0</v>
      </c>
      <c r="AY365" s="61" t="s">
        <v>295</v>
      </c>
      <c r="AZ365" s="61" t="s">
        <v>480</v>
      </c>
      <c r="BA365" s="46" t="s">
        <v>474</v>
      </c>
      <c r="BC365" s="59">
        <f>AW365+AX365</f>
        <v>0</v>
      </c>
      <c r="BD365" s="59">
        <f>H365/(100-BE365)*100</f>
        <v>0</v>
      </c>
      <c r="BE365" s="59">
        <v>0</v>
      </c>
      <c r="BF365" s="59">
        <f>L365</f>
        <v>0.28098000000000001</v>
      </c>
      <c r="BH365" s="59">
        <f>G365*AO365</f>
        <v>0</v>
      </c>
      <c r="BI365" s="59">
        <f>G365*AP365</f>
        <v>0</v>
      </c>
      <c r="BJ365" s="59">
        <f>G365*H365</f>
        <v>0</v>
      </c>
      <c r="BK365" s="59"/>
      <c r="BL365" s="59">
        <v>96</v>
      </c>
      <c r="BW365" s="59">
        <v>12</v>
      </c>
      <c r="BX365" s="16" t="s">
        <v>443</v>
      </c>
    </row>
    <row r="366" spans="1:76" x14ac:dyDescent="0.25">
      <c r="A366" s="62"/>
      <c r="D366" s="63" t="s">
        <v>444</v>
      </c>
      <c r="E366" s="63"/>
      <c r="G366" s="64">
        <v>22.3</v>
      </c>
      <c r="M366" s="65"/>
    </row>
    <row r="367" spans="1:76" ht="15" customHeight="1" x14ac:dyDescent="0.25">
      <c r="A367" s="58" t="s">
        <v>606</v>
      </c>
      <c r="B367" s="18" t="s">
        <v>471</v>
      </c>
      <c r="C367" s="18" t="s">
        <v>446</v>
      </c>
      <c r="D367" s="8" t="s">
        <v>447</v>
      </c>
      <c r="E367" s="8"/>
      <c r="F367" s="18" t="s">
        <v>114</v>
      </c>
      <c r="G367" s="59">
        <v>23.3</v>
      </c>
      <c r="H367" s="59">
        <v>0</v>
      </c>
      <c r="I367" s="59">
        <f>ROUND(G367*H367,2)</f>
        <v>0</v>
      </c>
      <c r="J367" s="59">
        <v>0</v>
      </c>
      <c r="K367" s="59">
        <v>4.4999999999999998E-2</v>
      </c>
      <c r="L367" s="59">
        <f>G367*K367</f>
        <v>1.0485</v>
      </c>
      <c r="M367" s="60" t="s">
        <v>115</v>
      </c>
      <c r="Z367" s="59">
        <f>ROUND(IF(AQ367="5",BJ367,0),2)</f>
        <v>0</v>
      </c>
      <c r="AB367" s="59">
        <f>ROUND(IF(AQ367="1",BH367,0),2)</f>
        <v>0</v>
      </c>
      <c r="AC367" s="59">
        <f>ROUND(IF(AQ367="1",BI367,0),2)</f>
        <v>0</v>
      </c>
      <c r="AD367" s="59">
        <f>ROUND(IF(AQ367="7",BH367,0),2)</f>
        <v>0</v>
      </c>
      <c r="AE367" s="59">
        <f>ROUND(IF(AQ367="7",BI367,0),2)</f>
        <v>0</v>
      </c>
      <c r="AF367" s="59">
        <f>ROUND(IF(AQ367="2",BH367,0),2)</f>
        <v>0</v>
      </c>
      <c r="AG367" s="59">
        <f>ROUND(IF(AQ367="2",BI367,0),2)</f>
        <v>0</v>
      </c>
      <c r="AH367" s="59">
        <f>ROUND(IF(AQ367="0",BJ367,0),2)</f>
        <v>0</v>
      </c>
      <c r="AI367" s="46" t="s">
        <v>471</v>
      </c>
      <c r="AJ367" s="59">
        <f>IF(AN367=0,I367,0)</f>
        <v>0</v>
      </c>
      <c r="AK367" s="59">
        <f>IF(AN367=12,I367,0)</f>
        <v>0</v>
      </c>
      <c r="AL367" s="59">
        <f>IF(AN367=21,I367,0)</f>
        <v>0</v>
      </c>
      <c r="AN367" s="59">
        <v>12</v>
      </c>
      <c r="AO367" s="59">
        <f>H367*0</f>
        <v>0</v>
      </c>
      <c r="AP367" s="59">
        <f>H367*(1-0)</f>
        <v>0</v>
      </c>
      <c r="AQ367" s="61" t="s">
        <v>111</v>
      </c>
      <c r="AV367" s="59">
        <f>ROUND(AW367+AX367,2)</f>
        <v>0</v>
      </c>
      <c r="AW367" s="59">
        <f>ROUND(G367*AO367,2)</f>
        <v>0</v>
      </c>
      <c r="AX367" s="59">
        <f>ROUND(G367*AP367,2)</f>
        <v>0</v>
      </c>
      <c r="AY367" s="61" t="s">
        <v>295</v>
      </c>
      <c r="AZ367" s="61" t="s">
        <v>480</v>
      </c>
      <c r="BA367" s="46" t="s">
        <v>474</v>
      </c>
      <c r="BC367" s="59">
        <f>AW367+AX367</f>
        <v>0</v>
      </c>
      <c r="BD367" s="59">
        <f>H367/(100-BE367)*100</f>
        <v>0</v>
      </c>
      <c r="BE367" s="59">
        <v>0</v>
      </c>
      <c r="BF367" s="59">
        <f>L367</f>
        <v>1.0485</v>
      </c>
      <c r="BH367" s="59">
        <f>G367*AO367</f>
        <v>0</v>
      </c>
      <c r="BI367" s="59">
        <f>G367*AP367</f>
        <v>0</v>
      </c>
      <c r="BJ367" s="59">
        <f>G367*H367</f>
        <v>0</v>
      </c>
      <c r="BK367" s="59"/>
      <c r="BL367" s="59">
        <v>96</v>
      </c>
      <c r="BW367" s="59">
        <v>12</v>
      </c>
      <c r="BX367" s="16" t="s">
        <v>447</v>
      </c>
    </row>
    <row r="368" spans="1:76" x14ac:dyDescent="0.25">
      <c r="A368" s="62"/>
      <c r="D368" s="63" t="s">
        <v>379</v>
      </c>
      <c r="E368" s="63"/>
      <c r="G368" s="64">
        <v>22.3</v>
      </c>
      <c r="M368" s="65"/>
    </row>
    <row r="369" spans="1:76" x14ac:dyDescent="0.25">
      <c r="A369" s="62"/>
      <c r="D369" s="63" t="s">
        <v>448</v>
      </c>
      <c r="E369" s="63"/>
      <c r="G369" s="64">
        <v>1</v>
      </c>
      <c r="M369" s="65"/>
    </row>
    <row r="370" spans="1:76" ht="15" customHeight="1" x14ac:dyDescent="0.25">
      <c r="A370" s="54"/>
      <c r="B370" s="55" t="s">
        <v>471</v>
      </c>
      <c r="C370" s="55" t="s">
        <v>312</v>
      </c>
      <c r="D370" s="104" t="s">
        <v>313</v>
      </c>
      <c r="E370" s="104"/>
      <c r="F370" s="56" t="s">
        <v>88</v>
      </c>
      <c r="G370" s="56" t="s">
        <v>88</v>
      </c>
      <c r="H370" s="56" t="s">
        <v>88</v>
      </c>
      <c r="I370" s="39">
        <f>SUM(I371)</f>
        <v>0</v>
      </c>
      <c r="J370" s="46"/>
      <c r="K370" s="46"/>
      <c r="L370" s="39">
        <f>SUM(L371)</f>
        <v>1.19784</v>
      </c>
      <c r="M370" s="57"/>
      <c r="AI370" s="46" t="s">
        <v>471</v>
      </c>
      <c r="AS370" s="39">
        <f>SUM(AJ371)</f>
        <v>0</v>
      </c>
      <c r="AT370" s="39">
        <f>SUM(AK371)</f>
        <v>0</v>
      </c>
      <c r="AU370" s="39">
        <f>SUM(AL371)</f>
        <v>0</v>
      </c>
    </row>
    <row r="371" spans="1:76" ht="15" customHeight="1" x14ac:dyDescent="0.25">
      <c r="A371" s="58" t="s">
        <v>607</v>
      </c>
      <c r="B371" s="18" t="s">
        <v>471</v>
      </c>
      <c r="C371" s="18" t="s">
        <v>315</v>
      </c>
      <c r="D371" s="8" t="s">
        <v>316</v>
      </c>
      <c r="E371" s="8"/>
      <c r="F371" s="18" t="s">
        <v>114</v>
      </c>
      <c r="G371" s="59">
        <v>26.04</v>
      </c>
      <c r="H371" s="59">
        <v>0</v>
      </c>
      <c r="I371" s="59">
        <f>ROUND(G371*H371,2)</f>
        <v>0</v>
      </c>
      <c r="J371" s="59">
        <v>0</v>
      </c>
      <c r="K371" s="59">
        <v>4.5999999999999999E-2</v>
      </c>
      <c r="L371" s="59">
        <f>G371*K371</f>
        <v>1.19784</v>
      </c>
      <c r="M371" s="60" t="s">
        <v>115</v>
      </c>
      <c r="Z371" s="59">
        <f>ROUND(IF(AQ371="5",BJ371,0),2)</f>
        <v>0</v>
      </c>
      <c r="AB371" s="59">
        <f>ROUND(IF(AQ371="1",BH371,0),2)</f>
        <v>0</v>
      </c>
      <c r="AC371" s="59">
        <f>ROUND(IF(AQ371="1",BI371,0),2)</f>
        <v>0</v>
      </c>
      <c r="AD371" s="59">
        <f>ROUND(IF(AQ371="7",BH371,0),2)</f>
        <v>0</v>
      </c>
      <c r="AE371" s="59">
        <f>ROUND(IF(AQ371="7",BI371,0),2)</f>
        <v>0</v>
      </c>
      <c r="AF371" s="59">
        <f>ROUND(IF(AQ371="2",BH371,0),2)</f>
        <v>0</v>
      </c>
      <c r="AG371" s="59">
        <f>ROUND(IF(AQ371="2",BI371,0),2)</f>
        <v>0</v>
      </c>
      <c r="AH371" s="59">
        <f>ROUND(IF(AQ371="0",BJ371,0),2)</f>
        <v>0</v>
      </c>
      <c r="AI371" s="46" t="s">
        <v>471</v>
      </c>
      <c r="AJ371" s="59">
        <f>IF(AN371=0,I371,0)</f>
        <v>0</v>
      </c>
      <c r="AK371" s="59">
        <f>IF(AN371=12,I371,0)</f>
        <v>0</v>
      </c>
      <c r="AL371" s="59">
        <f>IF(AN371=21,I371,0)</f>
        <v>0</v>
      </c>
      <c r="AN371" s="59">
        <v>12</v>
      </c>
      <c r="AO371" s="59">
        <f>H371*0</f>
        <v>0</v>
      </c>
      <c r="AP371" s="59">
        <f>H371*(1-0)</f>
        <v>0</v>
      </c>
      <c r="AQ371" s="61" t="s">
        <v>111</v>
      </c>
      <c r="AV371" s="59">
        <f>ROUND(AW371+AX371,2)</f>
        <v>0</v>
      </c>
      <c r="AW371" s="59">
        <f>ROUND(G371*AO371,2)</f>
        <v>0</v>
      </c>
      <c r="AX371" s="59">
        <f>ROUND(G371*AP371,2)</f>
        <v>0</v>
      </c>
      <c r="AY371" s="61" t="s">
        <v>317</v>
      </c>
      <c r="AZ371" s="61" t="s">
        <v>480</v>
      </c>
      <c r="BA371" s="46" t="s">
        <v>474</v>
      </c>
      <c r="BC371" s="59">
        <f>AW371+AX371</f>
        <v>0</v>
      </c>
      <c r="BD371" s="59">
        <f>H371/(100-BE371)*100</f>
        <v>0</v>
      </c>
      <c r="BE371" s="59">
        <v>0</v>
      </c>
      <c r="BF371" s="59">
        <f>L371</f>
        <v>1.19784</v>
      </c>
      <c r="BH371" s="59">
        <f>G371*AO371</f>
        <v>0</v>
      </c>
      <c r="BI371" s="59">
        <f>G371*AP371</f>
        <v>0</v>
      </c>
      <c r="BJ371" s="59">
        <f>G371*H371</f>
        <v>0</v>
      </c>
      <c r="BK371" s="59"/>
      <c r="BL371" s="59">
        <v>97</v>
      </c>
      <c r="BW371" s="59">
        <v>12</v>
      </c>
      <c r="BX371" s="16" t="s">
        <v>316</v>
      </c>
    </row>
    <row r="372" spans="1:76" x14ac:dyDescent="0.25">
      <c r="A372" s="62"/>
      <c r="D372" s="63" t="s">
        <v>450</v>
      </c>
      <c r="E372" s="63"/>
      <c r="G372" s="64">
        <v>26.04</v>
      </c>
      <c r="M372" s="65"/>
    </row>
    <row r="373" spans="1:76" ht="15" customHeight="1" x14ac:dyDescent="0.25">
      <c r="A373" s="54"/>
      <c r="B373" s="55" t="s">
        <v>471</v>
      </c>
      <c r="C373" s="55" t="s">
        <v>318</v>
      </c>
      <c r="D373" s="104" t="s">
        <v>319</v>
      </c>
      <c r="E373" s="104"/>
      <c r="F373" s="56" t="s">
        <v>88</v>
      </c>
      <c r="G373" s="56" t="s">
        <v>88</v>
      </c>
      <c r="H373" s="56" t="s">
        <v>88</v>
      </c>
      <c r="I373" s="39">
        <f>SUM(I374)</f>
        <v>0</v>
      </c>
      <c r="J373" s="46"/>
      <c r="K373" s="46"/>
      <c r="L373" s="39">
        <f>SUM(L374)</f>
        <v>0</v>
      </c>
      <c r="M373" s="57"/>
      <c r="AI373" s="46" t="s">
        <v>471</v>
      </c>
      <c r="AS373" s="39">
        <f>SUM(AJ374)</f>
        <v>0</v>
      </c>
      <c r="AT373" s="39">
        <f>SUM(AK374)</f>
        <v>0</v>
      </c>
      <c r="AU373" s="39">
        <f>SUM(AL374)</f>
        <v>0</v>
      </c>
    </row>
    <row r="374" spans="1:76" ht="15" customHeight="1" x14ac:dyDescent="0.25">
      <c r="A374" s="58" t="s">
        <v>608</v>
      </c>
      <c r="B374" s="18" t="s">
        <v>471</v>
      </c>
      <c r="C374" s="18" t="s">
        <v>321</v>
      </c>
      <c r="D374" s="8" t="s">
        <v>322</v>
      </c>
      <c r="E374" s="8"/>
      <c r="F374" s="18" t="s">
        <v>224</v>
      </c>
      <c r="G374" s="59">
        <v>5.1639999999999997</v>
      </c>
      <c r="H374" s="59">
        <v>0</v>
      </c>
      <c r="I374" s="59">
        <f>ROUND(G374*H374,2)</f>
        <v>0</v>
      </c>
      <c r="J374" s="59">
        <v>0</v>
      </c>
      <c r="K374" s="59">
        <v>0</v>
      </c>
      <c r="L374" s="59">
        <f>G374*K374</f>
        <v>0</v>
      </c>
      <c r="M374" s="60" t="s">
        <v>115</v>
      </c>
      <c r="Z374" s="59">
        <f>ROUND(IF(AQ374="5",BJ374,0),2)</f>
        <v>0</v>
      </c>
      <c r="AB374" s="59">
        <f>ROUND(IF(AQ374="1",BH374,0),2)</f>
        <v>0</v>
      </c>
      <c r="AC374" s="59">
        <f>ROUND(IF(AQ374="1",BI374,0),2)</f>
        <v>0</v>
      </c>
      <c r="AD374" s="59">
        <f>ROUND(IF(AQ374="7",BH374,0),2)</f>
        <v>0</v>
      </c>
      <c r="AE374" s="59">
        <f>ROUND(IF(AQ374="7",BI374,0),2)</f>
        <v>0</v>
      </c>
      <c r="AF374" s="59">
        <f>ROUND(IF(AQ374="2",BH374,0),2)</f>
        <v>0</v>
      </c>
      <c r="AG374" s="59">
        <f>ROUND(IF(AQ374="2",BI374,0),2)</f>
        <v>0</v>
      </c>
      <c r="AH374" s="59">
        <f>ROUND(IF(AQ374="0",BJ374,0),2)</f>
        <v>0</v>
      </c>
      <c r="AI374" s="46" t="s">
        <v>471</v>
      </c>
      <c r="AJ374" s="59">
        <f>IF(AN374=0,I374,0)</f>
        <v>0</v>
      </c>
      <c r="AK374" s="59">
        <f>IF(AN374=12,I374,0)</f>
        <v>0</v>
      </c>
      <c r="AL374" s="59">
        <f>IF(AN374=21,I374,0)</f>
        <v>0</v>
      </c>
      <c r="AN374" s="59">
        <v>12</v>
      </c>
      <c r="AO374" s="59">
        <f>H374*0</f>
        <v>0</v>
      </c>
      <c r="AP374" s="59">
        <f>H374*(1-0)</f>
        <v>0</v>
      </c>
      <c r="AQ374" s="61" t="s">
        <v>137</v>
      </c>
      <c r="AV374" s="59">
        <f>ROUND(AW374+AX374,2)</f>
        <v>0</v>
      </c>
      <c r="AW374" s="59">
        <f>ROUND(G374*AO374,2)</f>
        <v>0</v>
      </c>
      <c r="AX374" s="59">
        <f>ROUND(G374*AP374,2)</f>
        <v>0</v>
      </c>
      <c r="AY374" s="61" t="s">
        <v>323</v>
      </c>
      <c r="AZ374" s="61" t="s">
        <v>480</v>
      </c>
      <c r="BA374" s="46" t="s">
        <v>474</v>
      </c>
      <c r="BC374" s="59">
        <f>AW374+AX374</f>
        <v>0</v>
      </c>
      <c r="BD374" s="59">
        <f>H374/(100-BE374)*100</f>
        <v>0</v>
      </c>
      <c r="BE374" s="59">
        <v>0</v>
      </c>
      <c r="BF374" s="59">
        <f>L374</f>
        <v>0</v>
      </c>
      <c r="BH374" s="59">
        <f>G374*AO374</f>
        <v>0</v>
      </c>
      <c r="BI374" s="59">
        <f>G374*AP374</f>
        <v>0</v>
      </c>
      <c r="BJ374" s="59">
        <f>G374*H374</f>
        <v>0</v>
      </c>
      <c r="BK374" s="59"/>
      <c r="BL374" s="59"/>
      <c r="BW374" s="59">
        <v>12</v>
      </c>
      <c r="BX374" s="16" t="s">
        <v>322</v>
      </c>
    </row>
    <row r="375" spans="1:76" ht="15" customHeight="1" x14ac:dyDescent="0.25">
      <c r="A375" s="54"/>
      <c r="B375" s="55" t="s">
        <v>471</v>
      </c>
      <c r="C375" s="55" t="s">
        <v>324</v>
      </c>
      <c r="D375" s="104" t="s">
        <v>325</v>
      </c>
      <c r="E375" s="104"/>
      <c r="F375" s="56" t="s">
        <v>88</v>
      </c>
      <c r="G375" s="56" t="s">
        <v>88</v>
      </c>
      <c r="H375" s="56" t="s">
        <v>88</v>
      </c>
      <c r="I375" s="39">
        <f>SUM(I376:I390)</f>
        <v>0</v>
      </c>
      <c r="J375" s="46"/>
      <c r="K375" s="46"/>
      <c r="L375" s="39">
        <f>SUM(L376:L390)</f>
        <v>0</v>
      </c>
      <c r="M375" s="57"/>
      <c r="AI375" s="46" t="s">
        <v>471</v>
      </c>
      <c r="AS375" s="39">
        <f>SUM(AJ376:AJ390)</f>
        <v>0</v>
      </c>
      <c r="AT375" s="39">
        <f>SUM(AK376:AK390)</f>
        <v>0</v>
      </c>
      <c r="AU375" s="39">
        <f>SUM(AL376:AL390)</f>
        <v>0</v>
      </c>
    </row>
    <row r="376" spans="1:76" ht="15" customHeight="1" x14ac:dyDescent="0.25">
      <c r="A376" s="58" t="s">
        <v>609</v>
      </c>
      <c r="B376" s="18" t="s">
        <v>471</v>
      </c>
      <c r="C376" s="18" t="s">
        <v>453</v>
      </c>
      <c r="D376" s="8" t="s">
        <v>454</v>
      </c>
      <c r="E376" s="8"/>
      <c r="F376" s="18" t="s">
        <v>224</v>
      </c>
      <c r="G376" s="59">
        <v>9.3000000000000007</v>
      </c>
      <c r="H376" s="59">
        <v>0</v>
      </c>
      <c r="I376" s="59">
        <f>ROUND(G376*H376,2)</f>
        <v>0</v>
      </c>
      <c r="J376" s="59">
        <v>0</v>
      </c>
      <c r="K376" s="59">
        <v>0</v>
      </c>
      <c r="L376" s="59">
        <f>G376*K376</f>
        <v>0</v>
      </c>
      <c r="M376" s="60" t="s">
        <v>115</v>
      </c>
      <c r="Z376" s="59">
        <f>ROUND(IF(AQ376="5",BJ376,0),2)</f>
        <v>0</v>
      </c>
      <c r="AB376" s="59">
        <f>ROUND(IF(AQ376="1",BH376,0),2)</f>
        <v>0</v>
      </c>
      <c r="AC376" s="59">
        <f>ROUND(IF(AQ376="1",BI376,0),2)</f>
        <v>0</v>
      </c>
      <c r="AD376" s="59">
        <f>ROUND(IF(AQ376="7",BH376,0),2)</f>
        <v>0</v>
      </c>
      <c r="AE376" s="59">
        <f>ROUND(IF(AQ376="7",BI376,0),2)</f>
        <v>0</v>
      </c>
      <c r="AF376" s="59">
        <f>ROUND(IF(AQ376="2",BH376,0),2)</f>
        <v>0</v>
      </c>
      <c r="AG376" s="59">
        <f>ROUND(IF(AQ376="2",BI376,0),2)</f>
        <v>0</v>
      </c>
      <c r="AH376" s="59">
        <f>ROUND(IF(AQ376="0",BJ376,0),2)</f>
        <v>0</v>
      </c>
      <c r="AI376" s="46" t="s">
        <v>471</v>
      </c>
      <c r="AJ376" s="59">
        <f>IF(AN376=0,I376,0)</f>
        <v>0</v>
      </c>
      <c r="AK376" s="59">
        <f>IF(AN376=12,I376,0)</f>
        <v>0</v>
      </c>
      <c r="AL376" s="59">
        <f>IF(AN376=21,I376,0)</f>
        <v>0</v>
      </c>
      <c r="AN376" s="59">
        <v>12</v>
      </c>
      <c r="AO376" s="59">
        <f>H376*0</f>
        <v>0</v>
      </c>
      <c r="AP376" s="59">
        <f>H376*(1-0)</f>
        <v>0</v>
      </c>
      <c r="AQ376" s="61" t="s">
        <v>137</v>
      </c>
      <c r="AV376" s="59">
        <f>ROUND(AW376+AX376,2)</f>
        <v>0</v>
      </c>
      <c r="AW376" s="59">
        <f>ROUND(G376*AO376,2)</f>
        <v>0</v>
      </c>
      <c r="AX376" s="59">
        <f>ROUND(G376*AP376,2)</f>
        <v>0</v>
      </c>
      <c r="AY376" s="61" t="s">
        <v>329</v>
      </c>
      <c r="AZ376" s="61" t="s">
        <v>480</v>
      </c>
      <c r="BA376" s="46" t="s">
        <v>474</v>
      </c>
      <c r="BC376" s="59">
        <f>AW376+AX376</f>
        <v>0</v>
      </c>
      <c r="BD376" s="59">
        <f>H376/(100-BE376)*100</f>
        <v>0</v>
      </c>
      <c r="BE376" s="59">
        <v>0</v>
      </c>
      <c r="BF376" s="59">
        <f>L376</f>
        <v>0</v>
      </c>
      <c r="BH376" s="59">
        <f>G376*AO376</f>
        <v>0</v>
      </c>
      <c r="BI376" s="59">
        <f>G376*AP376</f>
        <v>0</v>
      </c>
      <c r="BJ376" s="59">
        <f>G376*H376</f>
        <v>0</v>
      </c>
      <c r="BK376" s="59"/>
      <c r="BL376" s="59"/>
      <c r="BW376" s="59">
        <v>12</v>
      </c>
      <c r="BX376" s="16" t="s">
        <v>454</v>
      </c>
    </row>
    <row r="377" spans="1:76" x14ac:dyDescent="0.25">
      <c r="A377" s="62"/>
      <c r="D377" s="63" t="s">
        <v>455</v>
      </c>
      <c r="E377" s="63"/>
      <c r="G377" s="64">
        <v>9.3000000000000007</v>
      </c>
      <c r="M377" s="65"/>
    </row>
    <row r="378" spans="1:76" ht="15" customHeight="1" x14ac:dyDescent="0.25">
      <c r="A378" s="58" t="s">
        <v>610</v>
      </c>
      <c r="B378" s="18" t="s">
        <v>471</v>
      </c>
      <c r="C378" s="18" t="s">
        <v>327</v>
      </c>
      <c r="D378" s="8" t="s">
        <v>328</v>
      </c>
      <c r="E378" s="8"/>
      <c r="F378" s="18" t="s">
        <v>224</v>
      </c>
      <c r="G378" s="59">
        <v>3.32</v>
      </c>
      <c r="H378" s="59">
        <v>0</v>
      </c>
      <c r="I378" s="59">
        <f>ROUND(G378*H378,2)</f>
        <v>0</v>
      </c>
      <c r="J378" s="59">
        <v>0</v>
      </c>
      <c r="K378" s="59">
        <v>0</v>
      </c>
      <c r="L378" s="59">
        <f>G378*K378</f>
        <v>0</v>
      </c>
      <c r="M378" s="60" t="s">
        <v>115</v>
      </c>
      <c r="Z378" s="59">
        <f>ROUND(IF(AQ378="5",BJ378,0),2)</f>
        <v>0</v>
      </c>
      <c r="AB378" s="59">
        <f>ROUND(IF(AQ378="1",BH378,0),2)</f>
        <v>0</v>
      </c>
      <c r="AC378" s="59">
        <f>ROUND(IF(AQ378="1",BI378,0),2)</f>
        <v>0</v>
      </c>
      <c r="AD378" s="59">
        <f>ROUND(IF(AQ378="7",BH378,0),2)</f>
        <v>0</v>
      </c>
      <c r="AE378" s="59">
        <f>ROUND(IF(AQ378="7",BI378,0),2)</f>
        <v>0</v>
      </c>
      <c r="AF378" s="59">
        <f>ROUND(IF(AQ378="2",BH378,0),2)</f>
        <v>0</v>
      </c>
      <c r="AG378" s="59">
        <f>ROUND(IF(AQ378="2",BI378,0),2)</f>
        <v>0</v>
      </c>
      <c r="AH378" s="59">
        <f>ROUND(IF(AQ378="0",BJ378,0),2)</f>
        <v>0</v>
      </c>
      <c r="AI378" s="46" t="s">
        <v>471</v>
      </c>
      <c r="AJ378" s="59">
        <f>IF(AN378=0,I378,0)</f>
        <v>0</v>
      </c>
      <c r="AK378" s="59">
        <f>IF(AN378=12,I378,0)</f>
        <v>0</v>
      </c>
      <c r="AL378" s="59">
        <f>IF(AN378=21,I378,0)</f>
        <v>0</v>
      </c>
      <c r="AN378" s="59">
        <v>12</v>
      </c>
      <c r="AO378" s="59">
        <f>H378*0</f>
        <v>0</v>
      </c>
      <c r="AP378" s="59">
        <f>H378*(1-0)</f>
        <v>0</v>
      </c>
      <c r="AQ378" s="61" t="s">
        <v>137</v>
      </c>
      <c r="AV378" s="59">
        <f>ROUND(AW378+AX378,2)</f>
        <v>0</v>
      </c>
      <c r="AW378" s="59">
        <f>ROUND(G378*AO378,2)</f>
        <v>0</v>
      </c>
      <c r="AX378" s="59">
        <f>ROUND(G378*AP378,2)</f>
        <v>0</v>
      </c>
      <c r="AY378" s="61" t="s">
        <v>329</v>
      </c>
      <c r="AZ378" s="61" t="s">
        <v>480</v>
      </c>
      <c r="BA378" s="46" t="s">
        <v>474</v>
      </c>
      <c r="BC378" s="59">
        <f>AW378+AX378</f>
        <v>0</v>
      </c>
      <c r="BD378" s="59">
        <f>H378/(100-BE378)*100</f>
        <v>0</v>
      </c>
      <c r="BE378" s="59">
        <v>0</v>
      </c>
      <c r="BF378" s="59">
        <f>L378</f>
        <v>0</v>
      </c>
      <c r="BH378" s="59">
        <f>G378*AO378</f>
        <v>0</v>
      </c>
      <c r="BI378" s="59">
        <f>G378*AP378</f>
        <v>0</v>
      </c>
      <c r="BJ378" s="59">
        <f>G378*H378</f>
        <v>0</v>
      </c>
      <c r="BK378" s="59"/>
      <c r="BL378" s="59"/>
      <c r="BW378" s="59">
        <v>12</v>
      </c>
      <c r="BX378" s="16" t="s">
        <v>328</v>
      </c>
    </row>
    <row r="379" spans="1:76" x14ac:dyDescent="0.25">
      <c r="A379" s="62"/>
      <c r="D379" s="63" t="s">
        <v>330</v>
      </c>
      <c r="E379" s="63"/>
      <c r="G379" s="64">
        <v>3.32</v>
      </c>
      <c r="M379" s="65"/>
    </row>
    <row r="380" spans="1:76" ht="15" customHeight="1" x14ac:dyDescent="0.25">
      <c r="A380" s="58" t="s">
        <v>611</v>
      </c>
      <c r="B380" s="18" t="s">
        <v>471</v>
      </c>
      <c r="C380" s="18" t="s">
        <v>482</v>
      </c>
      <c r="D380" s="8" t="s">
        <v>483</v>
      </c>
      <c r="E380" s="8"/>
      <c r="F380" s="18" t="s">
        <v>224</v>
      </c>
      <c r="G380" s="59">
        <v>9.3000000000000007</v>
      </c>
      <c r="H380" s="59">
        <v>0</v>
      </c>
      <c r="I380" s="59">
        <f>ROUND(G380*H380,2)</f>
        <v>0</v>
      </c>
      <c r="J380" s="59">
        <v>0</v>
      </c>
      <c r="K380" s="59">
        <v>0</v>
      </c>
      <c r="L380" s="59">
        <f>G380*K380</f>
        <v>0</v>
      </c>
      <c r="M380" s="60" t="s">
        <v>115</v>
      </c>
      <c r="Z380" s="59">
        <f>ROUND(IF(AQ380="5",BJ380,0),2)</f>
        <v>0</v>
      </c>
      <c r="AB380" s="59">
        <f>ROUND(IF(AQ380="1",BH380,0),2)</f>
        <v>0</v>
      </c>
      <c r="AC380" s="59">
        <f>ROUND(IF(AQ380="1",BI380,0),2)</f>
        <v>0</v>
      </c>
      <c r="AD380" s="59">
        <f>ROUND(IF(AQ380="7",BH380,0),2)</f>
        <v>0</v>
      </c>
      <c r="AE380" s="59">
        <f>ROUND(IF(AQ380="7",BI380,0),2)</f>
        <v>0</v>
      </c>
      <c r="AF380" s="59">
        <f>ROUND(IF(AQ380="2",BH380,0),2)</f>
        <v>0</v>
      </c>
      <c r="AG380" s="59">
        <f>ROUND(IF(AQ380="2",BI380,0),2)</f>
        <v>0</v>
      </c>
      <c r="AH380" s="59">
        <f>ROUND(IF(AQ380="0",BJ380,0),2)</f>
        <v>0</v>
      </c>
      <c r="AI380" s="46" t="s">
        <v>471</v>
      </c>
      <c r="AJ380" s="59">
        <f>IF(AN380=0,I380,0)</f>
        <v>0</v>
      </c>
      <c r="AK380" s="59">
        <f>IF(AN380=12,I380,0)</f>
        <v>0</v>
      </c>
      <c r="AL380" s="59">
        <f>IF(AN380=21,I380,0)</f>
        <v>0</v>
      </c>
      <c r="AN380" s="59">
        <v>12</v>
      </c>
      <c r="AO380" s="59">
        <f>H380*0</f>
        <v>0</v>
      </c>
      <c r="AP380" s="59">
        <f>H380*(1-0)</f>
        <v>0</v>
      </c>
      <c r="AQ380" s="61" t="s">
        <v>137</v>
      </c>
      <c r="AV380" s="59">
        <f>ROUND(AW380+AX380,2)</f>
        <v>0</v>
      </c>
      <c r="AW380" s="59">
        <f>ROUND(G380*AO380,2)</f>
        <v>0</v>
      </c>
      <c r="AX380" s="59">
        <f>ROUND(G380*AP380,2)</f>
        <v>0</v>
      </c>
      <c r="AY380" s="61" t="s">
        <v>329</v>
      </c>
      <c r="AZ380" s="61" t="s">
        <v>480</v>
      </c>
      <c r="BA380" s="46" t="s">
        <v>474</v>
      </c>
      <c r="BC380" s="59">
        <f>AW380+AX380</f>
        <v>0</v>
      </c>
      <c r="BD380" s="59">
        <f>H380/(100-BE380)*100</f>
        <v>0</v>
      </c>
      <c r="BE380" s="59">
        <v>0</v>
      </c>
      <c r="BF380" s="59">
        <f>L380</f>
        <v>0</v>
      </c>
      <c r="BH380" s="59">
        <f>G380*AO380</f>
        <v>0</v>
      </c>
      <c r="BI380" s="59">
        <f>G380*AP380</f>
        <v>0</v>
      </c>
      <c r="BJ380" s="59">
        <f>G380*H380</f>
        <v>0</v>
      </c>
      <c r="BK380" s="59"/>
      <c r="BL380" s="59"/>
      <c r="BW380" s="59">
        <v>12</v>
      </c>
      <c r="BX380" s="16" t="s">
        <v>483</v>
      </c>
    </row>
    <row r="381" spans="1:76" x14ac:dyDescent="0.25">
      <c r="A381" s="62"/>
      <c r="D381" s="63" t="s">
        <v>458</v>
      </c>
      <c r="E381" s="63"/>
      <c r="G381" s="64">
        <v>9.3000000000000007</v>
      </c>
      <c r="M381" s="65"/>
    </row>
    <row r="382" spans="1:76" ht="15" customHeight="1" x14ac:dyDescent="0.25">
      <c r="A382" s="58" t="s">
        <v>612</v>
      </c>
      <c r="B382" s="18" t="s">
        <v>471</v>
      </c>
      <c r="C382" s="18" t="s">
        <v>332</v>
      </c>
      <c r="D382" s="8" t="s">
        <v>333</v>
      </c>
      <c r="E382" s="8"/>
      <c r="F382" s="18" t="s">
        <v>224</v>
      </c>
      <c r="G382" s="59">
        <v>9.3000000000000007</v>
      </c>
      <c r="H382" s="59">
        <v>0</v>
      </c>
      <c r="I382" s="59">
        <f>ROUND(G382*H382,2)</f>
        <v>0</v>
      </c>
      <c r="J382" s="59">
        <v>0</v>
      </c>
      <c r="K382" s="59">
        <v>0</v>
      </c>
      <c r="L382" s="59">
        <f>G382*K382</f>
        <v>0</v>
      </c>
      <c r="M382" s="60" t="s">
        <v>115</v>
      </c>
      <c r="Z382" s="59">
        <f>ROUND(IF(AQ382="5",BJ382,0),2)</f>
        <v>0</v>
      </c>
      <c r="AB382" s="59">
        <f>ROUND(IF(AQ382="1",BH382,0),2)</f>
        <v>0</v>
      </c>
      <c r="AC382" s="59">
        <f>ROUND(IF(AQ382="1",BI382,0),2)</f>
        <v>0</v>
      </c>
      <c r="AD382" s="59">
        <f>ROUND(IF(AQ382="7",BH382,0),2)</f>
        <v>0</v>
      </c>
      <c r="AE382" s="59">
        <f>ROUND(IF(AQ382="7",BI382,0),2)</f>
        <v>0</v>
      </c>
      <c r="AF382" s="59">
        <f>ROUND(IF(AQ382="2",BH382,0),2)</f>
        <v>0</v>
      </c>
      <c r="AG382" s="59">
        <f>ROUND(IF(AQ382="2",BI382,0),2)</f>
        <v>0</v>
      </c>
      <c r="AH382" s="59">
        <f>ROUND(IF(AQ382="0",BJ382,0),2)</f>
        <v>0</v>
      </c>
      <c r="AI382" s="46" t="s">
        <v>471</v>
      </c>
      <c r="AJ382" s="59">
        <f>IF(AN382=0,I382,0)</f>
        <v>0</v>
      </c>
      <c r="AK382" s="59">
        <f>IF(AN382=12,I382,0)</f>
        <v>0</v>
      </c>
      <c r="AL382" s="59">
        <f>IF(AN382=21,I382,0)</f>
        <v>0</v>
      </c>
      <c r="AN382" s="59">
        <v>12</v>
      </c>
      <c r="AO382" s="59">
        <f>H382*0</f>
        <v>0</v>
      </c>
      <c r="AP382" s="59">
        <f>H382*(1-0)</f>
        <v>0</v>
      </c>
      <c r="AQ382" s="61" t="s">
        <v>137</v>
      </c>
      <c r="AV382" s="59">
        <f>ROUND(AW382+AX382,2)</f>
        <v>0</v>
      </c>
      <c r="AW382" s="59">
        <f>ROUND(G382*AO382,2)</f>
        <v>0</v>
      </c>
      <c r="AX382" s="59">
        <f>ROUND(G382*AP382,2)</f>
        <v>0</v>
      </c>
      <c r="AY382" s="61" t="s">
        <v>329</v>
      </c>
      <c r="AZ382" s="61" t="s">
        <v>480</v>
      </c>
      <c r="BA382" s="46" t="s">
        <v>474</v>
      </c>
      <c r="BC382" s="59">
        <f>AW382+AX382</f>
        <v>0</v>
      </c>
      <c r="BD382" s="59">
        <f>H382/(100-BE382)*100</f>
        <v>0</v>
      </c>
      <c r="BE382" s="59">
        <v>0</v>
      </c>
      <c r="BF382" s="59">
        <f>L382</f>
        <v>0</v>
      </c>
      <c r="BH382" s="59">
        <f>G382*AO382</f>
        <v>0</v>
      </c>
      <c r="BI382" s="59">
        <f>G382*AP382</f>
        <v>0</v>
      </c>
      <c r="BJ382" s="59">
        <f>G382*H382</f>
        <v>0</v>
      </c>
      <c r="BK382" s="59"/>
      <c r="BL382" s="59"/>
      <c r="BW382" s="59">
        <v>12</v>
      </c>
      <c r="BX382" s="16" t="s">
        <v>333</v>
      </c>
    </row>
    <row r="383" spans="1:76" x14ac:dyDescent="0.25">
      <c r="A383" s="62"/>
      <c r="D383" s="63" t="s">
        <v>458</v>
      </c>
      <c r="E383" s="63"/>
      <c r="G383" s="64">
        <v>9.3000000000000007</v>
      </c>
      <c r="M383" s="65"/>
    </row>
    <row r="384" spans="1:76" ht="15" customHeight="1" x14ac:dyDescent="0.25">
      <c r="A384" s="58" t="s">
        <v>613</v>
      </c>
      <c r="B384" s="18" t="s">
        <v>471</v>
      </c>
      <c r="C384" s="18" t="s">
        <v>336</v>
      </c>
      <c r="D384" s="8" t="s">
        <v>337</v>
      </c>
      <c r="E384" s="8"/>
      <c r="F384" s="18" t="s">
        <v>224</v>
      </c>
      <c r="G384" s="59">
        <v>9.3000000000000007</v>
      </c>
      <c r="H384" s="59">
        <v>0</v>
      </c>
      <c r="I384" s="59">
        <f>ROUND(G384*H384,2)</f>
        <v>0</v>
      </c>
      <c r="J384" s="59">
        <v>0</v>
      </c>
      <c r="K384" s="59">
        <v>0</v>
      </c>
      <c r="L384" s="59">
        <f>G384*K384</f>
        <v>0</v>
      </c>
      <c r="M384" s="60" t="s">
        <v>115</v>
      </c>
      <c r="Z384" s="59">
        <f>ROUND(IF(AQ384="5",BJ384,0),2)</f>
        <v>0</v>
      </c>
      <c r="AB384" s="59">
        <f>ROUND(IF(AQ384="1",BH384,0),2)</f>
        <v>0</v>
      </c>
      <c r="AC384" s="59">
        <f>ROUND(IF(AQ384="1",BI384,0),2)</f>
        <v>0</v>
      </c>
      <c r="AD384" s="59">
        <f>ROUND(IF(AQ384="7",BH384,0),2)</f>
        <v>0</v>
      </c>
      <c r="AE384" s="59">
        <f>ROUND(IF(AQ384="7",BI384,0),2)</f>
        <v>0</v>
      </c>
      <c r="AF384" s="59">
        <f>ROUND(IF(AQ384="2",BH384,0),2)</f>
        <v>0</v>
      </c>
      <c r="AG384" s="59">
        <f>ROUND(IF(AQ384="2",BI384,0),2)</f>
        <v>0</v>
      </c>
      <c r="AH384" s="59">
        <f>ROUND(IF(AQ384="0",BJ384,0),2)</f>
        <v>0</v>
      </c>
      <c r="AI384" s="46" t="s">
        <v>471</v>
      </c>
      <c r="AJ384" s="59">
        <f>IF(AN384=0,I384,0)</f>
        <v>0</v>
      </c>
      <c r="AK384" s="59">
        <f>IF(AN384=12,I384,0)</f>
        <v>0</v>
      </c>
      <c r="AL384" s="59">
        <f>IF(AN384=21,I384,0)</f>
        <v>0</v>
      </c>
      <c r="AN384" s="59">
        <v>12</v>
      </c>
      <c r="AO384" s="59">
        <f>H384*0</f>
        <v>0</v>
      </c>
      <c r="AP384" s="59">
        <f>H384*(1-0)</f>
        <v>0</v>
      </c>
      <c r="AQ384" s="61" t="s">
        <v>137</v>
      </c>
      <c r="AV384" s="59">
        <f>ROUND(AW384+AX384,2)</f>
        <v>0</v>
      </c>
      <c r="AW384" s="59">
        <f>ROUND(G384*AO384,2)</f>
        <v>0</v>
      </c>
      <c r="AX384" s="59">
        <f>ROUND(G384*AP384,2)</f>
        <v>0</v>
      </c>
      <c r="AY384" s="61" t="s">
        <v>329</v>
      </c>
      <c r="AZ384" s="61" t="s">
        <v>480</v>
      </c>
      <c r="BA384" s="46" t="s">
        <v>474</v>
      </c>
      <c r="BC384" s="59">
        <f>AW384+AX384</f>
        <v>0</v>
      </c>
      <c r="BD384" s="59">
        <f>H384/(100-BE384)*100</f>
        <v>0</v>
      </c>
      <c r="BE384" s="59">
        <v>0</v>
      </c>
      <c r="BF384" s="59">
        <f>L384</f>
        <v>0</v>
      </c>
      <c r="BH384" s="59">
        <f>G384*AO384</f>
        <v>0</v>
      </c>
      <c r="BI384" s="59">
        <f>G384*AP384</f>
        <v>0</v>
      </c>
      <c r="BJ384" s="59">
        <f>G384*H384</f>
        <v>0</v>
      </c>
      <c r="BK384" s="59"/>
      <c r="BL384" s="59"/>
      <c r="BW384" s="59">
        <v>12</v>
      </c>
      <c r="BX384" s="16" t="s">
        <v>337</v>
      </c>
    </row>
    <row r="385" spans="1:76" x14ac:dyDescent="0.25">
      <c r="A385" s="62"/>
      <c r="D385" s="63" t="s">
        <v>458</v>
      </c>
      <c r="E385" s="63"/>
      <c r="G385" s="64">
        <v>9.3000000000000007</v>
      </c>
      <c r="M385" s="65"/>
    </row>
    <row r="386" spans="1:76" ht="15" customHeight="1" x14ac:dyDescent="0.25">
      <c r="A386" s="58" t="s">
        <v>614</v>
      </c>
      <c r="B386" s="18" t="s">
        <v>471</v>
      </c>
      <c r="C386" s="18" t="s">
        <v>339</v>
      </c>
      <c r="D386" s="8" t="s">
        <v>340</v>
      </c>
      <c r="E386" s="8"/>
      <c r="F386" s="18" t="s">
        <v>224</v>
      </c>
      <c r="G386" s="59">
        <v>2.15</v>
      </c>
      <c r="H386" s="59">
        <v>0</v>
      </c>
      <c r="I386" s="59">
        <f>ROUND(G386*H386,2)</f>
        <v>0</v>
      </c>
      <c r="J386" s="59">
        <v>0</v>
      </c>
      <c r="K386" s="59">
        <v>0</v>
      </c>
      <c r="L386" s="59">
        <f>G386*K386</f>
        <v>0</v>
      </c>
      <c r="M386" s="60" t="s">
        <v>115</v>
      </c>
      <c r="Z386" s="59">
        <f>ROUND(IF(AQ386="5",BJ386,0),2)</f>
        <v>0</v>
      </c>
      <c r="AB386" s="59">
        <f>ROUND(IF(AQ386="1",BH386,0),2)</f>
        <v>0</v>
      </c>
      <c r="AC386" s="59">
        <f>ROUND(IF(AQ386="1",BI386,0),2)</f>
        <v>0</v>
      </c>
      <c r="AD386" s="59">
        <f>ROUND(IF(AQ386="7",BH386,0),2)</f>
        <v>0</v>
      </c>
      <c r="AE386" s="59">
        <f>ROUND(IF(AQ386="7",BI386,0),2)</f>
        <v>0</v>
      </c>
      <c r="AF386" s="59">
        <f>ROUND(IF(AQ386="2",BH386,0),2)</f>
        <v>0</v>
      </c>
      <c r="AG386" s="59">
        <f>ROUND(IF(AQ386="2",BI386,0),2)</f>
        <v>0</v>
      </c>
      <c r="AH386" s="59">
        <f>ROUND(IF(AQ386="0",BJ386,0),2)</f>
        <v>0</v>
      </c>
      <c r="AI386" s="46" t="s">
        <v>471</v>
      </c>
      <c r="AJ386" s="59">
        <f>IF(AN386=0,I386,0)</f>
        <v>0</v>
      </c>
      <c r="AK386" s="59">
        <f>IF(AN386=12,I386,0)</f>
        <v>0</v>
      </c>
      <c r="AL386" s="59">
        <f>IF(AN386=21,I386,0)</f>
        <v>0</v>
      </c>
      <c r="AN386" s="59">
        <v>12</v>
      </c>
      <c r="AO386" s="59">
        <f>H386*0</f>
        <v>0</v>
      </c>
      <c r="AP386" s="59">
        <f>H386*(1-0)</f>
        <v>0</v>
      </c>
      <c r="AQ386" s="61" t="s">
        <v>137</v>
      </c>
      <c r="AV386" s="59">
        <f>ROUND(AW386+AX386,2)</f>
        <v>0</v>
      </c>
      <c r="AW386" s="59">
        <f>ROUND(G386*AO386,2)</f>
        <v>0</v>
      </c>
      <c r="AX386" s="59">
        <f>ROUND(G386*AP386,2)</f>
        <v>0</v>
      </c>
      <c r="AY386" s="61" t="s">
        <v>329</v>
      </c>
      <c r="AZ386" s="61" t="s">
        <v>480</v>
      </c>
      <c r="BA386" s="46" t="s">
        <v>474</v>
      </c>
      <c r="BC386" s="59">
        <f>AW386+AX386</f>
        <v>0</v>
      </c>
      <c r="BD386" s="59">
        <f>H386/(100-BE386)*100</f>
        <v>0</v>
      </c>
      <c r="BE386" s="59">
        <v>0</v>
      </c>
      <c r="BF386" s="59">
        <f>L386</f>
        <v>0</v>
      </c>
      <c r="BH386" s="59">
        <f>G386*AO386</f>
        <v>0</v>
      </c>
      <c r="BI386" s="59">
        <f>G386*AP386</f>
        <v>0</v>
      </c>
      <c r="BJ386" s="59">
        <f>G386*H386</f>
        <v>0</v>
      </c>
      <c r="BK386" s="59"/>
      <c r="BL386" s="59"/>
      <c r="BW386" s="59">
        <v>12</v>
      </c>
      <c r="BX386" s="16" t="s">
        <v>340</v>
      </c>
    </row>
    <row r="387" spans="1:76" x14ac:dyDescent="0.25">
      <c r="A387" s="62"/>
      <c r="D387" s="63" t="s">
        <v>461</v>
      </c>
      <c r="E387" s="63"/>
      <c r="G387" s="64">
        <v>2.15</v>
      </c>
      <c r="M387" s="65"/>
    </row>
    <row r="388" spans="1:76" ht="24" customHeight="1" x14ac:dyDescent="0.25">
      <c r="A388" s="58" t="s">
        <v>615</v>
      </c>
      <c r="B388" s="18" t="s">
        <v>471</v>
      </c>
      <c r="C388" s="18" t="s">
        <v>343</v>
      </c>
      <c r="D388" s="8" t="s">
        <v>344</v>
      </c>
      <c r="E388" s="8"/>
      <c r="F388" s="18" t="s">
        <v>224</v>
      </c>
      <c r="G388" s="59">
        <v>6.93</v>
      </c>
      <c r="H388" s="59">
        <v>0</v>
      </c>
      <c r="I388" s="59">
        <f>ROUND(G388*H388,2)</f>
        <v>0</v>
      </c>
      <c r="J388" s="59">
        <v>0</v>
      </c>
      <c r="K388" s="59">
        <v>0</v>
      </c>
      <c r="L388" s="59">
        <f>G388*K388</f>
        <v>0</v>
      </c>
      <c r="M388" s="60" t="s">
        <v>115</v>
      </c>
      <c r="Z388" s="59">
        <f>ROUND(IF(AQ388="5",BJ388,0),2)</f>
        <v>0</v>
      </c>
      <c r="AB388" s="59">
        <f>ROUND(IF(AQ388="1",BH388,0),2)</f>
        <v>0</v>
      </c>
      <c r="AC388" s="59">
        <f>ROUND(IF(AQ388="1",BI388,0),2)</f>
        <v>0</v>
      </c>
      <c r="AD388" s="59">
        <f>ROUND(IF(AQ388="7",BH388,0),2)</f>
        <v>0</v>
      </c>
      <c r="AE388" s="59">
        <f>ROUND(IF(AQ388="7",BI388,0),2)</f>
        <v>0</v>
      </c>
      <c r="AF388" s="59">
        <f>ROUND(IF(AQ388="2",BH388,0),2)</f>
        <v>0</v>
      </c>
      <c r="AG388" s="59">
        <f>ROUND(IF(AQ388="2",BI388,0),2)</f>
        <v>0</v>
      </c>
      <c r="AH388" s="59">
        <f>ROUND(IF(AQ388="0",BJ388,0),2)</f>
        <v>0</v>
      </c>
      <c r="AI388" s="46" t="s">
        <v>471</v>
      </c>
      <c r="AJ388" s="59">
        <f>IF(AN388=0,I388,0)</f>
        <v>0</v>
      </c>
      <c r="AK388" s="59">
        <f>IF(AN388=12,I388,0)</f>
        <v>0</v>
      </c>
      <c r="AL388" s="59">
        <f>IF(AN388=21,I388,0)</f>
        <v>0</v>
      </c>
      <c r="AN388" s="59">
        <v>12</v>
      </c>
      <c r="AO388" s="59">
        <f>H388*0</f>
        <v>0</v>
      </c>
      <c r="AP388" s="59">
        <f>H388*(1-0)</f>
        <v>0</v>
      </c>
      <c r="AQ388" s="61" t="s">
        <v>137</v>
      </c>
      <c r="AV388" s="59">
        <f>ROUND(AW388+AX388,2)</f>
        <v>0</v>
      </c>
      <c r="AW388" s="59">
        <f>ROUND(G388*AO388,2)</f>
        <v>0</v>
      </c>
      <c r="AX388" s="59">
        <f>ROUND(G388*AP388,2)</f>
        <v>0</v>
      </c>
      <c r="AY388" s="61" t="s">
        <v>329</v>
      </c>
      <c r="AZ388" s="61" t="s">
        <v>480</v>
      </c>
      <c r="BA388" s="46" t="s">
        <v>474</v>
      </c>
      <c r="BC388" s="59">
        <f>AW388+AX388</f>
        <v>0</v>
      </c>
      <c r="BD388" s="59">
        <f>H388/(100-BE388)*100</f>
        <v>0</v>
      </c>
      <c r="BE388" s="59">
        <v>0</v>
      </c>
      <c r="BF388" s="59">
        <f>L388</f>
        <v>0</v>
      </c>
      <c r="BH388" s="59">
        <f>G388*AO388</f>
        <v>0</v>
      </c>
      <c r="BI388" s="59">
        <f>G388*AP388</f>
        <v>0</v>
      </c>
      <c r="BJ388" s="59">
        <f>G388*H388</f>
        <v>0</v>
      </c>
      <c r="BK388" s="59"/>
      <c r="BL388" s="59"/>
      <c r="BW388" s="59">
        <v>12</v>
      </c>
      <c r="BX388" s="16" t="s">
        <v>344</v>
      </c>
    </row>
    <row r="389" spans="1:76" x14ac:dyDescent="0.25">
      <c r="A389" s="62"/>
      <c r="D389" s="63" t="s">
        <v>463</v>
      </c>
      <c r="E389" s="63"/>
      <c r="G389" s="64">
        <v>6.93</v>
      </c>
      <c r="M389" s="65"/>
    </row>
    <row r="390" spans="1:76" ht="15" customHeight="1" x14ac:dyDescent="0.25">
      <c r="A390" s="58" t="s">
        <v>616</v>
      </c>
      <c r="B390" s="18" t="s">
        <v>471</v>
      </c>
      <c r="C390" s="18" t="s">
        <v>465</v>
      </c>
      <c r="D390" s="8" t="s">
        <v>466</v>
      </c>
      <c r="E390" s="8"/>
      <c r="F390" s="18" t="s">
        <v>224</v>
      </c>
      <c r="G390" s="59">
        <v>0.22</v>
      </c>
      <c r="H390" s="59">
        <v>0</v>
      </c>
      <c r="I390" s="59">
        <f>ROUND(G390*H390,2)</f>
        <v>0</v>
      </c>
      <c r="J390" s="59">
        <v>0</v>
      </c>
      <c r="K390" s="59">
        <v>0</v>
      </c>
      <c r="L390" s="59">
        <f>G390*K390</f>
        <v>0</v>
      </c>
      <c r="M390" s="60" t="s">
        <v>115</v>
      </c>
      <c r="Z390" s="59">
        <f>ROUND(IF(AQ390="5",BJ390,0),2)</f>
        <v>0</v>
      </c>
      <c r="AB390" s="59">
        <f>ROUND(IF(AQ390="1",BH390,0),2)</f>
        <v>0</v>
      </c>
      <c r="AC390" s="59">
        <f>ROUND(IF(AQ390="1",BI390,0),2)</f>
        <v>0</v>
      </c>
      <c r="AD390" s="59">
        <f>ROUND(IF(AQ390="7",BH390,0),2)</f>
        <v>0</v>
      </c>
      <c r="AE390" s="59">
        <f>ROUND(IF(AQ390="7",BI390,0),2)</f>
        <v>0</v>
      </c>
      <c r="AF390" s="59">
        <f>ROUND(IF(AQ390="2",BH390,0),2)</f>
        <v>0</v>
      </c>
      <c r="AG390" s="59">
        <f>ROUND(IF(AQ390="2",BI390,0),2)</f>
        <v>0</v>
      </c>
      <c r="AH390" s="59">
        <f>ROUND(IF(AQ390="0",BJ390,0),2)</f>
        <v>0</v>
      </c>
      <c r="AI390" s="46" t="s">
        <v>471</v>
      </c>
      <c r="AJ390" s="59">
        <f>IF(AN390=0,I390,0)</f>
        <v>0</v>
      </c>
      <c r="AK390" s="59">
        <f>IF(AN390=12,I390,0)</f>
        <v>0</v>
      </c>
      <c r="AL390" s="59">
        <f>IF(AN390=21,I390,0)</f>
        <v>0</v>
      </c>
      <c r="AN390" s="59">
        <v>12</v>
      </c>
      <c r="AO390" s="59">
        <f>H390*0</f>
        <v>0</v>
      </c>
      <c r="AP390" s="59">
        <f>H390*(1-0)</f>
        <v>0</v>
      </c>
      <c r="AQ390" s="61" t="s">
        <v>137</v>
      </c>
      <c r="AV390" s="59">
        <f>ROUND(AW390+AX390,2)</f>
        <v>0</v>
      </c>
      <c r="AW390" s="59">
        <f>ROUND(G390*AO390,2)</f>
        <v>0</v>
      </c>
      <c r="AX390" s="59">
        <f>ROUND(G390*AP390,2)</f>
        <v>0</v>
      </c>
      <c r="AY390" s="61" t="s">
        <v>329</v>
      </c>
      <c r="AZ390" s="61" t="s">
        <v>480</v>
      </c>
      <c r="BA390" s="46" t="s">
        <v>474</v>
      </c>
      <c r="BC390" s="59">
        <f>AW390+AX390</f>
        <v>0</v>
      </c>
      <c r="BD390" s="59">
        <f>H390/(100-BE390)*100</f>
        <v>0</v>
      </c>
      <c r="BE390" s="59">
        <v>0</v>
      </c>
      <c r="BF390" s="59">
        <f>L390</f>
        <v>0</v>
      </c>
      <c r="BH390" s="59">
        <f>G390*AO390</f>
        <v>0</v>
      </c>
      <c r="BI390" s="59">
        <f>G390*AP390</f>
        <v>0</v>
      </c>
      <c r="BJ390" s="59">
        <f>G390*H390</f>
        <v>0</v>
      </c>
      <c r="BK390" s="59"/>
      <c r="BL390" s="59"/>
      <c r="BW390" s="59">
        <v>12</v>
      </c>
      <c r="BX390" s="16" t="s">
        <v>466</v>
      </c>
    </row>
    <row r="391" spans="1:76" x14ac:dyDescent="0.25">
      <c r="A391" s="62"/>
      <c r="D391" s="63" t="s">
        <v>467</v>
      </c>
      <c r="E391" s="63"/>
      <c r="G391" s="64">
        <v>0.22</v>
      </c>
      <c r="M391" s="65"/>
    </row>
    <row r="392" spans="1:76" ht="15" customHeight="1" x14ac:dyDescent="0.25">
      <c r="A392" s="54"/>
      <c r="B392" s="55" t="s">
        <v>488</v>
      </c>
      <c r="C392" s="55"/>
      <c r="D392" s="104" t="s">
        <v>489</v>
      </c>
      <c r="E392" s="104"/>
      <c r="F392" s="56" t="s">
        <v>88</v>
      </c>
      <c r="G392" s="56" t="s">
        <v>88</v>
      </c>
      <c r="H392" s="56" t="s">
        <v>88</v>
      </c>
      <c r="I392" s="39">
        <f>I393+I398+I405+I412+I421+I424+I431+I440+I454+I457+I468+I475+I478+I485+I490+I493+I509+I512+I514</f>
        <v>0</v>
      </c>
      <c r="J392" s="46"/>
      <c r="K392" s="46"/>
      <c r="L392" s="39">
        <f>L393+L398+L405+L412+L421+L424+L431+L440+L454+L457+L468+L475+L478+L485+L490+L493+L509+L512+L514</f>
        <v>16.89518786</v>
      </c>
      <c r="M392" s="57"/>
    </row>
    <row r="393" spans="1:76" ht="15" customHeight="1" x14ac:dyDescent="0.25">
      <c r="A393" s="54"/>
      <c r="B393" s="55" t="s">
        <v>488</v>
      </c>
      <c r="C393" s="55" t="s">
        <v>109</v>
      </c>
      <c r="D393" s="104" t="s">
        <v>110</v>
      </c>
      <c r="E393" s="104"/>
      <c r="F393" s="56" t="s">
        <v>88</v>
      </c>
      <c r="G393" s="56" t="s">
        <v>88</v>
      </c>
      <c r="H393" s="56" t="s">
        <v>88</v>
      </c>
      <c r="I393" s="39">
        <f>SUM(I394:I396)</f>
        <v>0</v>
      </c>
      <c r="J393" s="46"/>
      <c r="K393" s="46"/>
      <c r="L393" s="39">
        <f>SUM(L394:L396)</f>
        <v>0.14842520000000001</v>
      </c>
      <c r="M393" s="57"/>
      <c r="AI393" s="46" t="s">
        <v>488</v>
      </c>
      <c r="AS393" s="39">
        <f>SUM(AJ394:AJ396)</f>
        <v>0</v>
      </c>
      <c r="AT393" s="39">
        <f>SUM(AK394:AK396)</f>
        <v>0</v>
      </c>
      <c r="AU393" s="39">
        <f>SUM(AL394:AL396)</f>
        <v>0</v>
      </c>
    </row>
    <row r="394" spans="1:76" ht="15" customHeight="1" x14ac:dyDescent="0.25">
      <c r="A394" s="58" t="s">
        <v>617</v>
      </c>
      <c r="B394" s="18" t="s">
        <v>488</v>
      </c>
      <c r="C394" s="18" t="s">
        <v>112</v>
      </c>
      <c r="D394" s="8" t="s">
        <v>113</v>
      </c>
      <c r="E394" s="8"/>
      <c r="F394" s="18" t="s">
        <v>114</v>
      </c>
      <c r="G394" s="59">
        <v>26.84</v>
      </c>
      <c r="H394" s="59">
        <v>0</v>
      </c>
      <c r="I394" s="59">
        <f>ROUND(G394*H394,2)</f>
        <v>0</v>
      </c>
      <c r="J394" s="59">
        <v>4.5900000000000003E-3</v>
      </c>
      <c r="K394" s="59">
        <v>4.5900000000000003E-3</v>
      </c>
      <c r="L394" s="59">
        <f>G394*K394</f>
        <v>0.1231956</v>
      </c>
      <c r="M394" s="60" t="s">
        <v>115</v>
      </c>
      <c r="Z394" s="59">
        <f>ROUND(IF(AQ394="5",BJ394,0),2)</f>
        <v>0</v>
      </c>
      <c r="AB394" s="59">
        <f>ROUND(IF(AQ394="1",BH394,0),2)</f>
        <v>0</v>
      </c>
      <c r="AC394" s="59">
        <f>ROUND(IF(AQ394="1",BI394,0),2)</f>
        <v>0</v>
      </c>
      <c r="AD394" s="59">
        <f>ROUND(IF(AQ394="7",BH394,0),2)</f>
        <v>0</v>
      </c>
      <c r="AE394" s="59">
        <f>ROUND(IF(AQ394="7",BI394,0),2)</f>
        <v>0</v>
      </c>
      <c r="AF394" s="59">
        <f>ROUND(IF(AQ394="2",BH394,0),2)</f>
        <v>0</v>
      </c>
      <c r="AG394" s="59">
        <f>ROUND(IF(AQ394="2",BI394,0),2)</f>
        <v>0</v>
      </c>
      <c r="AH394" s="59">
        <f>ROUND(IF(AQ394="0",BJ394,0),2)</f>
        <v>0</v>
      </c>
      <c r="AI394" s="46" t="s">
        <v>488</v>
      </c>
      <c r="AJ394" s="59">
        <f>IF(AN394=0,I394,0)</f>
        <v>0</v>
      </c>
      <c r="AK394" s="59">
        <f>IF(AN394=12,I394,0)</f>
        <v>0</v>
      </c>
      <c r="AL394" s="59">
        <f>IF(AN394=21,I394,0)</f>
        <v>0</v>
      </c>
      <c r="AN394" s="59">
        <v>12</v>
      </c>
      <c r="AO394" s="59">
        <f>H394*0.151837697</f>
        <v>0</v>
      </c>
      <c r="AP394" s="59">
        <f>H394*(1-0.151837697)</f>
        <v>0</v>
      </c>
      <c r="AQ394" s="61" t="s">
        <v>111</v>
      </c>
      <c r="AV394" s="59">
        <f>ROUND(AW394+AX394,2)</f>
        <v>0</v>
      </c>
      <c r="AW394" s="59">
        <f>ROUND(G394*AO394,2)</f>
        <v>0</v>
      </c>
      <c r="AX394" s="59">
        <f>ROUND(G394*AP394,2)</f>
        <v>0</v>
      </c>
      <c r="AY394" s="61" t="s">
        <v>116</v>
      </c>
      <c r="AZ394" s="61" t="s">
        <v>490</v>
      </c>
      <c r="BA394" s="46" t="s">
        <v>491</v>
      </c>
      <c r="BC394" s="59">
        <f>AW394+AX394</f>
        <v>0</v>
      </c>
      <c r="BD394" s="59">
        <f>H394/(100-BE394)*100</f>
        <v>0</v>
      </c>
      <c r="BE394" s="59">
        <v>0</v>
      </c>
      <c r="BF394" s="59">
        <f>L394</f>
        <v>0.1231956</v>
      </c>
      <c r="BH394" s="59">
        <f>G394*AO394</f>
        <v>0</v>
      </c>
      <c r="BI394" s="59">
        <f>G394*AP394</f>
        <v>0</v>
      </c>
      <c r="BJ394" s="59">
        <f>G394*H394</f>
        <v>0</v>
      </c>
      <c r="BK394" s="59"/>
      <c r="BL394" s="59">
        <v>60</v>
      </c>
      <c r="BW394" s="59">
        <v>12</v>
      </c>
      <c r="BX394" s="16" t="s">
        <v>113</v>
      </c>
    </row>
    <row r="395" spans="1:76" x14ac:dyDescent="0.25">
      <c r="A395" s="62"/>
      <c r="D395" s="63" t="s">
        <v>120</v>
      </c>
      <c r="E395" s="63"/>
      <c r="G395" s="64">
        <v>26.84</v>
      </c>
      <c r="M395" s="65"/>
    </row>
    <row r="396" spans="1:76" ht="15" customHeight="1" x14ac:dyDescent="0.25">
      <c r="A396" s="58" t="s">
        <v>618</v>
      </c>
      <c r="B396" s="18" t="s">
        <v>488</v>
      </c>
      <c r="C396" s="18" t="s">
        <v>122</v>
      </c>
      <c r="D396" s="8" t="s">
        <v>123</v>
      </c>
      <c r="E396" s="8"/>
      <c r="F396" s="18" t="s">
        <v>114</v>
      </c>
      <c r="G396" s="59">
        <v>53.68</v>
      </c>
      <c r="H396" s="59">
        <v>0</v>
      </c>
      <c r="I396" s="59">
        <f>ROUND(G396*H396,2)</f>
        <v>0</v>
      </c>
      <c r="J396" s="59">
        <v>4.6999999999999999E-4</v>
      </c>
      <c r="K396" s="59">
        <v>4.6999999999999999E-4</v>
      </c>
      <c r="L396" s="59">
        <f>G396*K396</f>
        <v>2.5229599999999998E-2</v>
      </c>
      <c r="M396" s="60" t="s">
        <v>115</v>
      </c>
      <c r="Z396" s="59">
        <f>ROUND(IF(AQ396="5",BJ396,0),2)</f>
        <v>0</v>
      </c>
      <c r="AB396" s="59">
        <f>ROUND(IF(AQ396="1",BH396,0),2)</f>
        <v>0</v>
      </c>
      <c r="AC396" s="59">
        <f>ROUND(IF(AQ396="1",BI396,0),2)</f>
        <v>0</v>
      </c>
      <c r="AD396" s="59">
        <f>ROUND(IF(AQ396="7",BH396,0),2)</f>
        <v>0</v>
      </c>
      <c r="AE396" s="59">
        <f>ROUND(IF(AQ396="7",BI396,0),2)</f>
        <v>0</v>
      </c>
      <c r="AF396" s="59">
        <f>ROUND(IF(AQ396="2",BH396,0),2)</f>
        <v>0</v>
      </c>
      <c r="AG396" s="59">
        <f>ROUND(IF(AQ396="2",BI396,0),2)</f>
        <v>0</v>
      </c>
      <c r="AH396" s="59">
        <f>ROUND(IF(AQ396="0",BJ396,0),2)</f>
        <v>0</v>
      </c>
      <c r="AI396" s="46" t="s">
        <v>488</v>
      </c>
      <c r="AJ396" s="59">
        <f>IF(AN396=0,I396,0)</f>
        <v>0</v>
      </c>
      <c r="AK396" s="59">
        <f>IF(AN396=12,I396,0)</f>
        <v>0</v>
      </c>
      <c r="AL396" s="59">
        <f>IF(AN396=21,I396,0)</f>
        <v>0</v>
      </c>
      <c r="AN396" s="59">
        <v>12</v>
      </c>
      <c r="AO396" s="59">
        <f>H396*0.50964582</f>
        <v>0</v>
      </c>
      <c r="AP396" s="59">
        <f>H396*(1-0.50964582)</f>
        <v>0</v>
      </c>
      <c r="AQ396" s="61" t="s">
        <v>111</v>
      </c>
      <c r="AV396" s="59">
        <f>ROUND(AW396+AX396,2)</f>
        <v>0</v>
      </c>
      <c r="AW396" s="59">
        <f>ROUND(G396*AO396,2)</f>
        <v>0</v>
      </c>
      <c r="AX396" s="59">
        <f>ROUND(G396*AP396,2)</f>
        <v>0</v>
      </c>
      <c r="AY396" s="61" t="s">
        <v>116</v>
      </c>
      <c r="AZ396" s="61" t="s">
        <v>490</v>
      </c>
      <c r="BA396" s="46" t="s">
        <v>491</v>
      </c>
      <c r="BC396" s="59">
        <f>AW396+AX396</f>
        <v>0</v>
      </c>
      <c r="BD396" s="59">
        <f>H396/(100-BE396)*100</f>
        <v>0</v>
      </c>
      <c r="BE396" s="59">
        <v>0</v>
      </c>
      <c r="BF396" s="59">
        <f>L396</f>
        <v>2.5229599999999998E-2</v>
      </c>
      <c r="BH396" s="59">
        <f>G396*AO396</f>
        <v>0</v>
      </c>
      <c r="BI396" s="59">
        <f>G396*AP396</f>
        <v>0</v>
      </c>
      <c r="BJ396" s="59">
        <f>G396*H396</f>
        <v>0</v>
      </c>
      <c r="BK396" s="59"/>
      <c r="BL396" s="59">
        <v>60</v>
      </c>
      <c r="BW396" s="59">
        <v>12</v>
      </c>
      <c r="BX396" s="16" t="s">
        <v>123</v>
      </c>
    </row>
    <row r="397" spans="1:76" x14ac:dyDescent="0.25">
      <c r="A397" s="62"/>
      <c r="D397" s="63" t="s">
        <v>124</v>
      </c>
      <c r="E397" s="63"/>
      <c r="G397" s="64">
        <v>53.68</v>
      </c>
      <c r="M397" s="65"/>
    </row>
    <row r="398" spans="1:76" ht="15" customHeight="1" x14ac:dyDescent="0.25">
      <c r="A398" s="54"/>
      <c r="B398" s="55" t="s">
        <v>488</v>
      </c>
      <c r="C398" s="55" t="s">
        <v>125</v>
      </c>
      <c r="D398" s="104" t="s">
        <v>126</v>
      </c>
      <c r="E398" s="104"/>
      <c r="F398" s="56" t="s">
        <v>88</v>
      </c>
      <c r="G398" s="56" t="s">
        <v>88</v>
      </c>
      <c r="H398" s="56" t="s">
        <v>88</v>
      </c>
      <c r="I398" s="39">
        <f>SUM(I399:I403)</f>
        <v>0</v>
      </c>
      <c r="J398" s="46"/>
      <c r="K398" s="46"/>
      <c r="L398" s="39">
        <f>SUM(L399:L403)</f>
        <v>0.98595199999999994</v>
      </c>
      <c r="M398" s="57"/>
      <c r="AI398" s="46" t="s">
        <v>488</v>
      </c>
      <c r="AS398" s="39">
        <f>SUM(AJ399:AJ403)</f>
        <v>0</v>
      </c>
      <c r="AT398" s="39">
        <f>SUM(AK399:AK403)</f>
        <v>0</v>
      </c>
      <c r="AU398" s="39">
        <f>SUM(AL399:AL403)</f>
        <v>0</v>
      </c>
    </row>
    <row r="399" spans="1:76" ht="15" customHeight="1" x14ac:dyDescent="0.25">
      <c r="A399" s="58" t="s">
        <v>619</v>
      </c>
      <c r="B399" s="18" t="s">
        <v>488</v>
      </c>
      <c r="C399" s="18" t="s">
        <v>128</v>
      </c>
      <c r="D399" s="8" t="s">
        <v>129</v>
      </c>
      <c r="E399" s="8"/>
      <c r="F399" s="18" t="s">
        <v>114</v>
      </c>
      <c r="G399" s="59">
        <v>27.2</v>
      </c>
      <c r="H399" s="59">
        <v>0</v>
      </c>
      <c r="I399" s="59">
        <f>ROUND(G399*H399,2)</f>
        <v>0</v>
      </c>
      <c r="J399" s="59">
        <v>3.5659999999999997E-2</v>
      </c>
      <c r="K399" s="59">
        <v>3.5659999999999997E-2</v>
      </c>
      <c r="L399" s="59">
        <f>G399*K399</f>
        <v>0.96995199999999993</v>
      </c>
      <c r="M399" s="60" t="s">
        <v>115</v>
      </c>
      <c r="Z399" s="59">
        <f>ROUND(IF(AQ399="5",BJ399,0),2)</f>
        <v>0</v>
      </c>
      <c r="AB399" s="59">
        <f>ROUND(IF(AQ399="1",BH399,0),2)</f>
        <v>0</v>
      </c>
      <c r="AC399" s="59">
        <f>ROUND(IF(AQ399="1",BI399,0),2)</f>
        <v>0</v>
      </c>
      <c r="AD399" s="59">
        <f>ROUND(IF(AQ399="7",BH399,0),2)</f>
        <v>0</v>
      </c>
      <c r="AE399" s="59">
        <f>ROUND(IF(AQ399="7",BI399,0),2)</f>
        <v>0</v>
      </c>
      <c r="AF399" s="59">
        <f>ROUND(IF(AQ399="2",BH399,0),2)</f>
        <v>0</v>
      </c>
      <c r="AG399" s="59">
        <f>ROUND(IF(AQ399="2",BI399,0),2)</f>
        <v>0</v>
      </c>
      <c r="AH399" s="59">
        <f>ROUND(IF(AQ399="0",BJ399,0),2)</f>
        <v>0</v>
      </c>
      <c r="AI399" s="46" t="s">
        <v>488</v>
      </c>
      <c r="AJ399" s="59">
        <f>IF(AN399=0,I399,0)</f>
        <v>0</v>
      </c>
      <c r="AK399" s="59">
        <f>IF(AN399=12,I399,0)</f>
        <v>0</v>
      </c>
      <c r="AL399" s="59">
        <f>IF(AN399=21,I399,0)</f>
        <v>0</v>
      </c>
      <c r="AN399" s="59">
        <v>12</v>
      </c>
      <c r="AO399" s="59">
        <f>H399*0.283684274</f>
        <v>0</v>
      </c>
      <c r="AP399" s="59">
        <f>H399*(1-0.283684274)</f>
        <v>0</v>
      </c>
      <c r="AQ399" s="61" t="s">
        <v>111</v>
      </c>
      <c r="AV399" s="59">
        <f>ROUND(AW399+AX399,2)</f>
        <v>0</v>
      </c>
      <c r="AW399" s="59">
        <f>ROUND(G399*AO399,2)</f>
        <v>0</v>
      </c>
      <c r="AX399" s="59">
        <f>ROUND(G399*AP399,2)</f>
        <v>0</v>
      </c>
      <c r="AY399" s="61" t="s">
        <v>130</v>
      </c>
      <c r="AZ399" s="61" t="s">
        <v>490</v>
      </c>
      <c r="BA399" s="46" t="s">
        <v>491</v>
      </c>
      <c r="BC399" s="59">
        <f>AW399+AX399</f>
        <v>0</v>
      </c>
      <c r="BD399" s="59">
        <f>H399/(100-BE399)*100</f>
        <v>0</v>
      </c>
      <c r="BE399" s="59">
        <v>0</v>
      </c>
      <c r="BF399" s="59">
        <f>L399</f>
        <v>0.96995199999999993</v>
      </c>
      <c r="BH399" s="59">
        <f>G399*AO399</f>
        <v>0</v>
      </c>
      <c r="BI399" s="59">
        <f>G399*AP399</f>
        <v>0</v>
      </c>
      <c r="BJ399" s="59">
        <f>G399*H399</f>
        <v>0</v>
      </c>
      <c r="BK399" s="59"/>
      <c r="BL399" s="59">
        <v>61</v>
      </c>
      <c r="BW399" s="59">
        <v>12</v>
      </c>
      <c r="BX399" s="16" t="s">
        <v>129</v>
      </c>
    </row>
    <row r="400" spans="1:76" x14ac:dyDescent="0.25">
      <c r="A400" s="62"/>
      <c r="D400" s="63" t="s">
        <v>492</v>
      </c>
      <c r="E400" s="63"/>
      <c r="G400" s="64">
        <v>27.2</v>
      </c>
      <c r="M400" s="65"/>
    </row>
    <row r="401" spans="1:76" ht="15" customHeight="1" x14ac:dyDescent="0.25">
      <c r="A401" s="58" t="s">
        <v>620</v>
      </c>
      <c r="B401" s="18" t="s">
        <v>488</v>
      </c>
      <c r="C401" s="18" t="s">
        <v>134</v>
      </c>
      <c r="D401" s="8" t="s">
        <v>135</v>
      </c>
      <c r="E401" s="8"/>
      <c r="F401" s="18" t="s">
        <v>114</v>
      </c>
      <c r="G401" s="59">
        <v>60</v>
      </c>
      <c r="H401" s="59">
        <v>0</v>
      </c>
      <c r="I401" s="59">
        <f>ROUND(G401*H401,2)</f>
        <v>0</v>
      </c>
      <c r="J401" s="59">
        <v>4.0000000000000003E-5</v>
      </c>
      <c r="K401" s="59">
        <v>4.0000000000000003E-5</v>
      </c>
      <c r="L401" s="59">
        <f>G401*K401</f>
        <v>2.4000000000000002E-3</v>
      </c>
      <c r="M401" s="60" t="s">
        <v>115</v>
      </c>
      <c r="Z401" s="59">
        <f>ROUND(IF(AQ401="5",BJ401,0),2)</f>
        <v>0</v>
      </c>
      <c r="AB401" s="59">
        <f>ROUND(IF(AQ401="1",BH401,0),2)</f>
        <v>0</v>
      </c>
      <c r="AC401" s="59">
        <f>ROUND(IF(AQ401="1",BI401,0),2)</f>
        <v>0</v>
      </c>
      <c r="AD401" s="59">
        <f>ROUND(IF(AQ401="7",BH401,0),2)</f>
        <v>0</v>
      </c>
      <c r="AE401" s="59">
        <f>ROUND(IF(AQ401="7",BI401,0),2)</f>
        <v>0</v>
      </c>
      <c r="AF401" s="59">
        <f>ROUND(IF(AQ401="2",BH401,0),2)</f>
        <v>0</v>
      </c>
      <c r="AG401" s="59">
        <f>ROUND(IF(AQ401="2",BI401,0),2)</f>
        <v>0</v>
      </c>
      <c r="AH401" s="59">
        <f>ROUND(IF(AQ401="0",BJ401,0),2)</f>
        <v>0</v>
      </c>
      <c r="AI401" s="46" t="s">
        <v>488</v>
      </c>
      <c r="AJ401" s="59">
        <f>IF(AN401=0,I401,0)</f>
        <v>0</v>
      </c>
      <c r="AK401" s="59">
        <f>IF(AN401=12,I401,0)</f>
        <v>0</v>
      </c>
      <c r="AL401" s="59">
        <f>IF(AN401=21,I401,0)</f>
        <v>0</v>
      </c>
      <c r="AN401" s="59">
        <v>12</v>
      </c>
      <c r="AO401" s="59">
        <f>H401*0.267962042</f>
        <v>0</v>
      </c>
      <c r="AP401" s="59">
        <f>H401*(1-0.267962042)</f>
        <v>0</v>
      </c>
      <c r="AQ401" s="61" t="s">
        <v>111</v>
      </c>
      <c r="AV401" s="59">
        <f>ROUND(AW401+AX401,2)</f>
        <v>0</v>
      </c>
      <c r="AW401" s="59">
        <f>ROUND(G401*AO401,2)</f>
        <v>0</v>
      </c>
      <c r="AX401" s="59">
        <f>ROUND(G401*AP401,2)</f>
        <v>0</v>
      </c>
      <c r="AY401" s="61" t="s">
        <v>130</v>
      </c>
      <c r="AZ401" s="61" t="s">
        <v>490</v>
      </c>
      <c r="BA401" s="46" t="s">
        <v>491</v>
      </c>
      <c r="BC401" s="59">
        <f>AW401+AX401</f>
        <v>0</v>
      </c>
      <c r="BD401" s="59">
        <f>H401/(100-BE401)*100</f>
        <v>0</v>
      </c>
      <c r="BE401" s="59">
        <v>0</v>
      </c>
      <c r="BF401" s="59">
        <f>L401</f>
        <v>2.4000000000000002E-3</v>
      </c>
      <c r="BH401" s="59">
        <f>G401*AO401</f>
        <v>0</v>
      </c>
      <c r="BI401" s="59">
        <f>G401*AP401</f>
        <v>0</v>
      </c>
      <c r="BJ401" s="59">
        <f>G401*H401</f>
        <v>0</v>
      </c>
      <c r="BK401" s="59"/>
      <c r="BL401" s="59">
        <v>61</v>
      </c>
      <c r="BW401" s="59">
        <v>12</v>
      </c>
      <c r="BX401" s="16" t="s">
        <v>135</v>
      </c>
    </row>
    <row r="402" spans="1:76" x14ac:dyDescent="0.25">
      <c r="A402" s="62"/>
      <c r="D402" s="63" t="s">
        <v>493</v>
      </c>
      <c r="E402" s="63"/>
      <c r="G402" s="64">
        <v>60</v>
      </c>
      <c r="M402" s="65"/>
    </row>
    <row r="403" spans="1:76" ht="15" customHeight="1" x14ac:dyDescent="0.25">
      <c r="A403" s="58" t="s">
        <v>621</v>
      </c>
      <c r="B403" s="18" t="s">
        <v>488</v>
      </c>
      <c r="C403" s="18" t="s">
        <v>138</v>
      </c>
      <c r="D403" s="8" t="s">
        <v>139</v>
      </c>
      <c r="E403" s="8"/>
      <c r="F403" s="18" t="s">
        <v>140</v>
      </c>
      <c r="G403" s="59">
        <v>136</v>
      </c>
      <c r="H403" s="59">
        <v>0</v>
      </c>
      <c r="I403" s="59">
        <f>ROUND(G403*H403,2)</f>
        <v>0</v>
      </c>
      <c r="J403" s="59">
        <v>1E-4</v>
      </c>
      <c r="K403" s="59">
        <v>1E-4</v>
      </c>
      <c r="L403" s="59">
        <f>G403*K403</f>
        <v>1.3600000000000001E-2</v>
      </c>
      <c r="M403" s="60" t="s">
        <v>115</v>
      </c>
      <c r="Z403" s="59">
        <f>ROUND(IF(AQ403="5",BJ403,0),2)</f>
        <v>0</v>
      </c>
      <c r="AB403" s="59">
        <f>ROUND(IF(AQ403="1",BH403,0),2)</f>
        <v>0</v>
      </c>
      <c r="AC403" s="59">
        <f>ROUND(IF(AQ403="1",BI403,0),2)</f>
        <v>0</v>
      </c>
      <c r="AD403" s="59">
        <f>ROUND(IF(AQ403="7",BH403,0),2)</f>
        <v>0</v>
      </c>
      <c r="AE403" s="59">
        <f>ROUND(IF(AQ403="7",BI403,0),2)</f>
        <v>0</v>
      </c>
      <c r="AF403" s="59">
        <f>ROUND(IF(AQ403="2",BH403,0),2)</f>
        <v>0</v>
      </c>
      <c r="AG403" s="59">
        <f>ROUND(IF(AQ403="2",BI403,0),2)</f>
        <v>0</v>
      </c>
      <c r="AH403" s="59">
        <f>ROUND(IF(AQ403="0",BJ403,0),2)</f>
        <v>0</v>
      </c>
      <c r="AI403" s="46" t="s">
        <v>488</v>
      </c>
      <c r="AJ403" s="59">
        <f>IF(AN403=0,I403,0)</f>
        <v>0</v>
      </c>
      <c r="AK403" s="59">
        <f>IF(AN403=12,I403,0)</f>
        <v>0</v>
      </c>
      <c r="AL403" s="59">
        <f>IF(AN403=21,I403,0)</f>
        <v>0</v>
      </c>
      <c r="AN403" s="59">
        <v>12</v>
      </c>
      <c r="AO403" s="59">
        <f>H403*0.367459878</f>
        <v>0</v>
      </c>
      <c r="AP403" s="59">
        <f>H403*(1-0.367459878)</f>
        <v>0</v>
      </c>
      <c r="AQ403" s="61" t="s">
        <v>111</v>
      </c>
      <c r="AV403" s="59">
        <f>ROUND(AW403+AX403,2)</f>
        <v>0</v>
      </c>
      <c r="AW403" s="59">
        <f>ROUND(G403*AO403,2)</f>
        <v>0</v>
      </c>
      <c r="AX403" s="59">
        <f>ROUND(G403*AP403,2)</f>
        <v>0</v>
      </c>
      <c r="AY403" s="61" t="s">
        <v>130</v>
      </c>
      <c r="AZ403" s="61" t="s">
        <v>490</v>
      </c>
      <c r="BA403" s="46" t="s">
        <v>491</v>
      </c>
      <c r="BC403" s="59">
        <f>AW403+AX403</f>
        <v>0</v>
      </c>
      <c r="BD403" s="59">
        <f>H403/(100-BE403)*100</f>
        <v>0</v>
      </c>
      <c r="BE403" s="59">
        <v>0</v>
      </c>
      <c r="BF403" s="59">
        <f>L403</f>
        <v>1.3600000000000001E-2</v>
      </c>
      <c r="BH403" s="59">
        <f>G403*AO403</f>
        <v>0</v>
      </c>
      <c r="BI403" s="59">
        <f>G403*AP403</f>
        <v>0</v>
      </c>
      <c r="BJ403" s="59">
        <f>G403*H403</f>
        <v>0</v>
      </c>
      <c r="BK403" s="59"/>
      <c r="BL403" s="59">
        <v>61</v>
      </c>
      <c r="BW403" s="59">
        <v>12</v>
      </c>
      <c r="BX403" s="16" t="s">
        <v>139</v>
      </c>
    </row>
    <row r="404" spans="1:76" x14ac:dyDescent="0.25">
      <c r="A404" s="62"/>
      <c r="D404" s="63" t="s">
        <v>494</v>
      </c>
      <c r="E404" s="63"/>
      <c r="G404" s="64">
        <v>136</v>
      </c>
      <c r="M404" s="65"/>
    </row>
    <row r="405" spans="1:76" ht="15" customHeight="1" x14ac:dyDescent="0.25">
      <c r="A405" s="54"/>
      <c r="B405" s="55" t="s">
        <v>488</v>
      </c>
      <c r="C405" s="55" t="s">
        <v>143</v>
      </c>
      <c r="D405" s="104" t="s">
        <v>144</v>
      </c>
      <c r="E405" s="104"/>
      <c r="F405" s="56" t="s">
        <v>88</v>
      </c>
      <c r="G405" s="56" t="s">
        <v>88</v>
      </c>
      <c r="H405" s="56" t="s">
        <v>88</v>
      </c>
      <c r="I405" s="39">
        <f>SUM(I406:I410)</f>
        <v>0</v>
      </c>
      <c r="J405" s="46"/>
      <c r="K405" s="46"/>
      <c r="L405" s="39">
        <f>SUM(L406:L410)</f>
        <v>0.38913170000000002</v>
      </c>
      <c r="M405" s="57"/>
      <c r="AI405" s="46" t="s">
        <v>488</v>
      </c>
      <c r="AS405" s="39">
        <f>SUM(AJ406:AJ410)</f>
        <v>0</v>
      </c>
      <c r="AT405" s="39">
        <f>SUM(AK406:AK410)</f>
        <v>0</v>
      </c>
      <c r="AU405" s="39">
        <f>SUM(AL406:AL410)</f>
        <v>0</v>
      </c>
    </row>
    <row r="406" spans="1:76" ht="15" customHeight="1" x14ac:dyDescent="0.25">
      <c r="A406" s="58" t="s">
        <v>622</v>
      </c>
      <c r="B406" s="18" t="s">
        <v>488</v>
      </c>
      <c r="C406" s="18" t="s">
        <v>146</v>
      </c>
      <c r="D406" s="8" t="s">
        <v>147</v>
      </c>
      <c r="E406" s="8"/>
      <c r="F406" s="18" t="s">
        <v>114</v>
      </c>
      <c r="G406" s="59">
        <v>26.835000000000001</v>
      </c>
      <c r="H406" s="59">
        <v>0</v>
      </c>
      <c r="I406" s="59">
        <f>ROUND(G406*H406,2)</f>
        <v>0</v>
      </c>
      <c r="J406" s="59">
        <v>9.6600000000000002E-3</v>
      </c>
      <c r="K406" s="59">
        <v>9.6600000000000002E-3</v>
      </c>
      <c r="L406" s="59">
        <f>G406*K406</f>
        <v>0.25922610000000001</v>
      </c>
      <c r="M406" s="60" t="s">
        <v>115</v>
      </c>
      <c r="Z406" s="59">
        <f>ROUND(IF(AQ406="5",BJ406,0),2)</f>
        <v>0</v>
      </c>
      <c r="AB406" s="59">
        <f>ROUND(IF(AQ406="1",BH406,0),2)</f>
        <v>0</v>
      </c>
      <c r="AC406" s="59">
        <f>ROUND(IF(AQ406="1",BI406,0),2)</f>
        <v>0</v>
      </c>
      <c r="AD406" s="59">
        <f>ROUND(IF(AQ406="7",BH406,0),2)</f>
        <v>0</v>
      </c>
      <c r="AE406" s="59">
        <f>ROUND(IF(AQ406="7",BI406,0),2)</f>
        <v>0</v>
      </c>
      <c r="AF406" s="59">
        <f>ROUND(IF(AQ406="2",BH406,0),2)</f>
        <v>0</v>
      </c>
      <c r="AG406" s="59">
        <f>ROUND(IF(AQ406="2",BI406,0),2)</f>
        <v>0</v>
      </c>
      <c r="AH406" s="59">
        <f>ROUND(IF(AQ406="0",BJ406,0),2)</f>
        <v>0</v>
      </c>
      <c r="AI406" s="46" t="s">
        <v>488</v>
      </c>
      <c r="AJ406" s="59">
        <f>IF(AN406=0,I406,0)</f>
        <v>0</v>
      </c>
      <c r="AK406" s="59">
        <f>IF(AN406=12,I406,0)</f>
        <v>0</v>
      </c>
      <c r="AL406" s="59">
        <f>IF(AN406=21,I406,0)</f>
        <v>0</v>
      </c>
      <c r="AN406" s="59">
        <v>12</v>
      </c>
      <c r="AO406" s="59">
        <f>H406*0.218564986</f>
        <v>0</v>
      </c>
      <c r="AP406" s="59">
        <f>H406*(1-0.218564986)</f>
        <v>0</v>
      </c>
      <c r="AQ406" s="61" t="s">
        <v>111</v>
      </c>
      <c r="AV406" s="59">
        <f>ROUND(AW406+AX406,2)</f>
        <v>0</v>
      </c>
      <c r="AW406" s="59">
        <f>ROUND(G406*AO406,2)</f>
        <v>0</v>
      </c>
      <c r="AX406" s="59">
        <f>ROUND(G406*AP406,2)</f>
        <v>0</v>
      </c>
      <c r="AY406" s="61" t="s">
        <v>148</v>
      </c>
      <c r="AZ406" s="61" t="s">
        <v>490</v>
      </c>
      <c r="BA406" s="46" t="s">
        <v>491</v>
      </c>
      <c r="BC406" s="59">
        <f>AW406+AX406</f>
        <v>0</v>
      </c>
      <c r="BD406" s="59">
        <f>H406/(100-BE406)*100</f>
        <v>0</v>
      </c>
      <c r="BE406" s="59">
        <v>0</v>
      </c>
      <c r="BF406" s="59">
        <f>L406</f>
        <v>0.25922610000000001</v>
      </c>
      <c r="BH406" s="59">
        <f>G406*AO406</f>
        <v>0</v>
      </c>
      <c r="BI406" s="59">
        <f>G406*AP406</f>
        <v>0</v>
      </c>
      <c r="BJ406" s="59">
        <f>G406*H406</f>
        <v>0</v>
      </c>
      <c r="BK406" s="59"/>
      <c r="BL406" s="59">
        <v>62</v>
      </c>
      <c r="BW406" s="59">
        <v>12</v>
      </c>
      <c r="BX406" s="16" t="s">
        <v>147</v>
      </c>
    </row>
    <row r="407" spans="1:76" x14ac:dyDescent="0.25">
      <c r="A407" s="62"/>
      <c r="D407" s="63" t="s">
        <v>149</v>
      </c>
      <c r="E407" s="63"/>
      <c r="G407" s="64">
        <v>26.835000000000001</v>
      </c>
      <c r="M407" s="65"/>
    </row>
    <row r="408" spans="1:76" ht="15" customHeight="1" x14ac:dyDescent="0.25">
      <c r="A408" s="58" t="s">
        <v>623</v>
      </c>
      <c r="B408" s="18" t="s">
        <v>488</v>
      </c>
      <c r="C408" s="18" t="s">
        <v>151</v>
      </c>
      <c r="D408" s="8" t="s">
        <v>152</v>
      </c>
      <c r="E408" s="8"/>
      <c r="F408" s="18" t="s">
        <v>114</v>
      </c>
      <c r="G408" s="59">
        <v>26.84</v>
      </c>
      <c r="H408" s="59">
        <v>0</v>
      </c>
      <c r="I408" s="59">
        <f>ROUND(G408*H408,2)</f>
        <v>0</v>
      </c>
      <c r="J408" s="59">
        <v>4.3099999999999996E-3</v>
      </c>
      <c r="K408" s="59">
        <v>4.3099999999999996E-3</v>
      </c>
      <c r="L408" s="59">
        <f>G408*K408</f>
        <v>0.11568039999999999</v>
      </c>
      <c r="M408" s="60" t="s">
        <v>115</v>
      </c>
      <c r="Z408" s="59">
        <f>ROUND(IF(AQ408="5",BJ408,0),2)</f>
        <v>0</v>
      </c>
      <c r="AB408" s="59">
        <f>ROUND(IF(AQ408="1",BH408,0),2)</f>
        <v>0</v>
      </c>
      <c r="AC408" s="59">
        <f>ROUND(IF(AQ408="1",BI408,0),2)</f>
        <v>0</v>
      </c>
      <c r="AD408" s="59">
        <f>ROUND(IF(AQ408="7",BH408,0),2)</f>
        <v>0</v>
      </c>
      <c r="AE408" s="59">
        <f>ROUND(IF(AQ408="7",BI408,0),2)</f>
        <v>0</v>
      </c>
      <c r="AF408" s="59">
        <f>ROUND(IF(AQ408="2",BH408,0),2)</f>
        <v>0</v>
      </c>
      <c r="AG408" s="59">
        <f>ROUND(IF(AQ408="2",BI408,0),2)</f>
        <v>0</v>
      </c>
      <c r="AH408" s="59">
        <f>ROUND(IF(AQ408="0",BJ408,0),2)</f>
        <v>0</v>
      </c>
      <c r="AI408" s="46" t="s">
        <v>488</v>
      </c>
      <c r="AJ408" s="59">
        <f>IF(AN408=0,I408,0)</f>
        <v>0</v>
      </c>
      <c r="AK408" s="59">
        <f>IF(AN408=12,I408,0)</f>
        <v>0</v>
      </c>
      <c r="AL408" s="59">
        <f>IF(AN408=21,I408,0)</f>
        <v>0</v>
      </c>
      <c r="AN408" s="59">
        <v>12</v>
      </c>
      <c r="AO408" s="59">
        <f>H408*0.224526803</f>
        <v>0</v>
      </c>
      <c r="AP408" s="59">
        <f>H408*(1-0.224526803)</f>
        <v>0</v>
      </c>
      <c r="AQ408" s="61" t="s">
        <v>111</v>
      </c>
      <c r="AV408" s="59">
        <f>ROUND(AW408+AX408,2)</f>
        <v>0</v>
      </c>
      <c r="AW408" s="59">
        <f>ROUND(G408*AO408,2)</f>
        <v>0</v>
      </c>
      <c r="AX408" s="59">
        <f>ROUND(G408*AP408,2)</f>
        <v>0</v>
      </c>
      <c r="AY408" s="61" t="s">
        <v>148</v>
      </c>
      <c r="AZ408" s="61" t="s">
        <v>490</v>
      </c>
      <c r="BA408" s="46" t="s">
        <v>491</v>
      </c>
      <c r="BC408" s="59">
        <f>AW408+AX408</f>
        <v>0</v>
      </c>
      <c r="BD408" s="59">
        <f>H408/(100-BE408)*100</f>
        <v>0</v>
      </c>
      <c r="BE408" s="59">
        <v>0</v>
      </c>
      <c r="BF408" s="59">
        <f>L408</f>
        <v>0.11568039999999999</v>
      </c>
      <c r="BH408" s="59">
        <f>G408*AO408</f>
        <v>0</v>
      </c>
      <c r="BI408" s="59">
        <f>G408*AP408</f>
        <v>0</v>
      </c>
      <c r="BJ408" s="59">
        <f>G408*H408</f>
        <v>0</v>
      </c>
      <c r="BK408" s="59"/>
      <c r="BL408" s="59">
        <v>62</v>
      </c>
      <c r="BW408" s="59">
        <v>12</v>
      </c>
      <c r="BX408" s="16" t="s">
        <v>152</v>
      </c>
    </row>
    <row r="409" spans="1:76" x14ac:dyDescent="0.25">
      <c r="A409" s="62"/>
      <c r="D409" s="63" t="s">
        <v>120</v>
      </c>
      <c r="E409" s="63"/>
      <c r="G409" s="64">
        <v>26.84</v>
      </c>
      <c r="M409" s="65"/>
    </row>
    <row r="410" spans="1:76" ht="15" customHeight="1" x14ac:dyDescent="0.25">
      <c r="A410" s="58" t="s">
        <v>624</v>
      </c>
      <c r="B410" s="18" t="s">
        <v>488</v>
      </c>
      <c r="C410" s="18" t="s">
        <v>155</v>
      </c>
      <c r="D410" s="8" t="s">
        <v>156</v>
      </c>
      <c r="E410" s="8"/>
      <c r="F410" s="18" t="s">
        <v>114</v>
      </c>
      <c r="G410" s="59">
        <v>26.84</v>
      </c>
      <c r="H410" s="59">
        <v>0</v>
      </c>
      <c r="I410" s="59">
        <f>ROUND(G410*H410,2)</f>
        <v>0</v>
      </c>
      <c r="J410" s="59">
        <v>5.2999999999999998E-4</v>
      </c>
      <c r="K410" s="59">
        <v>5.2999999999999998E-4</v>
      </c>
      <c r="L410" s="59">
        <f>G410*K410</f>
        <v>1.4225199999999999E-2</v>
      </c>
      <c r="M410" s="60" t="s">
        <v>115</v>
      </c>
      <c r="Z410" s="59">
        <f>ROUND(IF(AQ410="5",BJ410,0),2)</f>
        <v>0</v>
      </c>
      <c r="AB410" s="59">
        <f>ROUND(IF(AQ410="1",BH410,0),2)</f>
        <v>0</v>
      </c>
      <c r="AC410" s="59">
        <f>ROUND(IF(AQ410="1",BI410,0),2)</f>
        <v>0</v>
      </c>
      <c r="AD410" s="59">
        <f>ROUND(IF(AQ410="7",BH410,0),2)</f>
        <v>0</v>
      </c>
      <c r="AE410" s="59">
        <f>ROUND(IF(AQ410="7",BI410,0),2)</f>
        <v>0</v>
      </c>
      <c r="AF410" s="59">
        <f>ROUND(IF(AQ410="2",BH410,0),2)</f>
        <v>0</v>
      </c>
      <c r="AG410" s="59">
        <f>ROUND(IF(AQ410="2",BI410,0),2)</f>
        <v>0</v>
      </c>
      <c r="AH410" s="59">
        <f>ROUND(IF(AQ410="0",BJ410,0),2)</f>
        <v>0</v>
      </c>
      <c r="AI410" s="46" t="s">
        <v>488</v>
      </c>
      <c r="AJ410" s="59">
        <f>IF(AN410=0,I410,0)</f>
        <v>0</v>
      </c>
      <c r="AK410" s="59">
        <f>IF(AN410=12,I410,0)</f>
        <v>0</v>
      </c>
      <c r="AL410" s="59">
        <f>IF(AN410=21,I410,0)</f>
        <v>0</v>
      </c>
      <c r="AN410" s="59">
        <v>12</v>
      </c>
      <c r="AO410" s="59">
        <f>H410*0.475328947</f>
        <v>0</v>
      </c>
      <c r="AP410" s="59">
        <f>H410*(1-0.475328947)</f>
        <v>0</v>
      </c>
      <c r="AQ410" s="61" t="s">
        <v>111</v>
      </c>
      <c r="AV410" s="59">
        <f>ROUND(AW410+AX410,2)</f>
        <v>0</v>
      </c>
      <c r="AW410" s="59">
        <f>ROUND(G410*AO410,2)</f>
        <v>0</v>
      </c>
      <c r="AX410" s="59">
        <f>ROUND(G410*AP410,2)</f>
        <v>0</v>
      </c>
      <c r="AY410" s="61" t="s">
        <v>148</v>
      </c>
      <c r="AZ410" s="61" t="s">
        <v>490</v>
      </c>
      <c r="BA410" s="46" t="s">
        <v>491</v>
      </c>
      <c r="BC410" s="59">
        <f>AW410+AX410</f>
        <v>0</v>
      </c>
      <c r="BD410" s="59">
        <f>H410/(100-BE410)*100</f>
        <v>0</v>
      </c>
      <c r="BE410" s="59">
        <v>0</v>
      </c>
      <c r="BF410" s="59">
        <f>L410</f>
        <v>1.4225199999999999E-2</v>
      </c>
      <c r="BH410" s="59">
        <f>G410*AO410</f>
        <v>0</v>
      </c>
      <c r="BI410" s="59">
        <f>G410*AP410</f>
        <v>0</v>
      </c>
      <c r="BJ410" s="59">
        <f>G410*H410</f>
        <v>0</v>
      </c>
      <c r="BK410" s="59"/>
      <c r="BL410" s="59">
        <v>62</v>
      </c>
      <c r="BW410" s="59">
        <v>12</v>
      </c>
      <c r="BX410" s="16" t="s">
        <v>156</v>
      </c>
    </row>
    <row r="411" spans="1:76" x14ac:dyDescent="0.25">
      <c r="A411" s="62"/>
      <c r="D411" s="63" t="s">
        <v>120</v>
      </c>
      <c r="E411" s="63"/>
      <c r="G411" s="64">
        <v>26.84</v>
      </c>
      <c r="M411" s="65"/>
    </row>
    <row r="412" spans="1:76" ht="15" customHeight="1" x14ac:dyDescent="0.25">
      <c r="A412" s="54"/>
      <c r="B412" s="55" t="s">
        <v>488</v>
      </c>
      <c r="C412" s="55" t="s">
        <v>356</v>
      </c>
      <c r="D412" s="104" t="s">
        <v>357</v>
      </c>
      <c r="E412" s="104"/>
      <c r="F412" s="56" t="s">
        <v>88</v>
      </c>
      <c r="G412" s="56" t="s">
        <v>88</v>
      </c>
      <c r="H412" s="56" t="s">
        <v>88</v>
      </c>
      <c r="I412" s="39">
        <f>SUM(I413:I419)</f>
        <v>0</v>
      </c>
      <c r="J412" s="46"/>
      <c r="K412" s="46"/>
      <c r="L412" s="39">
        <f>SUM(L413:L419)</f>
        <v>2.5745817999999998</v>
      </c>
      <c r="M412" s="57"/>
      <c r="AI412" s="46" t="s">
        <v>488</v>
      </c>
      <c r="AS412" s="39">
        <f>SUM(AJ413:AJ419)</f>
        <v>0</v>
      </c>
      <c r="AT412" s="39">
        <f>SUM(AK413:AK419)</f>
        <v>0</v>
      </c>
      <c r="AU412" s="39">
        <f>SUM(AL413:AL419)</f>
        <v>0</v>
      </c>
    </row>
    <row r="413" spans="1:76" ht="15" customHeight="1" x14ac:dyDescent="0.25">
      <c r="A413" s="58" t="s">
        <v>625</v>
      </c>
      <c r="B413" s="18" t="s">
        <v>488</v>
      </c>
      <c r="C413" s="18" t="s">
        <v>358</v>
      </c>
      <c r="D413" s="8" t="s">
        <v>359</v>
      </c>
      <c r="E413" s="8"/>
      <c r="F413" s="18" t="s">
        <v>360</v>
      </c>
      <c r="G413" s="59">
        <v>1.115</v>
      </c>
      <c r="H413" s="59">
        <v>0</v>
      </c>
      <c r="I413" s="59">
        <f>ROUND(G413*H413,2)</f>
        <v>0</v>
      </c>
      <c r="J413" s="59">
        <v>1.919</v>
      </c>
      <c r="K413" s="59">
        <v>1.919</v>
      </c>
      <c r="L413" s="59">
        <f>G413*K413</f>
        <v>2.1396850000000001</v>
      </c>
      <c r="M413" s="60" t="s">
        <v>115</v>
      </c>
      <c r="Z413" s="59">
        <f>ROUND(IF(AQ413="5",BJ413,0),2)</f>
        <v>0</v>
      </c>
      <c r="AB413" s="59">
        <f>ROUND(IF(AQ413="1",BH413,0),2)</f>
        <v>0</v>
      </c>
      <c r="AC413" s="59">
        <f>ROUND(IF(AQ413="1",BI413,0),2)</f>
        <v>0</v>
      </c>
      <c r="AD413" s="59">
        <f>ROUND(IF(AQ413="7",BH413,0),2)</f>
        <v>0</v>
      </c>
      <c r="AE413" s="59">
        <f>ROUND(IF(AQ413="7",BI413,0),2)</f>
        <v>0</v>
      </c>
      <c r="AF413" s="59">
        <f>ROUND(IF(AQ413="2",BH413,0),2)</f>
        <v>0</v>
      </c>
      <c r="AG413" s="59">
        <f>ROUND(IF(AQ413="2",BI413,0),2)</f>
        <v>0</v>
      </c>
      <c r="AH413" s="59">
        <f>ROUND(IF(AQ413="0",BJ413,0),2)</f>
        <v>0</v>
      </c>
      <c r="AI413" s="46" t="s">
        <v>488</v>
      </c>
      <c r="AJ413" s="59">
        <f>IF(AN413=0,I413,0)</f>
        <v>0</v>
      </c>
      <c r="AK413" s="59">
        <f>IF(AN413=12,I413,0)</f>
        <v>0</v>
      </c>
      <c r="AL413" s="59">
        <f>IF(AN413=21,I413,0)</f>
        <v>0</v>
      </c>
      <c r="AN413" s="59">
        <v>12</v>
      </c>
      <c r="AO413" s="59">
        <f>H413*0.822201844</f>
        <v>0</v>
      </c>
      <c r="AP413" s="59">
        <f>H413*(1-0.822201844)</f>
        <v>0</v>
      </c>
      <c r="AQ413" s="61" t="s">
        <v>111</v>
      </c>
      <c r="AV413" s="59">
        <f>ROUND(AW413+AX413,2)</f>
        <v>0</v>
      </c>
      <c r="AW413" s="59">
        <f>ROUND(G413*AO413,2)</f>
        <v>0</v>
      </c>
      <c r="AX413" s="59">
        <f>ROUND(G413*AP413,2)</f>
        <v>0</v>
      </c>
      <c r="AY413" s="61" t="s">
        <v>361</v>
      </c>
      <c r="AZ413" s="61" t="s">
        <v>490</v>
      </c>
      <c r="BA413" s="46" t="s">
        <v>491</v>
      </c>
      <c r="BC413" s="59">
        <f>AW413+AX413</f>
        <v>0</v>
      </c>
      <c r="BD413" s="59">
        <f>H413/(100-BE413)*100</f>
        <v>0</v>
      </c>
      <c r="BE413" s="59">
        <v>0</v>
      </c>
      <c r="BF413" s="59">
        <f>L413</f>
        <v>2.1396850000000001</v>
      </c>
      <c r="BH413" s="59">
        <f>G413*AO413</f>
        <v>0</v>
      </c>
      <c r="BI413" s="59">
        <f>G413*AP413</f>
        <v>0</v>
      </c>
      <c r="BJ413" s="59">
        <f>G413*H413</f>
        <v>0</v>
      </c>
      <c r="BK413" s="59"/>
      <c r="BL413" s="59">
        <v>63</v>
      </c>
      <c r="BW413" s="59">
        <v>12</v>
      </c>
      <c r="BX413" s="16" t="s">
        <v>359</v>
      </c>
    </row>
    <row r="414" spans="1:76" x14ac:dyDescent="0.25">
      <c r="A414" s="62"/>
      <c r="D414" s="63" t="s">
        <v>362</v>
      </c>
      <c r="E414" s="63"/>
      <c r="G414" s="64">
        <v>1.115</v>
      </c>
      <c r="M414" s="65"/>
    </row>
    <row r="415" spans="1:76" ht="15" customHeight="1" x14ac:dyDescent="0.25">
      <c r="A415" s="58" t="s">
        <v>626</v>
      </c>
      <c r="B415" s="18" t="s">
        <v>488</v>
      </c>
      <c r="C415" s="18" t="s">
        <v>363</v>
      </c>
      <c r="D415" s="8" t="s">
        <v>364</v>
      </c>
      <c r="E415" s="8"/>
      <c r="F415" s="18" t="s">
        <v>114</v>
      </c>
      <c r="G415" s="59">
        <v>22.3</v>
      </c>
      <c r="H415" s="59">
        <v>0</v>
      </c>
      <c r="I415" s="59">
        <f>ROUND(G415*H415,2)</f>
        <v>0</v>
      </c>
      <c r="J415" s="59">
        <v>1.5959999999999998E-2</v>
      </c>
      <c r="K415" s="59">
        <v>1.5959999999999998E-2</v>
      </c>
      <c r="L415" s="59">
        <f>G415*K415</f>
        <v>0.355908</v>
      </c>
      <c r="M415" s="60" t="s">
        <v>115</v>
      </c>
      <c r="Z415" s="59">
        <f>ROUND(IF(AQ415="5",BJ415,0),2)</f>
        <v>0</v>
      </c>
      <c r="AB415" s="59">
        <f>ROUND(IF(AQ415="1",BH415,0),2)</f>
        <v>0</v>
      </c>
      <c r="AC415" s="59">
        <f>ROUND(IF(AQ415="1",BI415,0),2)</f>
        <v>0</v>
      </c>
      <c r="AD415" s="59">
        <f>ROUND(IF(AQ415="7",BH415,0),2)</f>
        <v>0</v>
      </c>
      <c r="AE415" s="59">
        <f>ROUND(IF(AQ415="7",BI415,0),2)</f>
        <v>0</v>
      </c>
      <c r="AF415" s="59">
        <f>ROUND(IF(AQ415="2",BH415,0),2)</f>
        <v>0</v>
      </c>
      <c r="AG415" s="59">
        <f>ROUND(IF(AQ415="2",BI415,0),2)</f>
        <v>0</v>
      </c>
      <c r="AH415" s="59">
        <f>ROUND(IF(AQ415="0",BJ415,0),2)</f>
        <v>0</v>
      </c>
      <c r="AI415" s="46" t="s">
        <v>488</v>
      </c>
      <c r="AJ415" s="59">
        <f>IF(AN415=0,I415,0)</f>
        <v>0</v>
      </c>
      <c r="AK415" s="59">
        <f>IF(AN415=12,I415,0)</f>
        <v>0</v>
      </c>
      <c r="AL415" s="59">
        <f>IF(AN415=21,I415,0)</f>
        <v>0</v>
      </c>
      <c r="AN415" s="59">
        <v>12</v>
      </c>
      <c r="AO415" s="59">
        <f>H415*0.665801611</f>
        <v>0</v>
      </c>
      <c r="AP415" s="59">
        <f>H415*(1-0.665801611)</f>
        <v>0</v>
      </c>
      <c r="AQ415" s="61" t="s">
        <v>111</v>
      </c>
      <c r="AV415" s="59">
        <f>ROUND(AW415+AX415,2)</f>
        <v>0</v>
      </c>
      <c r="AW415" s="59">
        <f>ROUND(G415*AO415,2)</f>
        <v>0</v>
      </c>
      <c r="AX415" s="59">
        <f>ROUND(G415*AP415,2)</f>
        <v>0</v>
      </c>
      <c r="AY415" s="61" t="s">
        <v>361</v>
      </c>
      <c r="AZ415" s="61" t="s">
        <v>490</v>
      </c>
      <c r="BA415" s="46" t="s">
        <v>491</v>
      </c>
      <c r="BC415" s="59">
        <f>AW415+AX415</f>
        <v>0</v>
      </c>
      <c r="BD415" s="59">
        <f>H415/(100-BE415)*100</f>
        <v>0</v>
      </c>
      <c r="BE415" s="59">
        <v>0</v>
      </c>
      <c r="BF415" s="59">
        <f>L415</f>
        <v>0.355908</v>
      </c>
      <c r="BH415" s="59">
        <f>G415*AO415</f>
        <v>0</v>
      </c>
      <c r="BI415" s="59">
        <f>G415*AP415</f>
        <v>0</v>
      </c>
      <c r="BJ415" s="59">
        <f>G415*H415</f>
        <v>0</v>
      </c>
      <c r="BK415" s="59"/>
      <c r="BL415" s="59">
        <v>63</v>
      </c>
      <c r="BW415" s="59">
        <v>12</v>
      </c>
      <c r="BX415" s="16" t="s">
        <v>364</v>
      </c>
    </row>
    <row r="416" spans="1:76" x14ac:dyDescent="0.25">
      <c r="A416" s="62"/>
      <c r="D416" s="63" t="s">
        <v>365</v>
      </c>
      <c r="E416" s="63"/>
      <c r="G416" s="64">
        <v>22.3</v>
      </c>
      <c r="M416" s="65"/>
    </row>
    <row r="417" spans="1:76" ht="15" customHeight="1" x14ac:dyDescent="0.25">
      <c r="A417" s="58" t="s">
        <v>627</v>
      </c>
      <c r="B417" s="18" t="s">
        <v>488</v>
      </c>
      <c r="C417" s="18" t="s">
        <v>366</v>
      </c>
      <c r="D417" s="8" t="s">
        <v>367</v>
      </c>
      <c r="E417" s="8"/>
      <c r="F417" s="18" t="s">
        <v>114</v>
      </c>
      <c r="G417" s="59">
        <v>5.61</v>
      </c>
      <c r="H417" s="59">
        <v>0</v>
      </c>
      <c r="I417" s="59">
        <f>ROUND(G417*H417,2)</f>
        <v>0</v>
      </c>
      <c r="J417" s="59">
        <v>1.4080000000000001E-2</v>
      </c>
      <c r="K417" s="59">
        <v>1.4080000000000001E-2</v>
      </c>
      <c r="L417" s="59">
        <f>G417*K417</f>
        <v>7.8988800000000012E-2</v>
      </c>
      <c r="M417" s="60" t="s">
        <v>115</v>
      </c>
      <c r="Z417" s="59">
        <f>ROUND(IF(AQ417="5",BJ417,0),2)</f>
        <v>0</v>
      </c>
      <c r="AB417" s="59">
        <f>ROUND(IF(AQ417="1",BH417,0),2)</f>
        <v>0</v>
      </c>
      <c r="AC417" s="59">
        <f>ROUND(IF(AQ417="1",BI417,0),2)</f>
        <v>0</v>
      </c>
      <c r="AD417" s="59">
        <f>ROUND(IF(AQ417="7",BH417,0),2)</f>
        <v>0</v>
      </c>
      <c r="AE417" s="59">
        <f>ROUND(IF(AQ417="7",BI417,0),2)</f>
        <v>0</v>
      </c>
      <c r="AF417" s="59">
        <f>ROUND(IF(AQ417="2",BH417,0),2)</f>
        <v>0</v>
      </c>
      <c r="AG417" s="59">
        <f>ROUND(IF(AQ417="2",BI417,0),2)</f>
        <v>0</v>
      </c>
      <c r="AH417" s="59">
        <f>ROUND(IF(AQ417="0",BJ417,0),2)</f>
        <v>0</v>
      </c>
      <c r="AI417" s="46" t="s">
        <v>488</v>
      </c>
      <c r="AJ417" s="59">
        <f>IF(AN417=0,I417,0)</f>
        <v>0</v>
      </c>
      <c r="AK417" s="59">
        <f>IF(AN417=12,I417,0)</f>
        <v>0</v>
      </c>
      <c r="AL417" s="59">
        <f>IF(AN417=21,I417,0)</f>
        <v>0</v>
      </c>
      <c r="AN417" s="59">
        <v>12</v>
      </c>
      <c r="AO417" s="59">
        <f>H417*0.434931647</f>
        <v>0</v>
      </c>
      <c r="AP417" s="59">
        <f>H417*(1-0.434931647)</f>
        <v>0</v>
      </c>
      <c r="AQ417" s="61" t="s">
        <v>111</v>
      </c>
      <c r="AV417" s="59">
        <f>ROUND(AW417+AX417,2)</f>
        <v>0</v>
      </c>
      <c r="AW417" s="59">
        <f>ROUND(G417*AO417,2)</f>
        <v>0</v>
      </c>
      <c r="AX417" s="59">
        <f>ROUND(G417*AP417,2)</f>
        <v>0</v>
      </c>
      <c r="AY417" s="61" t="s">
        <v>361</v>
      </c>
      <c r="AZ417" s="61" t="s">
        <v>490</v>
      </c>
      <c r="BA417" s="46" t="s">
        <v>491</v>
      </c>
      <c r="BC417" s="59">
        <f>AW417+AX417</f>
        <v>0</v>
      </c>
      <c r="BD417" s="59">
        <f>H417/(100-BE417)*100</f>
        <v>0</v>
      </c>
      <c r="BE417" s="59">
        <v>0</v>
      </c>
      <c r="BF417" s="59">
        <f>L417</f>
        <v>7.8988800000000012E-2</v>
      </c>
      <c r="BH417" s="59">
        <f>G417*AO417</f>
        <v>0</v>
      </c>
      <c r="BI417" s="59">
        <f>G417*AP417</f>
        <v>0</v>
      </c>
      <c r="BJ417" s="59">
        <f>G417*H417</f>
        <v>0</v>
      </c>
      <c r="BK417" s="59"/>
      <c r="BL417" s="59">
        <v>63</v>
      </c>
      <c r="BW417" s="59">
        <v>12</v>
      </c>
      <c r="BX417" s="16" t="s">
        <v>367</v>
      </c>
    </row>
    <row r="418" spans="1:76" x14ac:dyDescent="0.25">
      <c r="A418" s="62"/>
      <c r="D418" s="63" t="s">
        <v>368</v>
      </c>
      <c r="E418" s="63"/>
      <c r="G418" s="64">
        <v>5.61</v>
      </c>
      <c r="M418" s="65"/>
    </row>
    <row r="419" spans="1:76" ht="15" customHeight="1" x14ac:dyDescent="0.25">
      <c r="A419" s="58" t="s">
        <v>628</v>
      </c>
      <c r="B419" s="18" t="s">
        <v>488</v>
      </c>
      <c r="C419" s="18" t="s">
        <v>369</v>
      </c>
      <c r="D419" s="8" t="s">
        <v>370</v>
      </c>
      <c r="E419" s="8"/>
      <c r="F419" s="18" t="s">
        <v>114</v>
      </c>
      <c r="G419" s="59">
        <v>5.61</v>
      </c>
      <c r="H419" s="59">
        <v>0</v>
      </c>
      <c r="I419" s="59">
        <f>ROUND(G419*H419,2)</f>
        <v>0</v>
      </c>
      <c r="J419" s="59">
        <v>0</v>
      </c>
      <c r="K419" s="59">
        <v>0</v>
      </c>
      <c r="L419" s="59">
        <f>G419*K419</f>
        <v>0</v>
      </c>
      <c r="M419" s="60" t="s">
        <v>115</v>
      </c>
      <c r="Z419" s="59">
        <f>ROUND(IF(AQ419="5",BJ419,0),2)</f>
        <v>0</v>
      </c>
      <c r="AB419" s="59">
        <f>ROUND(IF(AQ419="1",BH419,0),2)</f>
        <v>0</v>
      </c>
      <c r="AC419" s="59">
        <f>ROUND(IF(AQ419="1",BI419,0),2)</f>
        <v>0</v>
      </c>
      <c r="AD419" s="59">
        <f>ROUND(IF(AQ419="7",BH419,0),2)</f>
        <v>0</v>
      </c>
      <c r="AE419" s="59">
        <f>ROUND(IF(AQ419="7",BI419,0),2)</f>
        <v>0</v>
      </c>
      <c r="AF419" s="59">
        <f>ROUND(IF(AQ419="2",BH419,0),2)</f>
        <v>0</v>
      </c>
      <c r="AG419" s="59">
        <f>ROUND(IF(AQ419="2",BI419,0),2)</f>
        <v>0</v>
      </c>
      <c r="AH419" s="59">
        <f>ROUND(IF(AQ419="0",BJ419,0),2)</f>
        <v>0</v>
      </c>
      <c r="AI419" s="46" t="s">
        <v>488</v>
      </c>
      <c r="AJ419" s="59">
        <f>IF(AN419=0,I419,0)</f>
        <v>0</v>
      </c>
      <c r="AK419" s="59">
        <f>IF(AN419=12,I419,0)</f>
        <v>0</v>
      </c>
      <c r="AL419" s="59">
        <f>IF(AN419=21,I419,0)</f>
        <v>0</v>
      </c>
      <c r="AN419" s="59">
        <v>12</v>
      </c>
      <c r="AO419" s="59">
        <f>H419*0</f>
        <v>0</v>
      </c>
      <c r="AP419" s="59">
        <f>H419*(1-0)</f>
        <v>0</v>
      </c>
      <c r="AQ419" s="61" t="s">
        <v>111</v>
      </c>
      <c r="AV419" s="59">
        <f>ROUND(AW419+AX419,2)</f>
        <v>0</v>
      </c>
      <c r="AW419" s="59">
        <f>ROUND(G419*AO419,2)</f>
        <v>0</v>
      </c>
      <c r="AX419" s="59">
        <f>ROUND(G419*AP419,2)</f>
        <v>0</v>
      </c>
      <c r="AY419" s="61" t="s">
        <v>361</v>
      </c>
      <c r="AZ419" s="61" t="s">
        <v>490</v>
      </c>
      <c r="BA419" s="46" t="s">
        <v>491</v>
      </c>
      <c r="BC419" s="59">
        <f>AW419+AX419</f>
        <v>0</v>
      </c>
      <c r="BD419" s="59">
        <f>H419/(100-BE419)*100</f>
        <v>0</v>
      </c>
      <c r="BE419" s="59">
        <v>0</v>
      </c>
      <c r="BF419" s="59">
        <f>L419</f>
        <v>0</v>
      </c>
      <c r="BH419" s="59">
        <f>G419*AO419</f>
        <v>0</v>
      </c>
      <c r="BI419" s="59">
        <f>G419*AP419</f>
        <v>0</v>
      </c>
      <c r="BJ419" s="59">
        <f>G419*H419</f>
        <v>0</v>
      </c>
      <c r="BK419" s="59"/>
      <c r="BL419" s="59">
        <v>63</v>
      </c>
      <c r="BW419" s="59">
        <v>12</v>
      </c>
      <c r="BX419" s="16" t="s">
        <v>370</v>
      </c>
    </row>
    <row r="420" spans="1:76" x14ac:dyDescent="0.25">
      <c r="A420" s="62"/>
      <c r="D420" s="63" t="s">
        <v>371</v>
      </c>
      <c r="E420" s="63"/>
      <c r="G420" s="64">
        <v>5.61</v>
      </c>
      <c r="M420" s="65"/>
    </row>
    <row r="421" spans="1:76" ht="15" customHeight="1" x14ac:dyDescent="0.25">
      <c r="A421" s="54"/>
      <c r="B421" s="55" t="s">
        <v>488</v>
      </c>
      <c r="C421" s="55" t="s">
        <v>157</v>
      </c>
      <c r="D421" s="104" t="s">
        <v>158</v>
      </c>
      <c r="E421" s="104"/>
      <c r="F421" s="56" t="s">
        <v>88</v>
      </c>
      <c r="G421" s="56" t="s">
        <v>88</v>
      </c>
      <c r="H421" s="56" t="s">
        <v>88</v>
      </c>
      <c r="I421" s="39">
        <f>SUM(I422)</f>
        <v>0</v>
      </c>
      <c r="J421" s="46"/>
      <c r="K421" s="46"/>
      <c r="L421" s="39">
        <f>SUM(L422)</f>
        <v>0.15338399999999999</v>
      </c>
      <c r="M421" s="57"/>
      <c r="AI421" s="46" t="s">
        <v>488</v>
      </c>
      <c r="AS421" s="39">
        <f>SUM(AJ422)</f>
        <v>0</v>
      </c>
      <c r="AT421" s="39">
        <f>SUM(AK422)</f>
        <v>0</v>
      </c>
      <c r="AU421" s="39">
        <f>SUM(AL422)</f>
        <v>0</v>
      </c>
    </row>
    <row r="422" spans="1:76" ht="15" customHeight="1" x14ac:dyDescent="0.25">
      <c r="A422" s="58" t="s">
        <v>629</v>
      </c>
      <c r="B422" s="18" t="s">
        <v>488</v>
      </c>
      <c r="C422" s="18" t="s">
        <v>160</v>
      </c>
      <c r="D422" s="8" t="s">
        <v>161</v>
      </c>
      <c r="E422" s="8"/>
      <c r="F422" s="18" t="s">
        <v>140</v>
      </c>
      <c r="G422" s="59">
        <v>24.9</v>
      </c>
      <c r="H422" s="59">
        <v>0</v>
      </c>
      <c r="I422" s="59">
        <f>ROUND(G422*H422,2)</f>
        <v>0</v>
      </c>
      <c r="J422" s="59">
        <v>6.1599999999999997E-3</v>
      </c>
      <c r="K422" s="59">
        <v>6.1599999999999997E-3</v>
      </c>
      <c r="L422" s="59">
        <f>G422*K422</f>
        <v>0.15338399999999999</v>
      </c>
      <c r="M422" s="60" t="s">
        <v>115</v>
      </c>
      <c r="Z422" s="59">
        <f>ROUND(IF(AQ422="5",BJ422,0),2)</f>
        <v>0</v>
      </c>
      <c r="AB422" s="59">
        <f>ROUND(IF(AQ422="1",BH422,0),2)</f>
        <v>0</v>
      </c>
      <c r="AC422" s="59">
        <f>ROUND(IF(AQ422="1",BI422,0),2)</f>
        <v>0</v>
      </c>
      <c r="AD422" s="59">
        <f>ROUND(IF(AQ422="7",BH422,0),2)</f>
        <v>0</v>
      </c>
      <c r="AE422" s="59">
        <f>ROUND(IF(AQ422="7",BI422,0),2)</f>
        <v>0</v>
      </c>
      <c r="AF422" s="59">
        <f>ROUND(IF(AQ422="2",BH422,0),2)</f>
        <v>0</v>
      </c>
      <c r="AG422" s="59">
        <f>ROUND(IF(AQ422="2",BI422,0),2)</f>
        <v>0</v>
      </c>
      <c r="AH422" s="59">
        <f>ROUND(IF(AQ422="0",BJ422,0),2)</f>
        <v>0</v>
      </c>
      <c r="AI422" s="46" t="s">
        <v>488</v>
      </c>
      <c r="AJ422" s="59">
        <f>IF(AN422=0,I422,0)</f>
        <v>0</v>
      </c>
      <c r="AK422" s="59">
        <f>IF(AN422=12,I422,0)</f>
        <v>0</v>
      </c>
      <c r="AL422" s="59">
        <f>IF(AN422=21,I422,0)</f>
        <v>0</v>
      </c>
      <c r="AN422" s="59">
        <v>12</v>
      </c>
      <c r="AO422" s="59">
        <f>H422*0.526177858</f>
        <v>0</v>
      </c>
      <c r="AP422" s="59">
        <f>H422*(1-0.526177858)</f>
        <v>0</v>
      </c>
      <c r="AQ422" s="61" t="s">
        <v>111</v>
      </c>
      <c r="AV422" s="59">
        <f>ROUND(AW422+AX422,2)</f>
        <v>0</v>
      </c>
      <c r="AW422" s="59">
        <f>ROUND(G422*AO422,2)</f>
        <v>0</v>
      </c>
      <c r="AX422" s="59">
        <f>ROUND(G422*AP422,2)</f>
        <v>0</v>
      </c>
      <c r="AY422" s="61" t="s">
        <v>162</v>
      </c>
      <c r="AZ422" s="61" t="s">
        <v>490</v>
      </c>
      <c r="BA422" s="46" t="s">
        <v>491</v>
      </c>
      <c r="BC422" s="59">
        <f>AW422+AX422</f>
        <v>0</v>
      </c>
      <c r="BD422" s="59">
        <f>H422/(100-BE422)*100</f>
        <v>0</v>
      </c>
      <c r="BE422" s="59">
        <v>0</v>
      </c>
      <c r="BF422" s="59">
        <f>L422</f>
        <v>0.15338399999999999</v>
      </c>
      <c r="BH422" s="59">
        <f>G422*AO422</f>
        <v>0</v>
      </c>
      <c r="BI422" s="59">
        <f>G422*AP422</f>
        <v>0</v>
      </c>
      <c r="BJ422" s="59">
        <f>G422*H422</f>
        <v>0</v>
      </c>
      <c r="BK422" s="59"/>
      <c r="BL422" s="59">
        <v>64</v>
      </c>
      <c r="BW422" s="59">
        <v>12</v>
      </c>
      <c r="BX422" s="16" t="s">
        <v>161</v>
      </c>
    </row>
    <row r="423" spans="1:76" x14ac:dyDescent="0.25">
      <c r="A423" s="62"/>
      <c r="D423" s="63" t="s">
        <v>372</v>
      </c>
      <c r="E423" s="63"/>
      <c r="G423" s="64">
        <v>24.9</v>
      </c>
      <c r="M423" s="65"/>
    </row>
    <row r="424" spans="1:76" ht="15" customHeight="1" x14ac:dyDescent="0.25">
      <c r="A424" s="54"/>
      <c r="B424" s="55" t="s">
        <v>488</v>
      </c>
      <c r="C424" s="55" t="s">
        <v>373</v>
      </c>
      <c r="D424" s="104" t="s">
        <v>374</v>
      </c>
      <c r="E424" s="104"/>
      <c r="F424" s="56" t="s">
        <v>88</v>
      </c>
      <c r="G424" s="56" t="s">
        <v>88</v>
      </c>
      <c r="H424" s="56" t="s">
        <v>88</v>
      </c>
      <c r="I424" s="39">
        <f>SUM(I425:I429)</f>
        <v>0</v>
      </c>
      <c r="J424" s="46"/>
      <c r="K424" s="46"/>
      <c r="L424" s="39">
        <f>SUM(L425:L429)</f>
        <v>0.31602040000000003</v>
      </c>
      <c r="M424" s="57"/>
      <c r="AI424" s="46" t="s">
        <v>488</v>
      </c>
      <c r="AS424" s="39">
        <f>SUM(AJ425:AJ429)</f>
        <v>0</v>
      </c>
      <c r="AT424" s="39">
        <f>SUM(AK425:AK429)</f>
        <v>0</v>
      </c>
      <c r="AU424" s="39">
        <f>SUM(AL425:AL429)</f>
        <v>0</v>
      </c>
    </row>
    <row r="425" spans="1:76" ht="15" customHeight="1" x14ac:dyDescent="0.25">
      <c r="A425" s="58" t="s">
        <v>630</v>
      </c>
      <c r="B425" s="18" t="s">
        <v>488</v>
      </c>
      <c r="C425" s="18" t="s">
        <v>375</v>
      </c>
      <c r="D425" s="8" t="s">
        <v>376</v>
      </c>
      <c r="E425" s="8"/>
      <c r="F425" s="18" t="s">
        <v>114</v>
      </c>
      <c r="G425" s="59">
        <v>22.3</v>
      </c>
      <c r="H425" s="59">
        <v>0</v>
      </c>
      <c r="I425" s="59">
        <f>ROUND(G425*H425,2)</f>
        <v>0</v>
      </c>
      <c r="J425" s="59">
        <v>0</v>
      </c>
      <c r="K425" s="59">
        <v>9.7400000000000004E-3</v>
      </c>
      <c r="L425" s="59">
        <f>G425*K425</f>
        <v>0.21720200000000001</v>
      </c>
      <c r="M425" s="60" t="s">
        <v>115</v>
      </c>
      <c r="Z425" s="59">
        <f>ROUND(IF(AQ425="5",BJ425,0),2)</f>
        <v>0</v>
      </c>
      <c r="AB425" s="59">
        <f>ROUND(IF(AQ425="1",BH425,0),2)</f>
        <v>0</v>
      </c>
      <c r="AC425" s="59">
        <f>ROUND(IF(AQ425="1",BI425,0),2)</f>
        <v>0</v>
      </c>
      <c r="AD425" s="59">
        <f>ROUND(IF(AQ425="7",BH425,0),2)</f>
        <v>0</v>
      </c>
      <c r="AE425" s="59">
        <f>ROUND(IF(AQ425="7",BI425,0),2)</f>
        <v>0</v>
      </c>
      <c r="AF425" s="59">
        <f>ROUND(IF(AQ425="2",BH425,0),2)</f>
        <v>0</v>
      </c>
      <c r="AG425" s="59">
        <f>ROUND(IF(AQ425="2",BI425,0),2)</f>
        <v>0</v>
      </c>
      <c r="AH425" s="59">
        <f>ROUND(IF(AQ425="0",BJ425,0),2)</f>
        <v>0</v>
      </c>
      <c r="AI425" s="46" t="s">
        <v>488</v>
      </c>
      <c r="AJ425" s="59">
        <f>IF(AN425=0,I425,0)</f>
        <v>0</v>
      </c>
      <c r="AK425" s="59">
        <f>IF(AN425=12,I425,0)</f>
        <v>0</v>
      </c>
      <c r="AL425" s="59">
        <f>IF(AN425=21,I425,0)</f>
        <v>0</v>
      </c>
      <c r="AN425" s="59">
        <v>12</v>
      </c>
      <c r="AO425" s="59">
        <f>H425*0</f>
        <v>0</v>
      </c>
      <c r="AP425" s="59">
        <f>H425*(1-0)</f>
        <v>0</v>
      </c>
      <c r="AQ425" s="61" t="s">
        <v>150</v>
      </c>
      <c r="AV425" s="59">
        <f>ROUND(AW425+AX425,2)</f>
        <v>0</v>
      </c>
      <c r="AW425" s="59">
        <f>ROUND(G425*AO425,2)</f>
        <v>0</v>
      </c>
      <c r="AX425" s="59">
        <f>ROUND(G425*AP425,2)</f>
        <v>0</v>
      </c>
      <c r="AY425" s="61" t="s">
        <v>377</v>
      </c>
      <c r="AZ425" s="61" t="s">
        <v>495</v>
      </c>
      <c r="BA425" s="46" t="s">
        <v>491</v>
      </c>
      <c r="BC425" s="59">
        <f>AW425+AX425</f>
        <v>0</v>
      </c>
      <c r="BD425" s="59">
        <f>H425/(100-BE425)*100</f>
        <v>0</v>
      </c>
      <c r="BE425" s="59">
        <v>0</v>
      </c>
      <c r="BF425" s="59">
        <f>L425</f>
        <v>0.21720200000000001</v>
      </c>
      <c r="BH425" s="59">
        <f>G425*AO425</f>
        <v>0</v>
      </c>
      <c r="BI425" s="59">
        <f>G425*AP425</f>
        <v>0</v>
      </c>
      <c r="BJ425" s="59">
        <f>G425*H425</f>
        <v>0</v>
      </c>
      <c r="BK425" s="59"/>
      <c r="BL425" s="59">
        <v>711</v>
      </c>
      <c r="BW425" s="59">
        <v>12</v>
      </c>
      <c r="BX425" s="16" t="s">
        <v>376</v>
      </c>
    </row>
    <row r="426" spans="1:76" x14ac:dyDescent="0.25">
      <c r="A426" s="62"/>
      <c r="D426" s="63" t="s">
        <v>379</v>
      </c>
      <c r="E426" s="63"/>
      <c r="G426" s="64">
        <v>22.3</v>
      </c>
      <c r="M426" s="65"/>
    </row>
    <row r="427" spans="1:76" ht="15" customHeight="1" x14ac:dyDescent="0.25">
      <c r="A427" s="58" t="s">
        <v>631</v>
      </c>
      <c r="B427" s="18" t="s">
        <v>488</v>
      </c>
      <c r="C427" s="18" t="s">
        <v>380</v>
      </c>
      <c r="D427" s="8" t="s">
        <v>381</v>
      </c>
      <c r="E427" s="8"/>
      <c r="F427" s="18" t="s">
        <v>114</v>
      </c>
      <c r="G427" s="59">
        <v>24.37</v>
      </c>
      <c r="H427" s="59">
        <v>0</v>
      </c>
      <c r="I427" s="59">
        <f>ROUND(G427*H427,2)</f>
        <v>0</v>
      </c>
      <c r="J427" s="59">
        <v>3.47E-3</v>
      </c>
      <c r="K427" s="59">
        <v>3.47E-3</v>
      </c>
      <c r="L427" s="59">
        <f>G427*K427</f>
        <v>8.4563899999999997E-2</v>
      </c>
      <c r="M427" s="60" t="s">
        <v>115</v>
      </c>
      <c r="Z427" s="59">
        <f>ROUND(IF(AQ427="5",BJ427,0),2)</f>
        <v>0</v>
      </c>
      <c r="AB427" s="59">
        <f>ROUND(IF(AQ427="1",BH427,0),2)</f>
        <v>0</v>
      </c>
      <c r="AC427" s="59">
        <f>ROUND(IF(AQ427="1",BI427,0),2)</f>
        <v>0</v>
      </c>
      <c r="AD427" s="59">
        <f>ROUND(IF(AQ427="7",BH427,0),2)</f>
        <v>0</v>
      </c>
      <c r="AE427" s="59">
        <f>ROUND(IF(AQ427="7",BI427,0),2)</f>
        <v>0</v>
      </c>
      <c r="AF427" s="59">
        <f>ROUND(IF(AQ427="2",BH427,0),2)</f>
        <v>0</v>
      </c>
      <c r="AG427" s="59">
        <f>ROUND(IF(AQ427="2",BI427,0),2)</f>
        <v>0</v>
      </c>
      <c r="AH427" s="59">
        <f>ROUND(IF(AQ427="0",BJ427,0),2)</f>
        <v>0</v>
      </c>
      <c r="AI427" s="46" t="s">
        <v>488</v>
      </c>
      <c r="AJ427" s="59">
        <f>IF(AN427=0,I427,0)</f>
        <v>0</v>
      </c>
      <c r="AK427" s="59">
        <f>IF(AN427=12,I427,0)</f>
        <v>0</v>
      </c>
      <c r="AL427" s="59">
        <f>IF(AN427=21,I427,0)</f>
        <v>0</v>
      </c>
      <c r="AN427" s="59">
        <v>12</v>
      </c>
      <c r="AO427" s="59">
        <f>H427*0.729088049</f>
        <v>0</v>
      </c>
      <c r="AP427" s="59">
        <f>H427*(1-0.729088049)</f>
        <v>0</v>
      </c>
      <c r="AQ427" s="61" t="s">
        <v>150</v>
      </c>
      <c r="AV427" s="59">
        <f>ROUND(AW427+AX427,2)</f>
        <v>0</v>
      </c>
      <c r="AW427" s="59">
        <f>ROUND(G427*AO427,2)</f>
        <v>0</v>
      </c>
      <c r="AX427" s="59">
        <f>ROUND(G427*AP427,2)</f>
        <v>0</v>
      </c>
      <c r="AY427" s="61" t="s">
        <v>377</v>
      </c>
      <c r="AZ427" s="61" t="s">
        <v>495</v>
      </c>
      <c r="BA427" s="46" t="s">
        <v>491</v>
      </c>
      <c r="BC427" s="59">
        <f>AW427+AX427</f>
        <v>0</v>
      </c>
      <c r="BD427" s="59">
        <f>H427/(100-BE427)*100</f>
        <v>0</v>
      </c>
      <c r="BE427" s="59">
        <v>0</v>
      </c>
      <c r="BF427" s="59">
        <f>L427</f>
        <v>8.4563899999999997E-2</v>
      </c>
      <c r="BH427" s="59">
        <f>G427*AO427</f>
        <v>0</v>
      </c>
      <c r="BI427" s="59">
        <f>G427*AP427</f>
        <v>0</v>
      </c>
      <c r="BJ427" s="59">
        <f>G427*H427</f>
        <v>0</v>
      </c>
      <c r="BK427" s="59"/>
      <c r="BL427" s="59">
        <v>711</v>
      </c>
      <c r="BW427" s="59">
        <v>12</v>
      </c>
      <c r="BX427" s="16" t="s">
        <v>381</v>
      </c>
    </row>
    <row r="428" spans="1:76" x14ac:dyDescent="0.25">
      <c r="A428" s="62"/>
      <c r="D428" s="63" t="s">
        <v>382</v>
      </c>
      <c r="E428" s="63"/>
      <c r="G428" s="64">
        <v>24.37</v>
      </c>
      <c r="M428" s="65"/>
    </row>
    <row r="429" spans="1:76" ht="15" customHeight="1" x14ac:dyDescent="0.25">
      <c r="A429" s="58" t="s">
        <v>632</v>
      </c>
      <c r="B429" s="18" t="s">
        <v>488</v>
      </c>
      <c r="C429" s="18" t="s">
        <v>383</v>
      </c>
      <c r="D429" s="8" t="s">
        <v>384</v>
      </c>
      <c r="E429" s="8"/>
      <c r="F429" s="18" t="s">
        <v>140</v>
      </c>
      <c r="G429" s="59">
        <v>33.15</v>
      </c>
      <c r="H429" s="59">
        <v>0</v>
      </c>
      <c r="I429" s="59">
        <f>ROUND(G429*H429,2)</f>
        <v>0</v>
      </c>
      <c r="J429" s="59">
        <v>4.2999999999999999E-4</v>
      </c>
      <c r="K429" s="59">
        <v>4.2999999999999999E-4</v>
      </c>
      <c r="L429" s="59">
        <f>G429*K429</f>
        <v>1.42545E-2</v>
      </c>
      <c r="M429" s="60" t="s">
        <v>115</v>
      </c>
      <c r="Z429" s="59">
        <f>ROUND(IF(AQ429="5",BJ429,0),2)</f>
        <v>0</v>
      </c>
      <c r="AB429" s="59">
        <f>ROUND(IF(AQ429="1",BH429,0),2)</f>
        <v>0</v>
      </c>
      <c r="AC429" s="59">
        <f>ROUND(IF(AQ429="1",BI429,0),2)</f>
        <v>0</v>
      </c>
      <c r="AD429" s="59">
        <f>ROUND(IF(AQ429="7",BH429,0),2)</f>
        <v>0</v>
      </c>
      <c r="AE429" s="59">
        <f>ROUND(IF(AQ429="7",BI429,0),2)</f>
        <v>0</v>
      </c>
      <c r="AF429" s="59">
        <f>ROUND(IF(AQ429="2",BH429,0),2)</f>
        <v>0</v>
      </c>
      <c r="AG429" s="59">
        <f>ROUND(IF(AQ429="2",BI429,0),2)</f>
        <v>0</v>
      </c>
      <c r="AH429" s="59">
        <f>ROUND(IF(AQ429="0",BJ429,0),2)</f>
        <v>0</v>
      </c>
      <c r="AI429" s="46" t="s">
        <v>488</v>
      </c>
      <c r="AJ429" s="59">
        <f>IF(AN429=0,I429,0)</f>
        <v>0</v>
      </c>
      <c r="AK429" s="59">
        <f>IF(AN429=12,I429,0)</f>
        <v>0</v>
      </c>
      <c r="AL429" s="59">
        <f>IF(AN429=21,I429,0)</f>
        <v>0</v>
      </c>
      <c r="AN429" s="59">
        <v>12</v>
      </c>
      <c r="AO429" s="59">
        <f>H429*0.767483743</f>
        <v>0</v>
      </c>
      <c r="AP429" s="59">
        <f>H429*(1-0.767483743)</f>
        <v>0</v>
      </c>
      <c r="AQ429" s="61" t="s">
        <v>150</v>
      </c>
      <c r="AV429" s="59">
        <f>ROUND(AW429+AX429,2)</f>
        <v>0</v>
      </c>
      <c r="AW429" s="59">
        <f>ROUND(G429*AO429,2)</f>
        <v>0</v>
      </c>
      <c r="AX429" s="59">
        <f>ROUND(G429*AP429,2)</f>
        <v>0</v>
      </c>
      <c r="AY429" s="61" t="s">
        <v>377</v>
      </c>
      <c r="AZ429" s="61" t="s">
        <v>495</v>
      </c>
      <c r="BA429" s="46" t="s">
        <v>491</v>
      </c>
      <c r="BC429" s="59">
        <f>AW429+AX429</f>
        <v>0</v>
      </c>
      <c r="BD429" s="59">
        <f>H429/(100-BE429)*100</f>
        <v>0</v>
      </c>
      <c r="BE429" s="59">
        <v>0</v>
      </c>
      <c r="BF429" s="59">
        <f>L429</f>
        <v>1.42545E-2</v>
      </c>
      <c r="BH429" s="59">
        <f>G429*AO429</f>
        <v>0</v>
      </c>
      <c r="BI429" s="59">
        <f>G429*AP429</f>
        <v>0</v>
      </c>
      <c r="BJ429" s="59">
        <f>G429*H429</f>
        <v>0</v>
      </c>
      <c r="BK429" s="59"/>
      <c r="BL429" s="59">
        <v>711</v>
      </c>
      <c r="BW429" s="59">
        <v>12</v>
      </c>
      <c r="BX429" s="16" t="s">
        <v>384</v>
      </c>
    </row>
    <row r="430" spans="1:76" x14ac:dyDescent="0.25">
      <c r="A430" s="62"/>
      <c r="D430" s="63" t="s">
        <v>385</v>
      </c>
      <c r="E430" s="63"/>
      <c r="G430" s="64">
        <v>33.15</v>
      </c>
      <c r="M430" s="65"/>
    </row>
    <row r="431" spans="1:76" ht="15" customHeight="1" x14ac:dyDescent="0.25">
      <c r="A431" s="54"/>
      <c r="B431" s="55" t="s">
        <v>488</v>
      </c>
      <c r="C431" s="55" t="s">
        <v>165</v>
      </c>
      <c r="D431" s="104" t="s">
        <v>166</v>
      </c>
      <c r="E431" s="104"/>
      <c r="F431" s="56" t="s">
        <v>88</v>
      </c>
      <c r="G431" s="56" t="s">
        <v>88</v>
      </c>
      <c r="H431" s="56" t="s">
        <v>88</v>
      </c>
      <c r="I431" s="39">
        <f>SUM(I432:I438)</f>
        <v>0</v>
      </c>
      <c r="J431" s="46"/>
      <c r="K431" s="46"/>
      <c r="L431" s="39">
        <f>SUM(L432:L438)</f>
        <v>9.1239999999999988E-2</v>
      </c>
      <c r="M431" s="57"/>
      <c r="AI431" s="46" t="s">
        <v>488</v>
      </c>
      <c r="AS431" s="39">
        <f>SUM(AJ432:AJ438)</f>
        <v>0</v>
      </c>
      <c r="AT431" s="39">
        <f>SUM(AK432:AK438)</f>
        <v>0</v>
      </c>
      <c r="AU431" s="39">
        <f>SUM(AL432:AL438)</f>
        <v>0</v>
      </c>
    </row>
    <row r="432" spans="1:76" ht="15" customHeight="1" x14ac:dyDescent="0.25">
      <c r="A432" s="58" t="s">
        <v>633</v>
      </c>
      <c r="B432" s="18" t="s">
        <v>488</v>
      </c>
      <c r="C432" s="18" t="s">
        <v>168</v>
      </c>
      <c r="D432" s="8" t="s">
        <v>169</v>
      </c>
      <c r="E432" s="8"/>
      <c r="F432" s="18" t="s">
        <v>140</v>
      </c>
      <c r="G432" s="59">
        <v>6</v>
      </c>
      <c r="H432" s="59">
        <v>0</v>
      </c>
      <c r="I432" s="59">
        <f>ROUND(G432*H432,2)</f>
        <v>0</v>
      </c>
      <c r="J432" s="59">
        <v>0</v>
      </c>
      <c r="K432" s="59">
        <v>1.3500000000000001E-3</v>
      </c>
      <c r="L432" s="59">
        <f>G432*K432</f>
        <v>8.0999999999999996E-3</v>
      </c>
      <c r="M432" s="60" t="s">
        <v>115</v>
      </c>
      <c r="Z432" s="59">
        <f>ROUND(IF(AQ432="5",BJ432,0),2)</f>
        <v>0</v>
      </c>
      <c r="AB432" s="59">
        <f>ROUND(IF(AQ432="1",BH432,0),2)</f>
        <v>0</v>
      </c>
      <c r="AC432" s="59">
        <f>ROUND(IF(AQ432="1",BI432,0),2)</f>
        <v>0</v>
      </c>
      <c r="AD432" s="59">
        <f>ROUND(IF(AQ432="7",BH432,0),2)</f>
        <v>0</v>
      </c>
      <c r="AE432" s="59">
        <f>ROUND(IF(AQ432="7",BI432,0),2)</f>
        <v>0</v>
      </c>
      <c r="AF432" s="59">
        <f>ROUND(IF(AQ432="2",BH432,0),2)</f>
        <v>0</v>
      </c>
      <c r="AG432" s="59">
        <f>ROUND(IF(AQ432="2",BI432,0),2)</f>
        <v>0</v>
      </c>
      <c r="AH432" s="59">
        <f>ROUND(IF(AQ432="0",BJ432,0),2)</f>
        <v>0</v>
      </c>
      <c r="AI432" s="46" t="s">
        <v>488</v>
      </c>
      <c r="AJ432" s="59">
        <f>IF(AN432=0,I432,0)</f>
        <v>0</v>
      </c>
      <c r="AK432" s="59">
        <f>IF(AN432=12,I432,0)</f>
        <v>0</v>
      </c>
      <c r="AL432" s="59">
        <f>IF(AN432=21,I432,0)</f>
        <v>0</v>
      </c>
      <c r="AN432" s="59">
        <v>12</v>
      </c>
      <c r="AO432" s="59">
        <f>H432*0</f>
        <v>0</v>
      </c>
      <c r="AP432" s="59">
        <f>H432*(1-0)</f>
        <v>0</v>
      </c>
      <c r="AQ432" s="61" t="s">
        <v>150</v>
      </c>
      <c r="AV432" s="59">
        <f>ROUND(AW432+AX432,2)</f>
        <v>0</v>
      </c>
      <c r="AW432" s="59">
        <f>ROUND(G432*AO432,2)</f>
        <v>0</v>
      </c>
      <c r="AX432" s="59">
        <f>ROUND(G432*AP432,2)</f>
        <v>0</v>
      </c>
      <c r="AY432" s="61" t="s">
        <v>170</v>
      </c>
      <c r="AZ432" s="61" t="s">
        <v>496</v>
      </c>
      <c r="BA432" s="46" t="s">
        <v>491</v>
      </c>
      <c r="BC432" s="59">
        <f>AW432+AX432</f>
        <v>0</v>
      </c>
      <c r="BD432" s="59">
        <f>H432/(100-BE432)*100</f>
        <v>0</v>
      </c>
      <c r="BE432" s="59">
        <v>0</v>
      </c>
      <c r="BF432" s="59">
        <f>L432</f>
        <v>8.0999999999999996E-3</v>
      </c>
      <c r="BH432" s="59">
        <f>G432*AO432</f>
        <v>0</v>
      </c>
      <c r="BI432" s="59">
        <f>G432*AP432</f>
        <v>0</v>
      </c>
      <c r="BJ432" s="59">
        <f>G432*H432</f>
        <v>0</v>
      </c>
      <c r="BK432" s="59"/>
      <c r="BL432" s="59">
        <v>764</v>
      </c>
      <c r="BW432" s="59">
        <v>12</v>
      </c>
      <c r="BX432" s="16" t="s">
        <v>169</v>
      </c>
    </row>
    <row r="433" spans="1:76" x14ac:dyDescent="0.25">
      <c r="A433" s="62"/>
      <c r="D433" s="63" t="s">
        <v>145</v>
      </c>
      <c r="E433" s="63"/>
      <c r="G433" s="64">
        <v>6</v>
      </c>
      <c r="M433" s="65"/>
    </row>
    <row r="434" spans="1:76" ht="15" customHeight="1" x14ac:dyDescent="0.25">
      <c r="A434" s="58" t="s">
        <v>634</v>
      </c>
      <c r="B434" s="18" t="s">
        <v>488</v>
      </c>
      <c r="C434" s="18" t="s">
        <v>173</v>
      </c>
      <c r="D434" s="8" t="s">
        <v>174</v>
      </c>
      <c r="E434" s="8"/>
      <c r="F434" s="18" t="s">
        <v>140</v>
      </c>
      <c r="G434" s="59">
        <v>6</v>
      </c>
      <c r="H434" s="59">
        <v>0</v>
      </c>
      <c r="I434" s="59">
        <f>ROUND(G434*H434,2)</f>
        <v>0</v>
      </c>
      <c r="J434" s="59">
        <v>3.9500000000000004E-3</v>
      </c>
      <c r="K434" s="59">
        <v>3.9500000000000004E-3</v>
      </c>
      <c r="L434" s="59">
        <f>G434*K434</f>
        <v>2.3700000000000002E-2</v>
      </c>
      <c r="M434" s="60" t="s">
        <v>115</v>
      </c>
      <c r="Z434" s="59">
        <f>ROUND(IF(AQ434="5",BJ434,0),2)</f>
        <v>0</v>
      </c>
      <c r="AB434" s="59">
        <f>ROUND(IF(AQ434="1",BH434,0),2)</f>
        <v>0</v>
      </c>
      <c r="AC434" s="59">
        <f>ROUND(IF(AQ434="1",BI434,0),2)</f>
        <v>0</v>
      </c>
      <c r="AD434" s="59">
        <f>ROUND(IF(AQ434="7",BH434,0),2)</f>
        <v>0</v>
      </c>
      <c r="AE434" s="59">
        <f>ROUND(IF(AQ434="7",BI434,0),2)</f>
        <v>0</v>
      </c>
      <c r="AF434" s="59">
        <f>ROUND(IF(AQ434="2",BH434,0),2)</f>
        <v>0</v>
      </c>
      <c r="AG434" s="59">
        <f>ROUND(IF(AQ434="2",BI434,0),2)</f>
        <v>0</v>
      </c>
      <c r="AH434" s="59">
        <f>ROUND(IF(AQ434="0",BJ434,0),2)</f>
        <v>0</v>
      </c>
      <c r="AI434" s="46" t="s">
        <v>488</v>
      </c>
      <c r="AJ434" s="59">
        <f>IF(AN434=0,I434,0)</f>
        <v>0</v>
      </c>
      <c r="AK434" s="59">
        <f>IF(AN434=12,I434,0)</f>
        <v>0</v>
      </c>
      <c r="AL434" s="59">
        <f>IF(AN434=21,I434,0)</f>
        <v>0</v>
      </c>
      <c r="AN434" s="59">
        <v>12</v>
      </c>
      <c r="AO434" s="59">
        <f>H434*0.565634409</f>
        <v>0</v>
      </c>
      <c r="AP434" s="59">
        <f>H434*(1-0.565634409)</f>
        <v>0</v>
      </c>
      <c r="AQ434" s="61" t="s">
        <v>150</v>
      </c>
      <c r="AV434" s="59">
        <f>ROUND(AW434+AX434,2)</f>
        <v>0</v>
      </c>
      <c r="AW434" s="59">
        <f>ROUND(G434*AO434,2)</f>
        <v>0</v>
      </c>
      <c r="AX434" s="59">
        <f>ROUND(G434*AP434,2)</f>
        <v>0</v>
      </c>
      <c r="AY434" s="61" t="s">
        <v>170</v>
      </c>
      <c r="AZ434" s="61" t="s">
        <v>496</v>
      </c>
      <c r="BA434" s="46" t="s">
        <v>491</v>
      </c>
      <c r="BC434" s="59">
        <f>AW434+AX434</f>
        <v>0</v>
      </c>
      <c r="BD434" s="59">
        <f>H434/(100-BE434)*100</f>
        <v>0</v>
      </c>
      <c r="BE434" s="59">
        <v>0</v>
      </c>
      <c r="BF434" s="59">
        <f>L434</f>
        <v>2.3700000000000002E-2</v>
      </c>
      <c r="BH434" s="59">
        <f>G434*AO434</f>
        <v>0</v>
      </c>
      <c r="BI434" s="59">
        <f>G434*AP434</f>
        <v>0</v>
      </c>
      <c r="BJ434" s="59">
        <f>G434*H434</f>
        <v>0</v>
      </c>
      <c r="BK434" s="59"/>
      <c r="BL434" s="59">
        <v>764</v>
      </c>
      <c r="BW434" s="59">
        <v>12</v>
      </c>
      <c r="BX434" s="16" t="s">
        <v>174</v>
      </c>
    </row>
    <row r="435" spans="1:76" x14ac:dyDescent="0.25">
      <c r="A435" s="62"/>
      <c r="D435" s="63" t="s">
        <v>145</v>
      </c>
      <c r="E435" s="63"/>
      <c r="G435" s="64">
        <v>6</v>
      </c>
      <c r="M435" s="65"/>
    </row>
    <row r="436" spans="1:76" ht="15" customHeight="1" x14ac:dyDescent="0.25">
      <c r="A436" s="58" t="s">
        <v>635</v>
      </c>
      <c r="B436" s="18" t="s">
        <v>488</v>
      </c>
      <c r="C436" s="18" t="s">
        <v>177</v>
      </c>
      <c r="D436" s="8" t="s">
        <v>178</v>
      </c>
      <c r="E436" s="8"/>
      <c r="F436" s="18" t="s">
        <v>140</v>
      </c>
      <c r="G436" s="59">
        <v>24.9</v>
      </c>
      <c r="H436" s="59">
        <v>0</v>
      </c>
      <c r="I436" s="59">
        <f>ROUND(G436*H436,2)</f>
        <v>0</v>
      </c>
      <c r="J436" s="59">
        <v>1.4599999999999999E-3</v>
      </c>
      <c r="K436" s="59">
        <v>1.4599999999999999E-3</v>
      </c>
      <c r="L436" s="59">
        <f>G436*K436</f>
        <v>3.6353999999999997E-2</v>
      </c>
      <c r="M436" s="60" t="s">
        <v>115</v>
      </c>
      <c r="Z436" s="59">
        <f>ROUND(IF(AQ436="5",BJ436,0),2)</f>
        <v>0</v>
      </c>
      <c r="AB436" s="59">
        <f>ROUND(IF(AQ436="1",BH436,0),2)</f>
        <v>0</v>
      </c>
      <c r="AC436" s="59">
        <f>ROUND(IF(AQ436="1",BI436,0),2)</f>
        <v>0</v>
      </c>
      <c r="AD436" s="59">
        <f>ROUND(IF(AQ436="7",BH436,0),2)</f>
        <v>0</v>
      </c>
      <c r="AE436" s="59">
        <f>ROUND(IF(AQ436="7",BI436,0),2)</f>
        <v>0</v>
      </c>
      <c r="AF436" s="59">
        <f>ROUND(IF(AQ436="2",BH436,0),2)</f>
        <v>0</v>
      </c>
      <c r="AG436" s="59">
        <f>ROUND(IF(AQ436="2",BI436,0),2)</f>
        <v>0</v>
      </c>
      <c r="AH436" s="59">
        <f>ROUND(IF(AQ436="0",BJ436,0),2)</f>
        <v>0</v>
      </c>
      <c r="AI436" s="46" t="s">
        <v>488</v>
      </c>
      <c r="AJ436" s="59">
        <f>IF(AN436=0,I436,0)</f>
        <v>0</v>
      </c>
      <c r="AK436" s="59">
        <f>IF(AN436=12,I436,0)</f>
        <v>0</v>
      </c>
      <c r="AL436" s="59">
        <f>IF(AN436=21,I436,0)</f>
        <v>0</v>
      </c>
      <c r="AN436" s="59">
        <v>12</v>
      </c>
      <c r="AO436" s="59">
        <f>H436*0.113898183</f>
        <v>0</v>
      </c>
      <c r="AP436" s="59">
        <f>H436*(1-0.113898183)</f>
        <v>0</v>
      </c>
      <c r="AQ436" s="61" t="s">
        <v>150</v>
      </c>
      <c r="AV436" s="59">
        <f>ROUND(AW436+AX436,2)</f>
        <v>0</v>
      </c>
      <c r="AW436" s="59">
        <f>ROUND(G436*AO436,2)</f>
        <v>0</v>
      </c>
      <c r="AX436" s="59">
        <f>ROUND(G436*AP436,2)</f>
        <v>0</v>
      </c>
      <c r="AY436" s="61" t="s">
        <v>170</v>
      </c>
      <c r="AZ436" s="61" t="s">
        <v>496</v>
      </c>
      <c r="BA436" s="46" t="s">
        <v>491</v>
      </c>
      <c r="BC436" s="59">
        <f>AW436+AX436</f>
        <v>0</v>
      </c>
      <c r="BD436" s="59">
        <f>H436/(100-BE436)*100</f>
        <v>0</v>
      </c>
      <c r="BE436" s="59">
        <v>0</v>
      </c>
      <c r="BF436" s="59">
        <f>L436</f>
        <v>3.6353999999999997E-2</v>
      </c>
      <c r="BH436" s="59">
        <f>G436*AO436</f>
        <v>0</v>
      </c>
      <c r="BI436" s="59">
        <f>G436*AP436</f>
        <v>0</v>
      </c>
      <c r="BJ436" s="59">
        <f>G436*H436</f>
        <v>0</v>
      </c>
      <c r="BK436" s="59"/>
      <c r="BL436" s="59">
        <v>764</v>
      </c>
      <c r="BW436" s="59">
        <v>12</v>
      </c>
      <c r="BX436" s="16" t="s">
        <v>178</v>
      </c>
    </row>
    <row r="437" spans="1:76" x14ac:dyDescent="0.25">
      <c r="A437" s="62"/>
      <c r="D437" s="63" t="s">
        <v>387</v>
      </c>
      <c r="E437" s="63"/>
      <c r="G437" s="64">
        <v>24.9</v>
      </c>
      <c r="M437" s="65"/>
    </row>
    <row r="438" spans="1:76" ht="15" customHeight="1" x14ac:dyDescent="0.25">
      <c r="A438" s="58" t="s">
        <v>636</v>
      </c>
      <c r="B438" s="18" t="s">
        <v>488</v>
      </c>
      <c r="C438" s="18" t="s">
        <v>388</v>
      </c>
      <c r="D438" s="8" t="s">
        <v>389</v>
      </c>
      <c r="E438" s="8"/>
      <c r="F438" s="18" t="s">
        <v>140</v>
      </c>
      <c r="G438" s="59">
        <v>19.399999999999999</v>
      </c>
      <c r="H438" s="59">
        <v>0</v>
      </c>
      <c r="I438" s="59">
        <f>ROUND(G438*H438,2)</f>
        <v>0</v>
      </c>
      <c r="J438" s="59">
        <v>1.1900000000000001E-3</v>
      </c>
      <c r="K438" s="59">
        <v>1.1900000000000001E-3</v>
      </c>
      <c r="L438" s="59">
        <f>G438*K438</f>
        <v>2.3085999999999999E-2</v>
      </c>
      <c r="M438" s="60" t="s">
        <v>115</v>
      </c>
      <c r="Z438" s="59">
        <f>ROUND(IF(AQ438="5",BJ438,0),2)</f>
        <v>0</v>
      </c>
      <c r="AB438" s="59">
        <f>ROUND(IF(AQ438="1",BH438,0),2)</f>
        <v>0</v>
      </c>
      <c r="AC438" s="59">
        <f>ROUND(IF(AQ438="1",BI438,0),2)</f>
        <v>0</v>
      </c>
      <c r="AD438" s="59">
        <f>ROUND(IF(AQ438="7",BH438,0),2)</f>
        <v>0</v>
      </c>
      <c r="AE438" s="59">
        <f>ROUND(IF(AQ438="7",BI438,0),2)</f>
        <v>0</v>
      </c>
      <c r="AF438" s="59">
        <f>ROUND(IF(AQ438="2",BH438,0),2)</f>
        <v>0</v>
      </c>
      <c r="AG438" s="59">
        <f>ROUND(IF(AQ438="2",BI438,0),2)</f>
        <v>0</v>
      </c>
      <c r="AH438" s="59">
        <f>ROUND(IF(AQ438="0",BJ438,0),2)</f>
        <v>0</v>
      </c>
      <c r="AI438" s="46" t="s">
        <v>488</v>
      </c>
      <c r="AJ438" s="59">
        <f>IF(AN438=0,I438,0)</f>
        <v>0</v>
      </c>
      <c r="AK438" s="59">
        <f>IF(AN438=12,I438,0)</f>
        <v>0</v>
      </c>
      <c r="AL438" s="59">
        <f>IF(AN438=21,I438,0)</f>
        <v>0</v>
      </c>
      <c r="AN438" s="59">
        <v>12</v>
      </c>
      <c r="AO438" s="59">
        <f>H438*0.381899982</f>
        <v>0</v>
      </c>
      <c r="AP438" s="59">
        <f>H438*(1-0.381899982)</f>
        <v>0</v>
      </c>
      <c r="AQ438" s="61" t="s">
        <v>150</v>
      </c>
      <c r="AV438" s="59">
        <f>ROUND(AW438+AX438,2)</f>
        <v>0</v>
      </c>
      <c r="AW438" s="59">
        <f>ROUND(G438*AO438,2)</f>
        <v>0</v>
      </c>
      <c r="AX438" s="59">
        <f>ROUND(G438*AP438,2)</f>
        <v>0</v>
      </c>
      <c r="AY438" s="61" t="s">
        <v>170</v>
      </c>
      <c r="AZ438" s="61" t="s">
        <v>496</v>
      </c>
      <c r="BA438" s="46" t="s">
        <v>491</v>
      </c>
      <c r="BC438" s="59">
        <f>AW438+AX438</f>
        <v>0</v>
      </c>
      <c r="BD438" s="59">
        <f>H438/(100-BE438)*100</f>
        <v>0</v>
      </c>
      <c r="BE438" s="59">
        <v>0</v>
      </c>
      <c r="BF438" s="59">
        <f>L438</f>
        <v>2.3085999999999999E-2</v>
      </c>
      <c r="BH438" s="59">
        <f>G438*AO438</f>
        <v>0</v>
      </c>
      <c r="BI438" s="59">
        <f>G438*AP438</f>
        <v>0</v>
      </c>
      <c r="BJ438" s="59">
        <f>G438*H438</f>
        <v>0</v>
      </c>
      <c r="BK438" s="59"/>
      <c r="BL438" s="59">
        <v>764</v>
      </c>
      <c r="BW438" s="59">
        <v>12</v>
      </c>
      <c r="BX438" s="16" t="s">
        <v>389</v>
      </c>
    </row>
    <row r="439" spans="1:76" x14ac:dyDescent="0.25">
      <c r="A439" s="62"/>
      <c r="D439" s="63" t="s">
        <v>390</v>
      </c>
      <c r="E439" s="63"/>
      <c r="G439" s="64">
        <v>19.399999999999999</v>
      </c>
      <c r="M439" s="65"/>
    </row>
    <row r="440" spans="1:76" ht="15" customHeight="1" x14ac:dyDescent="0.25">
      <c r="A440" s="54"/>
      <c r="B440" s="55" t="s">
        <v>488</v>
      </c>
      <c r="C440" s="55" t="s">
        <v>181</v>
      </c>
      <c r="D440" s="104" t="s">
        <v>182</v>
      </c>
      <c r="E440" s="104"/>
      <c r="F440" s="56" t="s">
        <v>88</v>
      </c>
      <c r="G440" s="56" t="s">
        <v>88</v>
      </c>
      <c r="H440" s="56" t="s">
        <v>88</v>
      </c>
      <c r="I440" s="39">
        <f>SUM(I441:I453)</f>
        <v>0</v>
      </c>
      <c r="J440" s="46"/>
      <c r="K440" s="46"/>
      <c r="L440" s="39">
        <f>SUM(L441:L453)</f>
        <v>2.4318280000000003</v>
      </c>
      <c r="M440" s="57"/>
      <c r="AI440" s="46" t="s">
        <v>488</v>
      </c>
      <c r="AS440" s="39">
        <f>SUM(AJ441:AJ453)</f>
        <v>0</v>
      </c>
      <c r="AT440" s="39">
        <f>SUM(AK441:AK453)</f>
        <v>0</v>
      </c>
      <c r="AU440" s="39">
        <f>SUM(AL441:AL453)</f>
        <v>0</v>
      </c>
    </row>
    <row r="441" spans="1:76" ht="15" customHeight="1" x14ac:dyDescent="0.25">
      <c r="A441" s="58" t="s">
        <v>637</v>
      </c>
      <c r="B441" s="18" t="s">
        <v>488</v>
      </c>
      <c r="C441" s="18" t="s">
        <v>191</v>
      </c>
      <c r="D441" s="8" t="s">
        <v>192</v>
      </c>
      <c r="E441" s="8"/>
      <c r="F441" s="18" t="s">
        <v>114</v>
      </c>
      <c r="G441" s="59">
        <v>60</v>
      </c>
      <c r="H441" s="59">
        <v>0</v>
      </c>
      <c r="I441" s="59">
        <f>ROUND(G441*H441,2)</f>
        <v>0</v>
      </c>
      <c r="J441" s="59">
        <v>4.0370000000000003E-2</v>
      </c>
      <c r="K441" s="59">
        <v>4.0370000000000003E-2</v>
      </c>
      <c r="L441" s="59">
        <f>G441*K441</f>
        <v>2.4222000000000001</v>
      </c>
      <c r="M441" s="60" t="s">
        <v>115</v>
      </c>
      <c r="Z441" s="59">
        <f>ROUND(IF(AQ441="5",BJ441,0),2)</f>
        <v>0</v>
      </c>
      <c r="AB441" s="59">
        <f>ROUND(IF(AQ441="1",BH441,0),2)</f>
        <v>0</v>
      </c>
      <c r="AC441" s="59">
        <f>ROUND(IF(AQ441="1",BI441,0),2)</f>
        <v>0</v>
      </c>
      <c r="AD441" s="59">
        <f>ROUND(IF(AQ441="7",BH441,0),2)</f>
        <v>0</v>
      </c>
      <c r="AE441" s="59">
        <f>ROUND(IF(AQ441="7",BI441,0),2)</f>
        <v>0</v>
      </c>
      <c r="AF441" s="59">
        <f>ROUND(IF(AQ441="2",BH441,0),2)</f>
        <v>0</v>
      </c>
      <c r="AG441" s="59">
        <f>ROUND(IF(AQ441="2",BI441,0),2)</f>
        <v>0</v>
      </c>
      <c r="AH441" s="59">
        <f>ROUND(IF(AQ441="0",BJ441,0),2)</f>
        <v>0</v>
      </c>
      <c r="AI441" s="46" t="s">
        <v>488</v>
      </c>
      <c r="AJ441" s="59">
        <f>IF(AN441=0,I441,0)</f>
        <v>0</v>
      </c>
      <c r="AK441" s="59">
        <f>IF(AN441=12,I441,0)</f>
        <v>0</v>
      </c>
      <c r="AL441" s="59">
        <f>IF(AN441=21,I441,0)</f>
        <v>0</v>
      </c>
      <c r="AN441" s="59">
        <v>12</v>
      </c>
      <c r="AO441" s="59">
        <f>H441*0.920036753</f>
        <v>0</v>
      </c>
      <c r="AP441" s="59">
        <f>H441*(1-0.920036753)</f>
        <v>0</v>
      </c>
      <c r="AQ441" s="61" t="s">
        <v>150</v>
      </c>
      <c r="AV441" s="59">
        <f>ROUND(AW441+AX441,2)</f>
        <v>0</v>
      </c>
      <c r="AW441" s="59">
        <f>ROUND(G441*AO441,2)</f>
        <v>0</v>
      </c>
      <c r="AX441" s="59">
        <f>ROUND(G441*AP441,2)</f>
        <v>0</v>
      </c>
      <c r="AY441" s="61" t="s">
        <v>187</v>
      </c>
      <c r="AZ441" s="61" t="s">
        <v>496</v>
      </c>
      <c r="BA441" s="46" t="s">
        <v>491</v>
      </c>
      <c r="BC441" s="59">
        <f>AW441+AX441</f>
        <v>0</v>
      </c>
      <c r="BD441" s="59">
        <f>H441/(100-BE441)*100</f>
        <v>0</v>
      </c>
      <c r="BE441" s="59">
        <v>0</v>
      </c>
      <c r="BF441" s="59">
        <f>L441</f>
        <v>2.4222000000000001</v>
      </c>
      <c r="BH441" s="59">
        <f>G441*AO441</f>
        <v>0</v>
      </c>
      <c r="BI441" s="59">
        <f>G441*AP441</f>
        <v>0</v>
      </c>
      <c r="BJ441" s="59">
        <f>G441*H441</f>
        <v>0</v>
      </c>
      <c r="BK441" s="59"/>
      <c r="BL441" s="59">
        <v>766</v>
      </c>
      <c r="BW441" s="59">
        <v>12</v>
      </c>
      <c r="BX441" s="16" t="s">
        <v>192</v>
      </c>
    </row>
    <row r="442" spans="1:76" x14ac:dyDescent="0.25">
      <c r="A442" s="62"/>
      <c r="D442" s="63" t="s">
        <v>391</v>
      </c>
      <c r="E442" s="63"/>
      <c r="G442" s="64">
        <v>9</v>
      </c>
      <c r="M442" s="65"/>
    </row>
    <row r="443" spans="1:76" x14ac:dyDescent="0.25">
      <c r="A443" s="62"/>
      <c r="D443" s="63" t="s">
        <v>392</v>
      </c>
      <c r="E443" s="63"/>
      <c r="G443" s="64">
        <v>5.4</v>
      </c>
      <c r="M443" s="65"/>
    </row>
    <row r="444" spans="1:76" x14ac:dyDescent="0.25">
      <c r="A444" s="62"/>
      <c r="D444" s="63" t="s">
        <v>393</v>
      </c>
      <c r="E444" s="63"/>
      <c r="G444" s="64">
        <v>21.6</v>
      </c>
      <c r="M444" s="65"/>
    </row>
    <row r="445" spans="1:76" x14ac:dyDescent="0.25">
      <c r="A445" s="62"/>
      <c r="D445" s="63" t="s">
        <v>394</v>
      </c>
      <c r="E445" s="63"/>
      <c r="G445" s="64">
        <v>14.4</v>
      </c>
      <c r="M445" s="65"/>
    </row>
    <row r="446" spans="1:76" x14ac:dyDescent="0.25">
      <c r="A446" s="62"/>
      <c r="D446" s="63" t="s">
        <v>497</v>
      </c>
      <c r="E446" s="63"/>
      <c r="G446" s="64">
        <v>9.6</v>
      </c>
      <c r="M446" s="65"/>
    </row>
    <row r="447" spans="1:76" ht="15" customHeight="1" x14ac:dyDescent="0.25">
      <c r="A447" s="58" t="s">
        <v>638</v>
      </c>
      <c r="B447" s="18" t="s">
        <v>488</v>
      </c>
      <c r="C447" s="18" t="s">
        <v>206</v>
      </c>
      <c r="D447" s="8" t="s">
        <v>207</v>
      </c>
      <c r="E447" s="8"/>
      <c r="F447" s="18" t="s">
        <v>140</v>
      </c>
      <c r="G447" s="59">
        <v>136</v>
      </c>
      <c r="H447" s="59">
        <v>0</v>
      </c>
      <c r="I447" s="59">
        <f>ROUND(G447*H447,2)</f>
        <v>0</v>
      </c>
      <c r="J447" s="59">
        <v>4.0000000000000003E-5</v>
      </c>
      <c r="K447" s="59">
        <v>4.0000000000000003E-5</v>
      </c>
      <c r="L447" s="59">
        <f>G447*K447</f>
        <v>5.4400000000000004E-3</v>
      </c>
      <c r="M447" s="60" t="s">
        <v>115</v>
      </c>
      <c r="Z447" s="59">
        <f>ROUND(IF(AQ447="5",BJ447,0),2)</f>
        <v>0</v>
      </c>
      <c r="AB447" s="59">
        <f>ROUND(IF(AQ447="1",BH447,0),2)</f>
        <v>0</v>
      </c>
      <c r="AC447" s="59">
        <f>ROUND(IF(AQ447="1",BI447,0),2)</f>
        <v>0</v>
      </c>
      <c r="AD447" s="59">
        <f>ROUND(IF(AQ447="7",BH447,0),2)</f>
        <v>0</v>
      </c>
      <c r="AE447" s="59">
        <f>ROUND(IF(AQ447="7",BI447,0),2)</f>
        <v>0</v>
      </c>
      <c r="AF447" s="59">
        <f>ROUND(IF(AQ447="2",BH447,0),2)</f>
        <v>0</v>
      </c>
      <c r="AG447" s="59">
        <f>ROUND(IF(AQ447="2",BI447,0),2)</f>
        <v>0</v>
      </c>
      <c r="AH447" s="59">
        <f>ROUND(IF(AQ447="0",BJ447,0),2)</f>
        <v>0</v>
      </c>
      <c r="AI447" s="46" t="s">
        <v>488</v>
      </c>
      <c r="AJ447" s="59">
        <f>IF(AN447=0,I447,0)</f>
        <v>0</v>
      </c>
      <c r="AK447" s="59">
        <f>IF(AN447=12,I447,0)</f>
        <v>0</v>
      </c>
      <c r="AL447" s="59">
        <f>IF(AN447=21,I447,0)</f>
        <v>0</v>
      </c>
      <c r="AN447" s="59">
        <v>12</v>
      </c>
      <c r="AO447" s="59">
        <f>H447*0.412553191</f>
        <v>0</v>
      </c>
      <c r="AP447" s="59">
        <f>H447*(1-0.412553191)</f>
        <v>0</v>
      </c>
      <c r="AQ447" s="61" t="s">
        <v>150</v>
      </c>
      <c r="AV447" s="59">
        <f>ROUND(AW447+AX447,2)</f>
        <v>0</v>
      </c>
      <c r="AW447" s="59">
        <f>ROUND(G447*AO447,2)</f>
        <v>0</v>
      </c>
      <c r="AX447" s="59">
        <f>ROUND(G447*AP447,2)</f>
        <v>0</v>
      </c>
      <c r="AY447" s="61" t="s">
        <v>187</v>
      </c>
      <c r="AZ447" s="61" t="s">
        <v>496</v>
      </c>
      <c r="BA447" s="46" t="s">
        <v>491</v>
      </c>
      <c r="BC447" s="59">
        <f>AW447+AX447</f>
        <v>0</v>
      </c>
      <c r="BD447" s="59">
        <f>H447/(100-BE447)*100</f>
        <v>0</v>
      </c>
      <c r="BE447" s="59">
        <v>0</v>
      </c>
      <c r="BF447" s="59">
        <f>L447</f>
        <v>5.4400000000000004E-3</v>
      </c>
      <c r="BH447" s="59">
        <f>G447*AO447</f>
        <v>0</v>
      </c>
      <c r="BI447" s="59">
        <f>G447*AP447</f>
        <v>0</v>
      </c>
      <c r="BJ447" s="59">
        <f>G447*H447</f>
        <v>0</v>
      </c>
      <c r="BK447" s="59"/>
      <c r="BL447" s="59">
        <v>766</v>
      </c>
      <c r="BW447" s="59">
        <v>12</v>
      </c>
      <c r="BX447" s="16" t="s">
        <v>207</v>
      </c>
    </row>
    <row r="448" spans="1:76" x14ac:dyDescent="0.25">
      <c r="A448" s="62"/>
      <c r="D448" s="63" t="s">
        <v>498</v>
      </c>
      <c r="E448" s="63"/>
      <c r="G448" s="64">
        <v>136</v>
      </c>
      <c r="M448" s="65"/>
    </row>
    <row r="449" spans="1:76" ht="15" customHeight="1" x14ac:dyDescent="0.25">
      <c r="A449" s="58" t="s">
        <v>639</v>
      </c>
      <c r="B449" s="18" t="s">
        <v>488</v>
      </c>
      <c r="C449" s="18" t="s">
        <v>211</v>
      </c>
      <c r="D449" s="8" t="s">
        <v>212</v>
      </c>
      <c r="E449" s="8"/>
      <c r="F449" s="18" t="s">
        <v>140</v>
      </c>
      <c r="G449" s="59">
        <v>34.9</v>
      </c>
      <c r="H449" s="59">
        <v>0</v>
      </c>
      <c r="I449" s="59">
        <f>ROUND(G449*H449,2)</f>
        <v>0</v>
      </c>
      <c r="J449" s="59">
        <v>1.2E-4</v>
      </c>
      <c r="K449" s="59">
        <v>1.2E-4</v>
      </c>
      <c r="L449" s="59">
        <f>G449*K449</f>
        <v>4.1879999999999999E-3</v>
      </c>
      <c r="M449" s="60" t="s">
        <v>115</v>
      </c>
      <c r="Z449" s="59">
        <f>ROUND(IF(AQ449="5",BJ449,0),2)</f>
        <v>0</v>
      </c>
      <c r="AB449" s="59">
        <f>ROUND(IF(AQ449="1",BH449,0),2)</f>
        <v>0</v>
      </c>
      <c r="AC449" s="59">
        <f>ROUND(IF(AQ449="1",BI449,0),2)</f>
        <v>0</v>
      </c>
      <c r="AD449" s="59">
        <f>ROUND(IF(AQ449="7",BH449,0),2)</f>
        <v>0</v>
      </c>
      <c r="AE449" s="59">
        <f>ROUND(IF(AQ449="7",BI449,0),2)</f>
        <v>0</v>
      </c>
      <c r="AF449" s="59">
        <f>ROUND(IF(AQ449="2",BH449,0),2)</f>
        <v>0</v>
      </c>
      <c r="AG449" s="59">
        <f>ROUND(IF(AQ449="2",BI449,0),2)</f>
        <v>0</v>
      </c>
      <c r="AH449" s="59">
        <f>ROUND(IF(AQ449="0",BJ449,0),2)</f>
        <v>0</v>
      </c>
      <c r="AI449" s="46" t="s">
        <v>488</v>
      </c>
      <c r="AJ449" s="59">
        <f>IF(AN449=0,I449,0)</f>
        <v>0</v>
      </c>
      <c r="AK449" s="59">
        <f>IF(AN449=12,I449,0)</f>
        <v>0</v>
      </c>
      <c r="AL449" s="59">
        <f>IF(AN449=21,I449,0)</f>
        <v>0</v>
      </c>
      <c r="AN449" s="59">
        <v>12</v>
      </c>
      <c r="AO449" s="59">
        <f>H449*0.319457335</f>
        <v>0</v>
      </c>
      <c r="AP449" s="59">
        <f>H449*(1-0.319457335)</f>
        <v>0</v>
      </c>
      <c r="AQ449" s="61" t="s">
        <v>150</v>
      </c>
      <c r="AV449" s="59">
        <f>ROUND(AW449+AX449,2)</f>
        <v>0</v>
      </c>
      <c r="AW449" s="59">
        <f>ROUND(G449*AO449,2)</f>
        <v>0</v>
      </c>
      <c r="AX449" s="59">
        <f>ROUND(G449*AP449,2)</f>
        <v>0</v>
      </c>
      <c r="AY449" s="61" t="s">
        <v>187</v>
      </c>
      <c r="AZ449" s="61" t="s">
        <v>496</v>
      </c>
      <c r="BA449" s="46" t="s">
        <v>491</v>
      </c>
      <c r="BC449" s="59">
        <f>AW449+AX449</f>
        <v>0</v>
      </c>
      <c r="BD449" s="59">
        <f>H449/(100-BE449)*100</f>
        <v>0</v>
      </c>
      <c r="BE449" s="59">
        <v>0</v>
      </c>
      <c r="BF449" s="59">
        <f>L449</f>
        <v>4.1879999999999999E-3</v>
      </c>
      <c r="BH449" s="59">
        <f>G449*AO449</f>
        <v>0</v>
      </c>
      <c r="BI449" s="59">
        <f>G449*AP449</f>
        <v>0</v>
      </c>
      <c r="BJ449" s="59">
        <f>G449*H449</f>
        <v>0</v>
      </c>
      <c r="BK449" s="59"/>
      <c r="BL449" s="59">
        <v>766</v>
      </c>
      <c r="BW449" s="59">
        <v>12</v>
      </c>
      <c r="BX449" s="16" t="s">
        <v>212</v>
      </c>
    </row>
    <row r="450" spans="1:76" x14ac:dyDescent="0.25">
      <c r="A450" s="62"/>
      <c r="D450" s="63" t="s">
        <v>499</v>
      </c>
      <c r="E450" s="63"/>
      <c r="G450" s="64">
        <v>34.9</v>
      </c>
      <c r="M450" s="65"/>
    </row>
    <row r="451" spans="1:76" ht="15" customHeight="1" x14ac:dyDescent="0.25">
      <c r="A451" s="58" t="s">
        <v>640</v>
      </c>
      <c r="B451" s="18" t="s">
        <v>488</v>
      </c>
      <c r="C451" s="18" t="s">
        <v>216</v>
      </c>
      <c r="D451" s="8" t="s">
        <v>217</v>
      </c>
      <c r="E451" s="8"/>
      <c r="F451" s="18" t="s">
        <v>218</v>
      </c>
      <c r="G451" s="59">
        <v>12</v>
      </c>
      <c r="H451" s="59">
        <v>0</v>
      </c>
      <c r="I451" s="59">
        <f>ROUND(G451*H451,2)</f>
        <v>0</v>
      </c>
      <c r="J451" s="59">
        <v>0</v>
      </c>
      <c r="K451" s="59">
        <v>0</v>
      </c>
      <c r="L451" s="59">
        <f>G451*K451</f>
        <v>0</v>
      </c>
      <c r="M451" s="60"/>
      <c r="Z451" s="59">
        <f>ROUND(IF(AQ451="5",BJ451,0),2)</f>
        <v>0</v>
      </c>
      <c r="AB451" s="59">
        <f>ROUND(IF(AQ451="1",BH451,0),2)</f>
        <v>0</v>
      </c>
      <c r="AC451" s="59">
        <f>ROUND(IF(AQ451="1",BI451,0),2)</f>
        <v>0</v>
      </c>
      <c r="AD451" s="59">
        <f>ROUND(IF(AQ451="7",BH451,0),2)</f>
        <v>0</v>
      </c>
      <c r="AE451" s="59">
        <f>ROUND(IF(AQ451="7",BI451,0),2)</f>
        <v>0</v>
      </c>
      <c r="AF451" s="59">
        <f>ROUND(IF(AQ451="2",BH451,0),2)</f>
        <v>0</v>
      </c>
      <c r="AG451" s="59">
        <f>ROUND(IF(AQ451="2",BI451,0),2)</f>
        <v>0</v>
      </c>
      <c r="AH451" s="59">
        <f>ROUND(IF(AQ451="0",BJ451,0),2)</f>
        <v>0</v>
      </c>
      <c r="AI451" s="46" t="s">
        <v>488</v>
      </c>
      <c r="AJ451" s="59">
        <f>IF(AN451=0,I451,0)</f>
        <v>0</v>
      </c>
      <c r="AK451" s="59">
        <f>IF(AN451=12,I451,0)</f>
        <v>0</v>
      </c>
      <c r="AL451" s="59">
        <f>IF(AN451=21,I451,0)</f>
        <v>0</v>
      </c>
      <c r="AN451" s="59">
        <v>12</v>
      </c>
      <c r="AO451" s="59">
        <f>H451*0</f>
        <v>0</v>
      </c>
      <c r="AP451" s="59">
        <f>H451*(1-0)</f>
        <v>0</v>
      </c>
      <c r="AQ451" s="61" t="s">
        <v>150</v>
      </c>
      <c r="AV451" s="59">
        <f>ROUND(AW451+AX451,2)</f>
        <v>0</v>
      </c>
      <c r="AW451" s="59">
        <f>ROUND(G451*AO451,2)</f>
        <v>0</v>
      </c>
      <c r="AX451" s="59">
        <f>ROUND(G451*AP451,2)</f>
        <v>0</v>
      </c>
      <c r="AY451" s="61" t="s">
        <v>187</v>
      </c>
      <c r="AZ451" s="61" t="s">
        <v>496</v>
      </c>
      <c r="BA451" s="46" t="s">
        <v>491</v>
      </c>
      <c r="BC451" s="59">
        <f>AW451+AX451</f>
        <v>0</v>
      </c>
      <c r="BD451" s="59">
        <f>H451/(100-BE451)*100</f>
        <v>0</v>
      </c>
      <c r="BE451" s="59">
        <v>0</v>
      </c>
      <c r="BF451" s="59">
        <f>L451</f>
        <v>0</v>
      </c>
      <c r="BH451" s="59">
        <f>G451*AO451</f>
        <v>0</v>
      </c>
      <c r="BI451" s="59">
        <f>G451*AP451</f>
        <v>0</v>
      </c>
      <c r="BJ451" s="59">
        <f>G451*H451</f>
        <v>0</v>
      </c>
      <c r="BK451" s="59"/>
      <c r="BL451" s="59">
        <v>766</v>
      </c>
      <c r="BW451" s="59">
        <v>12</v>
      </c>
      <c r="BX451" s="16" t="s">
        <v>217</v>
      </c>
    </row>
    <row r="452" spans="1:76" x14ac:dyDescent="0.25">
      <c r="A452" s="62"/>
      <c r="D452" s="63" t="s">
        <v>176</v>
      </c>
      <c r="E452" s="63"/>
      <c r="G452" s="64">
        <v>12</v>
      </c>
      <c r="M452" s="65"/>
    </row>
    <row r="453" spans="1:76" ht="15" customHeight="1" x14ac:dyDescent="0.25">
      <c r="A453" s="58" t="s">
        <v>641</v>
      </c>
      <c r="B453" s="18" t="s">
        <v>488</v>
      </c>
      <c r="C453" s="18" t="s">
        <v>222</v>
      </c>
      <c r="D453" s="8" t="s">
        <v>223</v>
      </c>
      <c r="E453" s="8"/>
      <c r="F453" s="18" t="s">
        <v>224</v>
      </c>
      <c r="G453" s="59">
        <v>1.859</v>
      </c>
      <c r="H453" s="59">
        <v>0</v>
      </c>
      <c r="I453" s="59">
        <f>ROUND(G453*H453,2)</f>
        <v>0</v>
      </c>
      <c r="J453" s="59">
        <v>0</v>
      </c>
      <c r="K453" s="59">
        <v>0</v>
      </c>
      <c r="L453" s="59">
        <f>G453*K453</f>
        <v>0</v>
      </c>
      <c r="M453" s="60" t="s">
        <v>115</v>
      </c>
      <c r="Z453" s="59">
        <f>ROUND(IF(AQ453="5",BJ453,0),2)</f>
        <v>0</v>
      </c>
      <c r="AB453" s="59">
        <f>ROUND(IF(AQ453="1",BH453,0),2)</f>
        <v>0</v>
      </c>
      <c r="AC453" s="59">
        <f>ROUND(IF(AQ453="1",BI453,0),2)</f>
        <v>0</v>
      </c>
      <c r="AD453" s="59">
        <f>ROUND(IF(AQ453="7",BH453,0),2)</f>
        <v>0</v>
      </c>
      <c r="AE453" s="59">
        <f>ROUND(IF(AQ453="7",BI453,0),2)</f>
        <v>0</v>
      </c>
      <c r="AF453" s="59">
        <f>ROUND(IF(AQ453="2",BH453,0),2)</f>
        <v>0</v>
      </c>
      <c r="AG453" s="59">
        <f>ROUND(IF(AQ453="2",BI453,0),2)</f>
        <v>0</v>
      </c>
      <c r="AH453" s="59">
        <f>ROUND(IF(AQ453="0",BJ453,0),2)</f>
        <v>0</v>
      </c>
      <c r="AI453" s="46" t="s">
        <v>488</v>
      </c>
      <c r="AJ453" s="59">
        <f>IF(AN453=0,I453,0)</f>
        <v>0</v>
      </c>
      <c r="AK453" s="59">
        <f>IF(AN453=12,I453,0)</f>
        <v>0</v>
      </c>
      <c r="AL453" s="59">
        <f>IF(AN453=21,I453,0)</f>
        <v>0</v>
      </c>
      <c r="AN453" s="59">
        <v>12</v>
      </c>
      <c r="AO453" s="59">
        <f>H453*0</f>
        <v>0</v>
      </c>
      <c r="AP453" s="59">
        <f>H453*(1-0)</f>
        <v>0</v>
      </c>
      <c r="AQ453" s="61" t="s">
        <v>137</v>
      </c>
      <c r="AV453" s="59">
        <f>ROUND(AW453+AX453,2)</f>
        <v>0</v>
      </c>
      <c r="AW453" s="59">
        <f>ROUND(G453*AO453,2)</f>
        <v>0</v>
      </c>
      <c r="AX453" s="59">
        <f>ROUND(G453*AP453,2)</f>
        <v>0</v>
      </c>
      <c r="AY453" s="61" t="s">
        <v>187</v>
      </c>
      <c r="AZ453" s="61" t="s">
        <v>496</v>
      </c>
      <c r="BA453" s="46" t="s">
        <v>491</v>
      </c>
      <c r="BC453" s="59">
        <f>AW453+AX453</f>
        <v>0</v>
      </c>
      <c r="BD453" s="59">
        <f>H453/(100-BE453)*100</f>
        <v>0</v>
      </c>
      <c r="BE453" s="59">
        <v>0</v>
      </c>
      <c r="BF453" s="59">
        <f>L453</f>
        <v>0</v>
      </c>
      <c r="BH453" s="59">
        <f>G453*AO453</f>
        <v>0</v>
      </c>
      <c r="BI453" s="59">
        <f>G453*AP453</f>
        <v>0</v>
      </c>
      <c r="BJ453" s="59">
        <f>G453*H453</f>
        <v>0</v>
      </c>
      <c r="BK453" s="59"/>
      <c r="BL453" s="59">
        <v>766</v>
      </c>
      <c r="BW453" s="59">
        <v>12</v>
      </c>
      <c r="BX453" s="16" t="s">
        <v>223</v>
      </c>
    </row>
    <row r="454" spans="1:76" ht="15" customHeight="1" x14ac:dyDescent="0.25">
      <c r="A454" s="54"/>
      <c r="B454" s="55" t="s">
        <v>488</v>
      </c>
      <c r="C454" s="55" t="s">
        <v>397</v>
      </c>
      <c r="D454" s="104" t="s">
        <v>398</v>
      </c>
      <c r="E454" s="104"/>
      <c r="F454" s="56" t="s">
        <v>88</v>
      </c>
      <c r="G454" s="56" t="s">
        <v>88</v>
      </c>
      <c r="H454" s="56" t="s">
        <v>88</v>
      </c>
      <c r="I454" s="39">
        <f>SUM(I455)</f>
        <v>0</v>
      </c>
      <c r="J454" s="46"/>
      <c r="K454" s="46"/>
      <c r="L454" s="39">
        <f>SUM(L455)</f>
        <v>0.261324</v>
      </c>
      <c r="M454" s="57"/>
      <c r="AI454" s="46" t="s">
        <v>488</v>
      </c>
      <c r="AS454" s="39">
        <f>SUM(AJ455)</f>
        <v>0</v>
      </c>
      <c r="AT454" s="39">
        <f>SUM(AK455)</f>
        <v>0</v>
      </c>
      <c r="AU454" s="39">
        <f>SUM(AL455)</f>
        <v>0</v>
      </c>
    </row>
    <row r="455" spans="1:76" ht="15" customHeight="1" x14ac:dyDescent="0.25">
      <c r="A455" s="58" t="s">
        <v>642</v>
      </c>
      <c r="B455" s="18" t="s">
        <v>488</v>
      </c>
      <c r="C455" s="18" t="s">
        <v>399</v>
      </c>
      <c r="D455" s="8" t="s">
        <v>400</v>
      </c>
      <c r="E455" s="8"/>
      <c r="F455" s="18" t="s">
        <v>114</v>
      </c>
      <c r="G455" s="59">
        <v>24.4</v>
      </c>
      <c r="H455" s="59">
        <v>0</v>
      </c>
      <c r="I455" s="59">
        <f>ROUND(G455*H455,2)</f>
        <v>0</v>
      </c>
      <c r="J455" s="59">
        <v>1.0710000000000001E-2</v>
      </c>
      <c r="K455" s="59">
        <v>1.0710000000000001E-2</v>
      </c>
      <c r="L455" s="59">
        <f>G455*K455</f>
        <v>0.261324</v>
      </c>
      <c r="M455" s="60" t="s">
        <v>115</v>
      </c>
      <c r="Z455" s="59">
        <f>ROUND(IF(AQ455="5",BJ455,0),2)</f>
        <v>0</v>
      </c>
      <c r="AB455" s="59">
        <f>ROUND(IF(AQ455="1",BH455,0),2)</f>
        <v>0</v>
      </c>
      <c r="AC455" s="59">
        <f>ROUND(IF(AQ455="1",BI455,0),2)</f>
        <v>0</v>
      </c>
      <c r="AD455" s="59">
        <f>ROUND(IF(AQ455="7",BH455,0),2)</f>
        <v>0</v>
      </c>
      <c r="AE455" s="59">
        <f>ROUND(IF(AQ455="7",BI455,0),2)</f>
        <v>0</v>
      </c>
      <c r="AF455" s="59">
        <f>ROUND(IF(AQ455="2",BH455,0),2)</f>
        <v>0</v>
      </c>
      <c r="AG455" s="59">
        <f>ROUND(IF(AQ455="2",BI455,0),2)</f>
        <v>0</v>
      </c>
      <c r="AH455" s="59">
        <f>ROUND(IF(AQ455="0",BJ455,0),2)</f>
        <v>0</v>
      </c>
      <c r="AI455" s="46" t="s">
        <v>488</v>
      </c>
      <c r="AJ455" s="59">
        <f>IF(AN455=0,I455,0)</f>
        <v>0</v>
      </c>
      <c r="AK455" s="59">
        <f>IF(AN455=12,I455,0)</f>
        <v>0</v>
      </c>
      <c r="AL455" s="59">
        <f>IF(AN455=21,I455,0)</f>
        <v>0</v>
      </c>
      <c r="AN455" s="59">
        <v>12</v>
      </c>
      <c r="AO455" s="59">
        <f>H455*0.791824982</f>
        <v>0</v>
      </c>
      <c r="AP455" s="59">
        <f>H455*(1-0.791824982)</f>
        <v>0</v>
      </c>
      <c r="AQ455" s="61" t="s">
        <v>150</v>
      </c>
      <c r="AV455" s="59">
        <f>ROUND(AW455+AX455,2)</f>
        <v>0</v>
      </c>
      <c r="AW455" s="59">
        <f>ROUND(G455*AO455,2)</f>
        <v>0</v>
      </c>
      <c r="AX455" s="59">
        <f>ROUND(G455*AP455,2)</f>
        <v>0</v>
      </c>
      <c r="AY455" s="61" t="s">
        <v>401</v>
      </c>
      <c r="AZ455" s="61" t="s">
        <v>500</v>
      </c>
      <c r="BA455" s="46" t="s">
        <v>491</v>
      </c>
      <c r="BC455" s="59">
        <f>AW455+AX455</f>
        <v>0</v>
      </c>
      <c r="BD455" s="59">
        <f>H455/(100-BE455)*100</f>
        <v>0</v>
      </c>
      <c r="BE455" s="59">
        <v>0</v>
      </c>
      <c r="BF455" s="59">
        <f>L455</f>
        <v>0.261324</v>
      </c>
      <c r="BH455" s="59">
        <f>G455*AO455</f>
        <v>0</v>
      </c>
      <c r="BI455" s="59">
        <f>G455*AP455</f>
        <v>0</v>
      </c>
      <c r="BJ455" s="59">
        <f>G455*H455</f>
        <v>0</v>
      </c>
      <c r="BK455" s="59"/>
      <c r="BL455" s="59">
        <v>777</v>
      </c>
      <c r="BW455" s="59">
        <v>12</v>
      </c>
      <c r="BX455" s="16" t="s">
        <v>400</v>
      </c>
    </row>
    <row r="456" spans="1:76" x14ac:dyDescent="0.25">
      <c r="A456" s="62"/>
      <c r="D456" s="63" t="s">
        <v>403</v>
      </c>
      <c r="E456" s="63"/>
      <c r="G456" s="64">
        <v>24.4</v>
      </c>
      <c r="M456" s="65"/>
    </row>
    <row r="457" spans="1:76" ht="15" customHeight="1" x14ac:dyDescent="0.25">
      <c r="A457" s="54"/>
      <c r="B457" s="55" t="s">
        <v>488</v>
      </c>
      <c r="C457" s="55" t="s">
        <v>225</v>
      </c>
      <c r="D457" s="104" t="s">
        <v>226</v>
      </c>
      <c r="E457" s="104"/>
      <c r="F457" s="56" t="s">
        <v>88</v>
      </c>
      <c r="G457" s="56" t="s">
        <v>88</v>
      </c>
      <c r="H457" s="56" t="s">
        <v>88</v>
      </c>
      <c r="I457" s="39">
        <f>SUM(I458:I466)</f>
        <v>0</v>
      </c>
      <c r="J457" s="46"/>
      <c r="K457" s="46"/>
      <c r="L457" s="39">
        <f>SUM(L458:L466)</f>
        <v>1.7443960000000001E-2</v>
      </c>
      <c r="M457" s="57"/>
      <c r="AI457" s="46" t="s">
        <v>488</v>
      </c>
      <c r="AS457" s="39">
        <f>SUM(AJ458:AJ466)</f>
        <v>0</v>
      </c>
      <c r="AT457" s="39">
        <f>SUM(AK458:AK466)</f>
        <v>0</v>
      </c>
      <c r="AU457" s="39">
        <f>SUM(AL458:AL466)</f>
        <v>0</v>
      </c>
    </row>
    <row r="458" spans="1:76" ht="15" customHeight="1" x14ac:dyDescent="0.25">
      <c r="A458" s="58" t="s">
        <v>643</v>
      </c>
      <c r="B458" s="18" t="s">
        <v>488</v>
      </c>
      <c r="C458" s="18" t="s">
        <v>228</v>
      </c>
      <c r="D458" s="8" t="s">
        <v>229</v>
      </c>
      <c r="E458" s="8"/>
      <c r="F458" s="18" t="s">
        <v>114</v>
      </c>
      <c r="G458" s="59">
        <v>6.1539999999999999</v>
      </c>
      <c r="H458" s="59">
        <v>0</v>
      </c>
      <c r="I458" s="59">
        <f>ROUND(G458*H458,2)</f>
        <v>0</v>
      </c>
      <c r="J458" s="59">
        <v>2.9E-4</v>
      </c>
      <c r="K458" s="59">
        <v>2.9E-4</v>
      </c>
      <c r="L458" s="59">
        <f>G458*K458</f>
        <v>1.78466E-3</v>
      </c>
      <c r="M458" s="60" t="s">
        <v>115</v>
      </c>
      <c r="Z458" s="59">
        <f>ROUND(IF(AQ458="5",BJ458,0),2)</f>
        <v>0</v>
      </c>
      <c r="AB458" s="59">
        <f>ROUND(IF(AQ458="1",BH458,0),2)</f>
        <v>0</v>
      </c>
      <c r="AC458" s="59">
        <f>ROUND(IF(AQ458="1",BI458,0),2)</f>
        <v>0</v>
      </c>
      <c r="AD458" s="59">
        <f>ROUND(IF(AQ458="7",BH458,0),2)</f>
        <v>0</v>
      </c>
      <c r="AE458" s="59">
        <f>ROUND(IF(AQ458="7",BI458,0),2)</f>
        <v>0</v>
      </c>
      <c r="AF458" s="59">
        <f>ROUND(IF(AQ458="2",BH458,0),2)</f>
        <v>0</v>
      </c>
      <c r="AG458" s="59">
        <f>ROUND(IF(AQ458="2",BI458,0),2)</f>
        <v>0</v>
      </c>
      <c r="AH458" s="59">
        <f>ROUND(IF(AQ458="0",BJ458,0),2)</f>
        <v>0</v>
      </c>
      <c r="AI458" s="46" t="s">
        <v>488</v>
      </c>
      <c r="AJ458" s="59">
        <f>IF(AN458=0,I458,0)</f>
        <v>0</v>
      </c>
      <c r="AK458" s="59">
        <f>IF(AN458=12,I458,0)</f>
        <v>0</v>
      </c>
      <c r="AL458" s="59">
        <f>IF(AN458=21,I458,0)</f>
        <v>0</v>
      </c>
      <c r="AN458" s="59">
        <v>12</v>
      </c>
      <c r="AO458" s="59">
        <f>H458*0.178147182</f>
        <v>0</v>
      </c>
      <c r="AP458" s="59">
        <f>H458*(1-0.178147182)</f>
        <v>0</v>
      </c>
      <c r="AQ458" s="61" t="s">
        <v>150</v>
      </c>
      <c r="AV458" s="59">
        <f>ROUND(AW458+AX458,2)</f>
        <v>0</v>
      </c>
      <c r="AW458" s="59">
        <f>ROUND(G458*AO458,2)</f>
        <v>0</v>
      </c>
      <c r="AX458" s="59">
        <f>ROUND(G458*AP458,2)</f>
        <v>0</v>
      </c>
      <c r="AY458" s="61" t="s">
        <v>230</v>
      </c>
      <c r="AZ458" s="61" t="s">
        <v>501</v>
      </c>
      <c r="BA458" s="46" t="s">
        <v>491</v>
      </c>
      <c r="BC458" s="59">
        <f>AW458+AX458</f>
        <v>0</v>
      </c>
      <c r="BD458" s="59">
        <f>H458/(100-BE458)*100</f>
        <v>0</v>
      </c>
      <c r="BE458" s="59">
        <v>0</v>
      </c>
      <c r="BF458" s="59">
        <f>L458</f>
        <v>1.78466E-3</v>
      </c>
      <c r="BH458" s="59">
        <f>G458*AO458</f>
        <v>0</v>
      </c>
      <c r="BI458" s="59">
        <f>G458*AP458</f>
        <v>0</v>
      </c>
      <c r="BJ458" s="59">
        <f>G458*H458</f>
        <v>0</v>
      </c>
      <c r="BK458" s="59"/>
      <c r="BL458" s="59">
        <v>783</v>
      </c>
      <c r="BW458" s="59">
        <v>12</v>
      </c>
      <c r="BX458" s="16" t="s">
        <v>229</v>
      </c>
    </row>
    <row r="459" spans="1:76" x14ac:dyDescent="0.25">
      <c r="A459" s="62"/>
      <c r="D459" s="63" t="s">
        <v>405</v>
      </c>
      <c r="E459" s="63"/>
      <c r="G459" s="64">
        <v>6.1539999999999999</v>
      </c>
      <c r="M459" s="65"/>
    </row>
    <row r="460" spans="1:76" ht="15" customHeight="1" x14ac:dyDescent="0.25">
      <c r="A460" s="58" t="s">
        <v>644</v>
      </c>
      <c r="B460" s="18" t="s">
        <v>488</v>
      </c>
      <c r="C460" s="18" t="s">
        <v>235</v>
      </c>
      <c r="D460" s="8" t="s">
        <v>236</v>
      </c>
      <c r="E460" s="8"/>
      <c r="F460" s="18" t="s">
        <v>114</v>
      </c>
      <c r="G460" s="59">
        <v>8.75</v>
      </c>
      <c r="H460" s="59">
        <v>0</v>
      </c>
      <c r="I460" s="59">
        <f>ROUND(G460*H460,2)</f>
        <v>0</v>
      </c>
      <c r="J460" s="59">
        <v>2.7E-4</v>
      </c>
      <c r="K460" s="59">
        <v>2.7E-4</v>
      </c>
      <c r="L460" s="59">
        <f>G460*K460</f>
        <v>2.3625E-3</v>
      </c>
      <c r="M460" s="60" t="s">
        <v>115</v>
      </c>
      <c r="Z460" s="59">
        <f>ROUND(IF(AQ460="5",BJ460,0),2)</f>
        <v>0</v>
      </c>
      <c r="AB460" s="59">
        <f>ROUND(IF(AQ460="1",BH460,0),2)</f>
        <v>0</v>
      </c>
      <c r="AC460" s="59">
        <f>ROUND(IF(AQ460="1",BI460,0),2)</f>
        <v>0</v>
      </c>
      <c r="AD460" s="59">
        <f>ROUND(IF(AQ460="7",BH460,0),2)</f>
        <v>0</v>
      </c>
      <c r="AE460" s="59">
        <f>ROUND(IF(AQ460="7",BI460,0),2)</f>
        <v>0</v>
      </c>
      <c r="AF460" s="59">
        <f>ROUND(IF(AQ460="2",BH460,0),2)</f>
        <v>0</v>
      </c>
      <c r="AG460" s="59">
        <f>ROUND(IF(AQ460="2",BI460,0),2)</f>
        <v>0</v>
      </c>
      <c r="AH460" s="59">
        <f>ROUND(IF(AQ460="0",BJ460,0),2)</f>
        <v>0</v>
      </c>
      <c r="AI460" s="46" t="s">
        <v>488</v>
      </c>
      <c r="AJ460" s="59">
        <f>IF(AN460=0,I460,0)</f>
        <v>0</v>
      </c>
      <c r="AK460" s="59">
        <f>IF(AN460=12,I460,0)</f>
        <v>0</v>
      </c>
      <c r="AL460" s="59">
        <f>IF(AN460=21,I460,0)</f>
        <v>0</v>
      </c>
      <c r="AN460" s="59">
        <v>12</v>
      </c>
      <c r="AO460" s="59">
        <f>H460*0.140415743</f>
        <v>0</v>
      </c>
      <c r="AP460" s="59">
        <f>H460*(1-0.140415743)</f>
        <v>0</v>
      </c>
      <c r="AQ460" s="61" t="s">
        <v>150</v>
      </c>
      <c r="AV460" s="59">
        <f>ROUND(AW460+AX460,2)</f>
        <v>0</v>
      </c>
      <c r="AW460" s="59">
        <f>ROUND(G460*AO460,2)</f>
        <v>0</v>
      </c>
      <c r="AX460" s="59">
        <f>ROUND(G460*AP460,2)</f>
        <v>0</v>
      </c>
      <c r="AY460" s="61" t="s">
        <v>230</v>
      </c>
      <c r="AZ460" s="61" t="s">
        <v>501</v>
      </c>
      <c r="BA460" s="46" t="s">
        <v>491</v>
      </c>
      <c r="BC460" s="59">
        <f>AW460+AX460</f>
        <v>0</v>
      </c>
      <c r="BD460" s="59">
        <f>H460/(100-BE460)*100</f>
        <v>0</v>
      </c>
      <c r="BE460" s="59">
        <v>0</v>
      </c>
      <c r="BF460" s="59">
        <f>L460</f>
        <v>2.3625E-3</v>
      </c>
      <c r="BH460" s="59">
        <f>G460*AO460</f>
        <v>0</v>
      </c>
      <c r="BI460" s="59">
        <f>G460*AP460</f>
        <v>0</v>
      </c>
      <c r="BJ460" s="59">
        <f>G460*H460</f>
        <v>0</v>
      </c>
      <c r="BK460" s="59"/>
      <c r="BL460" s="59">
        <v>783</v>
      </c>
      <c r="BW460" s="59">
        <v>12</v>
      </c>
      <c r="BX460" s="16" t="s">
        <v>236</v>
      </c>
    </row>
    <row r="461" spans="1:76" x14ac:dyDescent="0.25">
      <c r="A461" s="62"/>
      <c r="D461" s="63" t="s">
        <v>406</v>
      </c>
      <c r="E461" s="63"/>
      <c r="G461" s="64">
        <v>8.75</v>
      </c>
      <c r="M461" s="65"/>
    </row>
    <row r="462" spans="1:76" ht="15" customHeight="1" x14ac:dyDescent="0.25">
      <c r="A462" s="58" t="s">
        <v>645</v>
      </c>
      <c r="B462" s="18" t="s">
        <v>488</v>
      </c>
      <c r="C462" s="18" t="s">
        <v>407</v>
      </c>
      <c r="D462" s="8" t="s">
        <v>408</v>
      </c>
      <c r="E462" s="8"/>
      <c r="F462" s="18" t="s">
        <v>114</v>
      </c>
      <c r="G462" s="59">
        <v>30.22</v>
      </c>
      <c r="H462" s="59">
        <v>0</v>
      </c>
      <c r="I462" s="59">
        <f>ROUND(G462*H462,2)</f>
        <v>0</v>
      </c>
      <c r="J462" s="59">
        <v>3.6000000000000002E-4</v>
      </c>
      <c r="K462" s="59">
        <v>3.6000000000000002E-4</v>
      </c>
      <c r="L462" s="59">
        <f>G462*K462</f>
        <v>1.08792E-2</v>
      </c>
      <c r="M462" s="60" t="s">
        <v>115</v>
      </c>
      <c r="Z462" s="59">
        <f>ROUND(IF(AQ462="5",BJ462,0),2)</f>
        <v>0</v>
      </c>
      <c r="AB462" s="59">
        <f>ROUND(IF(AQ462="1",BH462,0),2)</f>
        <v>0</v>
      </c>
      <c r="AC462" s="59">
        <f>ROUND(IF(AQ462="1",BI462,0),2)</f>
        <v>0</v>
      </c>
      <c r="AD462" s="59">
        <f>ROUND(IF(AQ462="7",BH462,0),2)</f>
        <v>0</v>
      </c>
      <c r="AE462" s="59">
        <f>ROUND(IF(AQ462="7",BI462,0),2)</f>
        <v>0</v>
      </c>
      <c r="AF462" s="59">
        <f>ROUND(IF(AQ462="2",BH462,0),2)</f>
        <v>0</v>
      </c>
      <c r="AG462" s="59">
        <f>ROUND(IF(AQ462="2",BI462,0),2)</f>
        <v>0</v>
      </c>
      <c r="AH462" s="59">
        <f>ROUND(IF(AQ462="0",BJ462,0),2)</f>
        <v>0</v>
      </c>
      <c r="AI462" s="46" t="s">
        <v>488</v>
      </c>
      <c r="AJ462" s="59">
        <f>IF(AN462=0,I462,0)</f>
        <v>0</v>
      </c>
      <c r="AK462" s="59">
        <f>IF(AN462=12,I462,0)</f>
        <v>0</v>
      </c>
      <c r="AL462" s="59">
        <f>IF(AN462=21,I462,0)</f>
        <v>0</v>
      </c>
      <c r="AN462" s="59">
        <v>12</v>
      </c>
      <c r="AO462" s="59">
        <f>H462*0.23711537</f>
        <v>0</v>
      </c>
      <c r="AP462" s="59">
        <f>H462*(1-0.23711537)</f>
        <v>0</v>
      </c>
      <c r="AQ462" s="61" t="s">
        <v>150</v>
      </c>
      <c r="AV462" s="59">
        <f>ROUND(AW462+AX462,2)</f>
        <v>0</v>
      </c>
      <c r="AW462" s="59">
        <f>ROUND(G462*AO462,2)</f>
        <v>0</v>
      </c>
      <c r="AX462" s="59">
        <f>ROUND(G462*AP462,2)</f>
        <v>0</v>
      </c>
      <c r="AY462" s="61" t="s">
        <v>230</v>
      </c>
      <c r="AZ462" s="61" t="s">
        <v>501</v>
      </c>
      <c r="BA462" s="46" t="s">
        <v>491</v>
      </c>
      <c r="BC462" s="59">
        <f>AW462+AX462</f>
        <v>0</v>
      </c>
      <c r="BD462" s="59">
        <f>H462/(100-BE462)*100</f>
        <v>0</v>
      </c>
      <c r="BE462" s="59">
        <v>0</v>
      </c>
      <c r="BF462" s="59">
        <f>L462</f>
        <v>1.08792E-2</v>
      </c>
      <c r="BH462" s="59">
        <f>G462*AO462</f>
        <v>0</v>
      </c>
      <c r="BI462" s="59">
        <f>G462*AP462</f>
        <v>0</v>
      </c>
      <c r="BJ462" s="59">
        <f>G462*H462</f>
        <v>0</v>
      </c>
      <c r="BK462" s="59"/>
      <c r="BL462" s="59">
        <v>783</v>
      </c>
      <c r="BW462" s="59">
        <v>12</v>
      </c>
      <c r="BX462" s="16" t="s">
        <v>408</v>
      </c>
    </row>
    <row r="463" spans="1:76" x14ac:dyDescent="0.25">
      <c r="A463" s="62"/>
      <c r="D463" s="63" t="s">
        <v>410</v>
      </c>
      <c r="E463" s="63"/>
      <c r="G463" s="64">
        <v>30.22</v>
      </c>
      <c r="M463" s="65"/>
    </row>
    <row r="464" spans="1:76" ht="15" customHeight="1" x14ac:dyDescent="0.25">
      <c r="A464" s="58" t="s">
        <v>646</v>
      </c>
      <c r="B464" s="18" t="s">
        <v>488</v>
      </c>
      <c r="C464" s="18" t="s">
        <v>411</v>
      </c>
      <c r="D464" s="8" t="s">
        <v>412</v>
      </c>
      <c r="E464" s="8"/>
      <c r="F464" s="18" t="s">
        <v>114</v>
      </c>
      <c r="G464" s="59">
        <v>30.22</v>
      </c>
      <c r="H464" s="59">
        <v>0</v>
      </c>
      <c r="I464" s="59">
        <f>ROUND(G464*H464,2)</f>
        <v>0</v>
      </c>
      <c r="J464" s="59">
        <v>1.0000000000000001E-5</v>
      </c>
      <c r="K464" s="59">
        <v>1.0000000000000001E-5</v>
      </c>
      <c r="L464" s="59">
        <f>G464*K464</f>
        <v>3.0220000000000003E-4</v>
      </c>
      <c r="M464" s="60" t="s">
        <v>115</v>
      </c>
      <c r="Z464" s="59">
        <f>ROUND(IF(AQ464="5",BJ464,0),2)</f>
        <v>0</v>
      </c>
      <c r="AB464" s="59">
        <f>ROUND(IF(AQ464="1",BH464,0),2)</f>
        <v>0</v>
      </c>
      <c r="AC464" s="59">
        <f>ROUND(IF(AQ464="1",BI464,0),2)</f>
        <v>0</v>
      </c>
      <c r="AD464" s="59">
        <f>ROUND(IF(AQ464="7",BH464,0),2)</f>
        <v>0</v>
      </c>
      <c r="AE464" s="59">
        <f>ROUND(IF(AQ464="7",BI464,0),2)</f>
        <v>0</v>
      </c>
      <c r="AF464" s="59">
        <f>ROUND(IF(AQ464="2",BH464,0),2)</f>
        <v>0</v>
      </c>
      <c r="AG464" s="59">
        <f>ROUND(IF(AQ464="2",BI464,0),2)</f>
        <v>0</v>
      </c>
      <c r="AH464" s="59">
        <f>ROUND(IF(AQ464="0",BJ464,0),2)</f>
        <v>0</v>
      </c>
      <c r="AI464" s="46" t="s">
        <v>488</v>
      </c>
      <c r="AJ464" s="59">
        <f>IF(AN464=0,I464,0)</f>
        <v>0</v>
      </c>
      <c r="AK464" s="59">
        <f>IF(AN464=12,I464,0)</f>
        <v>0</v>
      </c>
      <c r="AL464" s="59">
        <f>IF(AN464=21,I464,0)</f>
        <v>0</v>
      </c>
      <c r="AN464" s="59">
        <v>12</v>
      </c>
      <c r="AO464" s="59">
        <f>H464*0.06128009</f>
        <v>0</v>
      </c>
      <c r="AP464" s="59">
        <f>H464*(1-0.06128009)</f>
        <v>0</v>
      </c>
      <c r="AQ464" s="61" t="s">
        <v>150</v>
      </c>
      <c r="AV464" s="59">
        <f>ROUND(AW464+AX464,2)</f>
        <v>0</v>
      </c>
      <c r="AW464" s="59">
        <f>ROUND(G464*AO464,2)</f>
        <v>0</v>
      </c>
      <c r="AX464" s="59">
        <f>ROUND(G464*AP464,2)</f>
        <v>0</v>
      </c>
      <c r="AY464" s="61" t="s">
        <v>230</v>
      </c>
      <c r="AZ464" s="61" t="s">
        <v>501</v>
      </c>
      <c r="BA464" s="46" t="s">
        <v>491</v>
      </c>
      <c r="BC464" s="59">
        <f>AW464+AX464</f>
        <v>0</v>
      </c>
      <c r="BD464" s="59">
        <f>H464/(100-BE464)*100</f>
        <v>0</v>
      </c>
      <c r="BE464" s="59">
        <v>0</v>
      </c>
      <c r="BF464" s="59">
        <f>L464</f>
        <v>3.0220000000000003E-4</v>
      </c>
      <c r="BH464" s="59">
        <f>G464*AO464</f>
        <v>0</v>
      </c>
      <c r="BI464" s="59">
        <f>G464*AP464</f>
        <v>0</v>
      </c>
      <c r="BJ464" s="59">
        <f>G464*H464</f>
        <v>0</v>
      </c>
      <c r="BK464" s="59"/>
      <c r="BL464" s="59">
        <v>783</v>
      </c>
      <c r="BW464" s="59">
        <v>12</v>
      </c>
      <c r="BX464" s="16" t="s">
        <v>412</v>
      </c>
    </row>
    <row r="465" spans="1:76" x14ac:dyDescent="0.25">
      <c r="A465" s="62"/>
      <c r="D465" s="63" t="s">
        <v>410</v>
      </c>
      <c r="E465" s="63"/>
      <c r="G465" s="64">
        <v>30.22</v>
      </c>
      <c r="M465" s="65"/>
    </row>
    <row r="466" spans="1:76" ht="15" customHeight="1" x14ac:dyDescent="0.25">
      <c r="A466" s="58" t="s">
        <v>647</v>
      </c>
      <c r="B466" s="18" t="s">
        <v>488</v>
      </c>
      <c r="C466" s="18" t="s">
        <v>414</v>
      </c>
      <c r="D466" s="8" t="s">
        <v>412</v>
      </c>
      <c r="E466" s="8"/>
      <c r="F466" s="18" t="s">
        <v>114</v>
      </c>
      <c r="G466" s="59">
        <v>30.22</v>
      </c>
      <c r="H466" s="59">
        <v>0</v>
      </c>
      <c r="I466" s="59">
        <f>ROUND(G466*H466,2)</f>
        <v>0</v>
      </c>
      <c r="J466" s="59">
        <v>6.9999999999999994E-5</v>
      </c>
      <c r="K466" s="59">
        <v>6.9999999999999994E-5</v>
      </c>
      <c r="L466" s="59">
        <f>G466*K466</f>
        <v>2.1153999999999999E-3</v>
      </c>
      <c r="M466" s="60" t="s">
        <v>115</v>
      </c>
      <c r="Z466" s="59">
        <f>ROUND(IF(AQ466="5",BJ466,0),2)</f>
        <v>0</v>
      </c>
      <c r="AB466" s="59">
        <f>ROUND(IF(AQ466="1",BH466,0),2)</f>
        <v>0</v>
      </c>
      <c r="AC466" s="59">
        <f>ROUND(IF(AQ466="1",BI466,0),2)</f>
        <v>0</v>
      </c>
      <c r="AD466" s="59">
        <f>ROUND(IF(AQ466="7",BH466,0),2)</f>
        <v>0</v>
      </c>
      <c r="AE466" s="59">
        <f>ROUND(IF(AQ466="7",BI466,0),2)</f>
        <v>0</v>
      </c>
      <c r="AF466" s="59">
        <f>ROUND(IF(AQ466="2",BH466,0),2)</f>
        <v>0</v>
      </c>
      <c r="AG466" s="59">
        <f>ROUND(IF(AQ466="2",BI466,0),2)</f>
        <v>0</v>
      </c>
      <c r="AH466" s="59">
        <f>ROUND(IF(AQ466="0",BJ466,0),2)</f>
        <v>0</v>
      </c>
      <c r="AI466" s="46" t="s">
        <v>488</v>
      </c>
      <c r="AJ466" s="59">
        <f>IF(AN466=0,I466,0)</f>
        <v>0</v>
      </c>
      <c r="AK466" s="59">
        <f>IF(AN466=12,I466,0)</f>
        <v>0</v>
      </c>
      <c r="AL466" s="59">
        <f>IF(AN466=21,I466,0)</f>
        <v>0</v>
      </c>
      <c r="AN466" s="59">
        <v>12</v>
      </c>
      <c r="AO466" s="59">
        <f>H466*0.091915035</f>
        <v>0</v>
      </c>
      <c r="AP466" s="59">
        <f>H466*(1-0.091915035)</f>
        <v>0</v>
      </c>
      <c r="AQ466" s="61" t="s">
        <v>150</v>
      </c>
      <c r="AV466" s="59">
        <f>ROUND(AW466+AX466,2)</f>
        <v>0</v>
      </c>
      <c r="AW466" s="59">
        <f>ROUND(G466*AO466,2)</f>
        <v>0</v>
      </c>
      <c r="AX466" s="59">
        <f>ROUND(G466*AP466,2)</f>
        <v>0</v>
      </c>
      <c r="AY466" s="61" t="s">
        <v>230</v>
      </c>
      <c r="AZ466" s="61" t="s">
        <v>501</v>
      </c>
      <c r="BA466" s="46" t="s">
        <v>491</v>
      </c>
      <c r="BC466" s="59">
        <f>AW466+AX466</f>
        <v>0</v>
      </c>
      <c r="BD466" s="59">
        <f>H466/(100-BE466)*100</f>
        <v>0</v>
      </c>
      <c r="BE466" s="59">
        <v>0</v>
      </c>
      <c r="BF466" s="59">
        <f>L466</f>
        <v>2.1153999999999999E-3</v>
      </c>
      <c r="BH466" s="59">
        <f>G466*AO466</f>
        <v>0</v>
      </c>
      <c r="BI466" s="59">
        <f>G466*AP466</f>
        <v>0</v>
      </c>
      <c r="BJ466" s="59">
        <f>G466*H466</f>
        <v>0</v>
      </c>
      <c r="BK466" s="59"/>
      <c r="BL466" s="59">
        <v>783</v>
      </c>
      <c r="BW466" s="59">
        <v>12</v>
      </c>
      <c r="BX466" s="16" t="s">
        <v>412</v>
      </c>
    </row>
    <row r="467" spans="1:76" x14ac:dyDescent="0.25">
      <c r="A467" s="62"/>
      <c r="D467" s="63" t="s">
        <v>410</v>
      </c>
      <c r="E467" s="63"/>
      <c r="G467" s="64">
        <v>30.22</v>
      </c>
      <c r="M467" s="65"/>
    </row>
    <row r="468" spans="1:76" ht="15" customHeight="1" x14ac:dyDescent="0.25">
      <c r="A468" s="54"/>
      <c r="B468" s="55" t="s">
        <v>488</v>
      </c>
      <c r="C468" s="55" t="s">
        <v>239</v>
      </c>
      <c r="D468" s="104" t="s">
        <v>240</v>
      </c>
      <c r="E468" s="104"/>
      <c r="F468" s="56" t="s">
        <v>88</v>
      </c>
      <c r="G468" s="56" t="s">
        <v>88</v>
      </c>
      <c r="H468" s="56" t="s">
        <v>88</v>
      </c>
      <c r="I468" s="39">
        <f>SUM(I469:I473)</f>
        <v>0</v>
      </c>
      <c r="J468" s="46"/>
      <c r="K468" s="46"/>
      <c r="L468" s="39">
        <f>SUM(L469:L473)</f>
        <v>0.11591559999999999</v>
      </c>
      <c r="M468" s="57"/>
      <c r="AI468" s="46" t="s">
        <v>488</v>
      </c>
      <c r="AS468" s="39">
        <f>SUM(AJ469:AJ473)</f>
        <v>0</v>
      </c>
      <c r="AT468" s="39">
        <f>SUM(AK469:AK473)</f>
        <v>0</v>
      </c>
      <c r="AU468" s="39">
        <f>SUM(AL469:AL473)</f>
        <v>0</v>
      </c>
    </row>
    <row r="469" spans="1:76" ht="15" customHeight="1" x14ac:dyDescent="0.25">
      <c r="A469" s="58" t="s">
        <v>648</v>
      </c>
      <c r="B469" s="18" t="s">
        <v>488</v>
      </c>
      <c r="C469" s="18" t="s">
        <v>242</v>
      </c>
      <c r="D469" s="8" t="s">
        <v>243</v>
      </c>
      <c r="E469" s="8"/>
      <c r="F469" s="18" t="s">
        <v>114</v>
      </c>
      <c r="G469" s="59">
        <v>256.68</v>
      </c>
      <c r="H469" s="59">
        <v>0</v>
      </c>
      <c r="I469" s="59">
        <f>ROUND(G469*H469,2)</f>
        <v>0</v>
      </c>
      <c r="J469" s="59">
        <v>3.5E-4</v>
      </c>
      <c r="K469" s="59">
        <v>3.5E-4</v>
      </c>
      <c r="L469" s="59">
        <f>G469*K469</f>
        <v>8.9838000000000001E-2</v>
      </c>
      <c r="M469" s="60" t="s">
        <v>115</v>
      </c>
      <c r="Z469" s="59">
        <f>ROUND(IF(AQ469="5",BJ469,0),2)</f>
        <v>0</v>
      </c>
      <c r="AB469" s="59">
        <f>ROUND(IF(AQ469="1",BH469,0),2)</f>
        <v>0</v>
      </c>
      <c r="AC469" s="59">
        <f>ROUND(IF(AQ469="1",BI469,0),2)</f>
        <v>0</v>
      </c>
      <c r="AD469" s="59">
        <f>ROUND(IF(AQ469="7",BH469,0),2)</f>
        <v>0</v>
      </c>
      <c r="AE469" s="59">
        <f>ROUND(IF(AQ469="7",BI469,0),2)</f>
        <v>0</v>
      </c>
      <c r="AF469" s="59">
        <f>ROUND(IF(AQ469="2",BH469,0),2)</f>
        <v>0</v>
      </c>
      <c r="AG469" s="59">
        <f>ROUND(IF(AQ469="2",BI469,0),2)</f>
        <v>0</v>
      </c>
      <c r="AH469" s="59">
        <f>ROUND(IF(AQ469="0",BJ469,0),2)</f>
        <v>0</v>
      </c>
      <c r="AI469" s="46" t="s">
        <v>488</v>
      </c>
      <c r="AJ469" s="59">
        <f>IF(AN469=0,I469,0)</f>
        <v>0</v>
      </c>
      <c r="AK469" s="59">
        <f>IF(AN469=12,I469,0)</f>
        <v>0</v>
      </c>
      <c r="AL469" s="59">
        <f>IF(AN469=21,I469,0)</f>
        <v>0</v>
      </c>
      <c r="AN469" s="59">
        <v>12</v>
      </c>
      <c r="AO469" s="59">
        <f>H469*0.577223798</f>
        <v>0</v>
      </c>
      <c r="AP469" s="59">
        <f>H469*(1-0.577223798)</f>
        <v>0</v>
      </c>
      <c r="AQ469" s="61" t="s">
        <v>150</v>
      </c>
      <c r="AV469" s="59">
        <f>ROUND(AW469+AX469,2)</f>
        <v>0</v>
      </c>
      <c r="AW469" s="59">
        <f>ROUND(G469*AO469,2)</f>
        <v>0</v>
      </c>
      <c r="AX469" s="59">
        <f>ROUND(G469*AP469,2)</f>
        <v>0</v>
      </c>
      <c r="AY469" s="61" t="s">
        <v>244</v>
      </c>
      <c r="AZ469" s="61" t="s">
        <v>501</v>
      </c>
      <c r="BA469" s="46" t="s">
        <v>491</v>
      </c>
      <c r="BC469" s="59">
        <f>AW469+AX469</f>
        <v>0</v>
      </c>
      <c r="BD469" s="59">
        <f>H469/(100-BE469)*100</f>
        <v>0</v>
      </c>
      <c r="BE469" s="59">
        <v>0</v>
      </c>
      <c r="BF469" s="59">
        <f>L469</f>
        <v>8.9838000000000001E-2</v>
      </c>
      <c r="BH469" s="59">
        <f>G469*AO469</f>
        <v>0</v>
      </c>
      <c r="BI469" s="59">
        <f>G469*AP469</f>
        <v>0</v>
      </c>
      <c r="BJ469" s="59">
        <f>G469*H469</f>
        <v>0</v>
      </c>
      <c r="BK469" s="59"/>
      <c r="BL469" s="59">
        <v>784</v>
      </c>
      <c r="BW469" s="59">
        <v>12</v>
      </c>
      <c r="BX469" s="16" t="s">
        <v>243</v>
      </c>
    </row>
    <row r="470" spans="1:76" x14ac:dyDescent="0.25">
      <c r="A470" s="62"/>
      <c r="D470" s="63" t="s">
        <v>416</v>
      </c>
      <c r="E470" s="63"/>
      <c r="G470" s="64">
        <v>256.68</v>
      </c>
      <c r="M470" s="65"/>
    </row>
    <row r="471" spans="1:76" ht="15" customHeight="1" x14ac:dyDescent="0.25">
      <c r="A471" s="58" t="s">
        <v>649</v>
      </c>
      <c r="B471" s="18" t="s">
        <v>488</v>
      </c>
      <c r="C471" s="18" t="s">
        <v>249</v>
      </c>
      <c r="D471" s="8" t="s">
        <v>250</v>
      </c>
      <c r="E471" s="8"/>
      <c r="F471" s="18" t="s">
        <v>114</v>
      </c>
      <c r="G471" s="59">
        <v>27.2</v>
      </c>
      <c r="H471" s="59">
        <v>0</v>
      </c>
      <c r="I471" s="59">
        <f>ROUND(G471*H471,2)</f>
        <v>0</v>
      </c>
      <c r="J471" s="59">
        <v>7.6999999999999996E-4</v>
      </c>
      <c r="K471" s="59">
        <v>7.6999999999999996E-4</v>
      </c>
      <c r="L471" s="59">
        <f>G471*K471</f>
        <v>2.0943999999999997E-2</v>
      </c>
      <c r="M471" s="60" t="s">
        <v>115</v>
      </c>
      <c r="Z471" s="59">
        <f>ROUND(IF(AQ471="5",BJ471,0),2)</f>
        <v>0</v>
      </c>
      <c r="AB471" s="59">
        <f>ROUND(IF(AQ471="1",BH471,0),2)</f>
        <v>0</v>
      </c>
      <c r="AC471" s="59">
        <f>ROUND(IF(AQ471="1",BI471,0),2)</f>
        <v>0</v>
      </c>
      <c r="AD471" s="59">
        <f>ROUND(IF(AQ471="7",BH471,0),2)</f>
        <v>0</v>
      </c>
      <c r="AE471" s="59">
        <f>ROUND(IF(AQ471="7",BI471,0),2)</f>
        <v>0</v>
      </c>
      <c r="AF471" s="59">
        <f>ROUND(IF(AQ471="2",BH471,0),2)</f>
        <v>0</v>
      </c>
      <c r="AG471" s="59">
        <f>ROUND(IF(AQ471="2",BI471,0),2)</f>
        <v>0</v>
      </c>
      <c r="AH471" s="59">
        <f>ROUND(IF(AQ471="0",BJ471,0),2)</f>
        <v>0</v>
      </c>
      <c r="AI471" s="46" t="s">
        <v>488</v>
      </c>
      <c r="AJ471" s="59">
        <f>IF(AN471=0,I471,0)</f>
        <v>0</v>
      </c>
      <c r="AK471" s="59">
        <f>IF(AN471=12,I471,0)</f>
        <v>0</v>
      </c>
      <c r="AL471" s="59">
        <f>IF(AN471=21,I471,0)</f>
        <v>0</v>
      </c>
      <c r="AN471" s="59">
        <v>12</v>
      </c>
      <c r="AO471" s="59">
        <f>H471*0.248888305</f>
        <v>0</v>
      </c>
      <c r="AP471" s="59">
        <f>H471*(1-0.248888305)</f>
        <v>0</v>
      </c>
      <c r="AQ471" s="61" t="s">
        <v>150</v>
      </c>
      <c r="AV471" s="59">
        <f>ROUND(AW471+AX471,2)</f>
        <v>0</v>
      </c>
      <c r="AW471" s="59">
        <f>ROUND(G471*AO471,2)</f>
        <v>0</v>
      </c>
      <c r="AX471" s="59">
        <f>ROUND(G471*AP471,2)</f>
        <v>0</v>
      </c>
      <c r="AY471" s="61" t="s">
        <v>244</v>
      </c>
      <c r="AZ471" s="61" t="s">
        <v>501</v>
      </c>
      <c r="BA471" s="46" t="s">
        <v>491</v>
      </c>
      <c r="BC471" s="59">
        <f>AW471+AX471</f>
        <v>0</v>
      </c>
      <c r="BD471" s="59">
        <f>H471/(100-BE471)*100</f>
        <v>0</v>
      </c>
      <c r="BE471" s="59">
        <v>0</v>
      </c>
      <c r="BF471" s="59">
        <f>L471</f>
        <v>2.0943999999999997E-2</v>
      </c>
      <c r="BH471" s="59">
        <f>G471*AO471</f>
        <v>0</v>
      </c>
      <c r="BI471" s="59">
        <f>G471*AP471</f>
        <v>0</v>
      </c>
      <c r="BJ471" s="59">
        <f>G471*H471</f>
        <v>0</v>
      </c>
      <c r="BK471" s="59"/>
      <c r="BL471" s="59">
        <v>784</v>
      </c>
      <c r="BW471" s="59">
        <v>12</v>
      </c>
      <c r="BX471" s="16" t="s">
        <v>250</v>
      </c>
    </row>
    <row r="472" spans="1:76" x14ac:dyDescent="0.25">
      <c r="A472" s="62"/>
      <c r="D472" s="63" t="s">
        <v>502</v>
      </c>
      <c r="E472" s="63"/>
      <c r="G472" s="64">
        <v>27.2</v>
      </c>
      <c r="M472" s="65"/>
    </row>
    <row r="473" spans="1:76" ht="15" customHeight="1" x14ac:dyDescent="0.25">
      <c r="A473" s="58" t="s">
        <v>650</v>
      </c>
      <c r="B473" s="18" t="s">
        <v>488</v>
      </c>
      <c r="C473" s="18" t="s">
        <v>254</v>
      </c>
      <c r="D473" s="8" t="s">
        <v>255</v>
      </c>
      <c r="E473" s="8"/>
      <c r="F473" s="18" t="s">
        <v>114</v>
      </c>
      <c r="G473" s="59">
        <v>513.36</v>
      </c>
      <c r="H473" s="59">
        <v>0</v>
      </c>
      <c r="I473" s="59">
        <f>ROUND(G473*H473,2)</f>
        <v>0</v>
      </c>
      <c r="J473" s="59">
        <v>1.0000000000000001E-5</v>
      </c>
      <c r="K473" s="59">
        <v>1.0000000000000001E-5</v>
      </c>
      <c r="L473" s="59">
        <f>G473*K473</f>
        <v>5.1336000000000003E-3</v>
      </c>
      <c r="M473" s="60" t="s">
        <v>115</v>
      </c>
      <c r="Z473" s="59">
        <f>ROUND(IF(AQ473="5",BJ473,0),2)</f>
        <v>0</v>
      </c>
      <c r="AB473" s="59">
        <f>ROUND(IF(AQ473="1",BH473,0),2)</f>
        <v>0</v>
      </c>
      <c r="AC473" s="59">
        <f>ROUND(IF(AQ473="1",BI473,0),2)</f>
        <v>0</v>
      </c>
      <c r="AD473" s="59">
        <f>ROUND(IF(AQ473="7",BH473,0),2)</f>
        <v>0</v>
      </c>
      <c r="AE473" s="59">
        <f>ROUND(IF(AQ473="7",BI473,0),2)</f>
        <v>0</v>
      </c>
      <c r="AF473" s="59">
        <f>ROUND(IF(AQ473="2",BH473,0),2)</f>
        <v>0</v>
      </c>
      <c r="AG473" s="59">
        <f>ROUND(IF(AQ473="2",BI473,0),2)</f>
        <v>0</v>
      </c>
      <c r="AH473" s="59">
        <f>ROUND(IF(AQ473="0",BJ473,0),2)</f>
        <v>0</v>
      </c>
      <c r="AI473" s="46" t="s">
        <v>488</v>
      </c>
      <c r="AJ473" s="59">
        <f>IF(AN473=0,I473,0)</f>
        <v>0</v>
      </c>
      <c r="AK473" s="59">
        <f>IF(AN473=12,I473,0)</f>
        <v>0</v>
      </c>
      <c r="AL473" s="59">
        <f>IF(AN473=21,I473,0)</f>
        <v>0</v>
      </c>
      <c r="AN473" s="59">
        <v>12</v>
      </c>
      <c r="AO473" s="59">
        <f>H473*0.236832231</f>
        <v>0</v>
      </c>
      <c r="AP473" s="59">
        <f>H473*(1-0.236832231)</f>
        <v>0</v>
      </c>
      <c r="AQ473" s="61" t="s">
        <v>150</v>
      </c>
      <c r="AV473" s="59">
        <f>ROUND(AW473+AX473,2)</f>
        <v>0</v>
      </c>
      <c r="AW473" s="59">
        <f>ROUND(G473*AO473,2)</f>
        <v>0</v>
      </c>
      <c r="AX473" s="59">
        <f>ROUND(G473*AP473,2)</f>
        <v>0</v>
      </c>
      <c r="AY473" s="61" t="s">
        <v>244</v>
      </c>
      <c r="AZ473" s="61" t="s">
        <v>501</v>
      </c>
      <c r="BA473" s="46" t="s">
        <v>491</v>
      </c>
      <c r="BC473" s="59">
        <f>AW473+AX473</f>
        <v>0</v>
      </c>
      <c r="BD473" s="59">
        <f>H473/(100-BE473)*100</f>
        <v>0</v>
      </c>
      <c r="BE473" s="59">
        <v>0</v>
      </c>
      <c r="BF473" s="59">
        <f>L473</f>
        <v>5.1336000000000003E-3</v>
      </c>
      <c r="BH473" s="59">
        <f>G473*AO473</f>
        <v>0</v>
      </c>
      <c r="BI473" s="59">
        <f>G473*AP473</f>
        <v>0</v>
      </c>
      <c r="BJ473" s="59">
        <f>G473*H473</f>
        <v>0</v>
      </c>
      <c r="BK473" s="59"/>
      <c r="BL473" s="59">
        <v>784</v>
      </c>
      <c r="BW473" s="59">
        <v>12</v>
      </c>
      <c r="BX473" s="16" t="s">
        <v>255</v>
      </c>
    </row>
    <row r="474" spans="1:76" x14ac:dyDescent="0.25">
      <c r="A474" s="62"/>
      <c r="D474" s="63" t="s">
        <v>418</v>
      </c>
      <c r="E474" s="63"/>
      <c r="G474" s="64">
        <v>513.36</v>
      </c>
      <c r="M474" s="65"/>
    </row>
    <row r="475" spans="1:76" ht="15" customHeight="1" x14ac:dyDescent="0.25">
      <c r="A475" s="54"/>
      <c r="B475" s="55" t="s">
        <v>488</v>
      </c>
      <c r="C475" s="55" t="s">
        <v>259</v>
      </c>
      <c r="D475" s="104" t="s">
        <v>260</v>
      </c>
      <c r="E475" s="104"/>
      <c r="F475" s="56" t="s">
        <v>88</v>
      </c>
      <c r="G475" s="56" t="s">
        <v>88</v>
      </c>
      <c r="H475" s="56" t="s">
        <v>88</v>
      </c>
      <c r="I475" s="39">
        <f>SUM(I476)</f>
        <v>0</v>
      </c>
      <c r="J475" s="46"/>
      <c r="K475" s="46"/>
      <c r="L475" s="39">
        <f>SUM(L476)</f>
        <v>8.2512000000000002E-2</v>
      </c>
      <c r="M475" s="57"/>
      <c r="AI475" s="46" t="s">
        <v>488</v>
      </c>
      <c r="AS475" s="39">
        <f>SUM(AJ476)</f>
        <v>0</v>
      </c>
      <c r="AT475" s="39">
        <f>SUM(AK476)</f>
        <v>0</v>
      </c>
      <c r="AU475" s="39">
        <f>SUM(AL476)</f>
        <v>0</v>
      </c>
    </row>
    <row r="476" spans="1:76" ht="15" customHeight="1" x14ac:dyDescent="0.25">
      <c r="A476" s="58" t="s">
        <v>651</v>
      </c>
      <c r="B476" s="18" t="s">
        <v>488</v>
      </c>
      <c r="C476" s="18" t="s">
        <v>262</v>
      </c>
      <c r="D476" s="8" t="s">
        <v>419</v>
      </c>
      <c r="E476" s="8"/>
      <c r="F476" s="18" t="s">
        <v>114</v>
      </c>
      <c r="G476" s="59">
        <v>21.6</v>
      </c>
      <c r="H476" s="59">
        <v>0</v>
      </c>
      <c r="I476" s="59">
        <f>ROUND(G476*H476,2)</f>
        <v>0</v>
      </c>
      <c r="J476" s="59">
        <v>3.82E-3</v>
      </c>
      <c r="K476" s="59">
        <v>3.82E-3</v>
      </c>
      <c r="L476" s="59">
        <f>G476*K476</f>
        <v>8.2512000000000002E-2</v>
      </c>
      <c r="M476" s="60" t="s">
        <v>115</v>
      </c>
      <c r="Z476" s="59">
        <f>ROUND(IF(AQ476="5",BJ476,0),2)</f>
        <v>0</v>
      </c>
      <c r="AB476" s="59">
        <f>ROUND(IF(AQ476="1",BH476,0),2)</f>
        <v>0</v>
      </c>
      <c r="AC476" s="59">
        <f>ROUND(IF(AQ476="1",BI476,0),2)</f>
        <v>0</v>
      </c>
      <c r="AD476" s="59">
        <f>ROUND(IF(AQ476="7",BH476,0),2)</f>
        <v>0</v>
      </c>
      <c r="AE476" s="59">
        <f>ROUND(IF(AQ476="7",BI476,0),2)</f>
        <v>0</v>
      </c>
      <c r="AF476" s="59">
        <f>ROUND(IF(AQ476="2",BH476,0),2)</f>
        <v>0</v>
      </c>
      <c r="AG476" s="59">
        <f>ROUND(IF(AQ476="2",BI476,0),2)</f>
        <v>0</v>
      </c>
      <c r="AH476" s="59">
        <f>ROUND(IF(AQ476="0",BJ476,0),2)</f>
        <v>0</v>
      </c>
      <c r="AI476" s="46" t="s">
        <v>488</v>
      </c>
      <c r="AJ476" s="59">
        <f>IF(AN476=0,I476,0)</f>
        <v>0</v>
      </c>
      <c r="AK476" s="59">
        <f>IF(AN476=12,I476,0)</f>
        <v>0</v>
      </c>
      <c r="AL476" s="59">
        <f>IF(AN476=21,I476,0)</f>
        <v>0</v>
      </c>
      <c r="AN476" s="59">
        <v>12</v>
      </c>
      <c r="AO476" s="59">
        <f>H476*0.657241014</f>
        <v>0</v>
      </c>
      <c r="AP476" s="59">
        <f>H476*(1-0.657241014)</f>
        <v>0</v>
      </c>
      <c r="AQ476" s="61" t="s">
        <v>150</v>
      </c>
      <c r="AV476" s="59">
        <f>ROUND(AW476+AX476,2)</f>
        <v>0</v>
      </c>
      <c r="AW476" s="59">
        <f>ROUND(G476*AO476,2)</f>
        <v>0</v>
      </c>
      <c r="AX476" s="59">
        <f>ROUND(G476*AP476,2)</f>
        <v>0</v>
      </c>
      <c r="AY476" s="61" t="s">
        <v>264</v>
      </c>
      <c r="AZ476" s="61" t="s">
        <v>501</v>
      </c>
      <c r="BA476" s="46" t="s">
        <v>491</v>
      </c>
      <c r="BC476" s="59">
        <f>AW476+AX476</f>
        <v>0</v>
      </c>
      <c r="BD476" s="59">
        <f>H476/(100-BE476)*100</f>
        <v>0</v>
      </c>
      <c r="BE476" s="59">
        <v>0</v>
      </c>
      <c r="BF476" s="59">
        <f>L476</f>
        <v>8.2512000000000002E-2</v>
      </c>
      <c r="BH476" s="59">
        <f>G476*AO476</f>
        <v>0</v>
      </c>
      <c r="BI476" s="59">
        <f>G476*AP476</f>
        <v>0</v>
      </c>
      <c r="BJ476" s="59">
        <f>G476*H476</f>
        <v>0</v>
      </c>
      <c r="BK476" s="59"/>
      <c r="BL476" s="59">
        <v>786</v>
      </c>
      <c r="BW476" s="59">
        <v>12</v>
      </c>
      <c r="BX476" s="16" t="s">
        <v>419</v>
      </c>
    </row>
    <row r="477" spans="1:76" x14ac:dyDescent="0.25">
      <c r="A477" s="62"/>
      <c r="D477" s="63" t="s">
        <v>420</v>
      </c>
      <c r="E477" s="63"/>
      <c r="G477" s="64">
        <v>21.6</v>
      </c>
      <c r="M477" s="65"/>
    </row>
    <row r="478" spans="1:76" ht="15" customHeight="1" x14ac:dyDescent="0.25">
      <c r="A478" s="54"/>
      <c r="B478" s="55" t="s">
        <v>488</v>
      </c>
      <c r="C478" s="55" t="s">
        <v>267</v>
      </c>
      <c r="D478" s="104" t="s">
        <v>268</v>
      </c>
      <c r="E478" s="104"/>
      <c r="F478" s="56" t="s">
        <v>88</v>
      </c>
      <c r="G478" s="56" t="s">
        <v>88</v>
      </c>
      <c r="H478" s="56" t="s">
        <v>88</v>
      </c>
      <c r="I478" s="39">
        <f>SUM(I479:I483)</f>
        <v>0</v>
      </c>
      <c r="J478" s="46"/>
      <c r="K478" s="46"/>
      <c r="L478" s="39">
        <f>SUM(L479:L483)</f>
        <v>0</v>
      </c>
      <c r="M478" s="57"/>
      <c r="AI478" s="46" t="s">
        <v>488</v>
      </c>
      <c r="AS478" s="39">
        <f>SUM(AJ479:AJ483)</f>
        <v>0</v>
      </c>
      <c r="AT478" s="39">
        <f>SUM(AK479:AK483)</f>
        <v>0</v>
      </c>
      <c r="AU478" s="39">
        <f>SUM(AL479:AL483)</f>
        <v>0</v>
      </c>
    </row>
    <row r="479" spans="1:76" ht="15" customHeight="1" x14ac:dyDescent="0.25">
      <c r="A479" s="58" t="s">
        <v>652</v>
      </c>
      <c r="B479" s="18" t="s">
        <v>488</v>
      </c>
      <c r="C479" s="18" t="s">
        <v>270</v>
      </c>
      <c r="D479" s="8" t="s">
        <v>271</v>
      </c>
      <c r="E479" s="8"/>
      <c r="F479" s="18" t="s">
        <v>272</v>
      </c>
      <c r="G479" s="59">
        <v>12</v>
      </c>
      <c r="H479" s="59">
        <v>0</v>
      </c>
      <c r="I479" s="59">
        <f>ROUND(G479*H479,2)</f>
        <v>0</v>
      </c>
      <c r="J479" s="59">
        <v>0</v>
      </c>
      <c r="K479" s="59">
        <v>0</v>
      </c>
      <c r="L479" s="59">
        <f>G479*K479</f>
        <v>0</v>
      </c>
      <c r="M479" s="60" t="s">
        <v>115</v>
      </c>
      <c r="Z479" s="59">
        <f>ROUND(IF(AQ479="5",BJ479,0),2)</f>
        <v>0</v>
      </c>
      <c r="AB479" s="59">
        <f>ROUND(IF(AQ479="1",BH479,0),2)</f>
        <v>0</v>
      </c>
      <c r="AC479" s="59">
        <f>ROUND(IF(AQ479="1",BI479,0),2)</f>
        <v>0</v>
      </c>
      <c r="AD479" s="59">
        <f>ROUND(IF(AQ479="7",BH479,0),2)</f>
        <v>0</v>
      </c>
      <c r="AE479" s="59">
        <f>ROUND(IF(AQ479="7",BI479,0),2)</f>
        <v>0</v>
      </c>
      <c r="AF479" s="59">
        <f>ROUND(IF(AQ479="2",BH479,0),2)</f>
        <v>0</v>
      </c>
      <c r="AG479" s="59">
        <f>ROUND(IF(AQ479="2",BI479,0),2)</f>
        <v>0</v>
      </c>
      <c r="AH479" s="59">
        <f>ROUND(IF(AQ479="0",BJ479,0),2)</f>
        <v>0</v>
      </c>
      <c r="AI479" s="46" t="s">
        <v>488</v>
      </c>
      <c r="AJ479" s="59">
        <f>IF(AN479=0,I479,0)</f>
        <v>0</v>
      </c>
      <c r="AK479" s="59">
        <f>IF(AN479=12,I479,0)</f>
        <v>0</v>
      </c>
      <c r="AL479" s="59">
        <f>IF(AN479=21,I479,0)</f>
        <v>0</v>
      </c>
      <c r="AN479" s="59">
        <v>12</v>
      </c>
      <c r="AO479" s="59">
        <f>H479*0</f>
        <v>0</v>
      </c>
      <c r="AP479" s="59">
        <f>H479*(1-0)</f>
        <v>0</v>
      </c>
      <c r="AQ479" s="61" t="s">
        <v>111</v>
      </c>
      <c r="AV479" s="59">
        <f>ROUND(AW479+AX479,2)</f>
        <v>0</v>
      </c>
      <c r="AW479" s="59">
        <f>ROUND(G479*AO479,2)</f>
        <v>0</v>
      </c>
      <c r="AX479" s="59">
        <f>ROUND(G479*AP479,2)</f>
        <v>0</v>
      </c>
      <c r="AY479" s="61" t="s">
        <v>273</v>
      </c>
      <c r="AZ479" s="61" t="s">
        <v>503</v>
      </c>
      <c r="BA479" s="46" t="s">
        <v>491</v>
      </c>
      <c r="BC479" s="59">
        <f>AW479+AX479</f>
        <v>0</v>
      </c>
      <c r="BD479" s="59">
        <f>H479/(100-BE479)*100</f>
        <v>0</v>
      </c>
      <c r="BE479" s="59">
        <v>0</v>
      </c>
      <c r="BF479" s="59">
        <f>L479</f>
        <v>0</v>
      </c>
      <c r="BH479" s="59">
        <f>G479*AO479</f>
        <v>0</v>
      </c>
      <c r="BI479" s="59">
        <f>G479*AP479</f>
        <v>0</v>
      </c>
      <c r="BJ479" s="59">
        <f>G479*H479</f>
        <v>0</v>
      </c>
      <c r="BK479" s="59"/>
      <c r="BL479" s="59">
        <v>90</v>
      </c>
      <c r="BW479" s="59">
        <v>12</v>
      </c>
      <c r="BX479" s="16" t="s">
        <v>271</v>
      </c>
    </row>
    <row r="480" spans="1:76" x14ac:dyDescent="0.25">
      <c r="A480" s="62"/>
      <c r="D480" s="63" t="s">
        <v>176</v>
      </c>
      <c r="E480" s="63"/>
      <c r="G480" s="64">
        <v>12</v>
      </c>
      <c r="M480" s="65"/>
    </row>
    <row r="481" spans="1:76" ht="15" customHeight="1" x14ac:dyDescent="0.25">
      <c r="A481" s="58" t="s">
        <v>653</v>
      </c>
      <c r="B481" s="18" t="s">
        <v>488</v>
      </c>
      <c r="C481" s="18" t="s">
        <v>423</v>
      </c>
      <c r="D481" s="8" t="s">
        <v>271</v>
      </c>
      <c r="E481" s="8"/>
      <c r="F481" s="18" t="s">
        <v>272</v>
      </c>
      <c r="G481" s="59">
        <v>18</v>
      </c>
      <c r="H481" s="59">
        <v>0</v>
      </c>
      <c r="I481" s="59">
        <f>ROUND(G481*H481,2)</f>
        <v>0</v>
      </c>
      <c r="J481" s="59">
        <v>0</v>
      </c>
      <c r="K481" s="59">
        <v>0</v>
      </c>
      <c r="L481" s="59">
        <f>G481*K481</f>
        <v>0</v>
      </c>
      <c r="M481" s="60" t="s">
        <v>115</v>
      </c>
      <c r="Z481" s="59">
        <f>ROUND(IF(AQ481="5",BJ481,0),2)</f>
        <v>0</v>
      </c>
      <c r="AB481" s="59">
        <f>ROUND(IF(AQ481="1",BH481,0),2)</f>
        <v>0</v>
      </c>
      <c r="AC481" s="59">
        <f>ROUND(IF(AQ481="1",BI481,0),2)</f>
        <v>0</v>
      </c>
      <c r="AD481" s="59">
        <f>ROUND(IF(AQ481="7",BH481,0),2)</f>
        <v>0</v>
      </c>
      <c r="AE481" s="59">
        <f>ROUND(IF(AQ481="7",BI481,0),2)</f>
        <v>0</v>
      </c>
      <c r="AF481" s="59">
        <f>ROUND(IF(AQ481="2",BH481,0),2)</f>
        <v>0</v>
      </c>
      <c r="AG481" s="59">
        <f>ROUND(IF(AQ481="2",BI481,0),2)</f>
        <v>0</v>
      </c>
      <c r="AH481" s="59">
        <f>ROUND(IF(AQ481="0",BJ481,0),2)</f>
        <v>0</v>
      </c>
      <c r="AI481" s="46" t="s">
        <v>488</v>
      </c>
      <c r="AJ481" s="59">
        <f>IF(AN481=0,I481,0)</f>
        <v>0</v>
      </c>
      <c r="AK481" s="59">
        <f>IF(AN481=12,I481,0)</f>
        <v>0</v>
      </c>
      <c r="AL481" s="59">
        <f>IF(AN481=21,I481,0)</f>
        <v>0</v>
      </c>
      <c r="AN481" s="59">
        <v>12</v>
      </c>
      <c r="AO481" s="59">
        <f>H481*0</f>
        <v>0</v>
      </c>
      <c r="AP481" s="59">
        <f>H481*(1-0)</f>
        <v>0</v>
      </c>
      <c r="AQ481" s="61" t="s">
        <v>111</v>
      </c>
      <c r="AV481" s="59">
        <f>ROUND(AW481+AX481,2)</f>
        <v>0</v>
      </c>
      <c r="AW481" s="59">
        <f>ROUND(G481*AO481,2)</f>
        <v>0</v>
      </c>
      <c r="AX481" s="59">
        <f>ROUND(G481*AP481,2)</f>
        <v>0</v>
      </c>
      <c r="AY481" s="61" t="s">
        <v>273</v>
      </c>
      <c r="AZ481" s="61" t="s">
        <v>503</v>
      </c>
      <c r="BA481" s="46" t="s">
        <v>491</v>
      </c>
      <c r="BC481" s="59">
        <f>AW481+AX481</f>
        <v>0</v>
      </c>
      <c r="BD481" s="59">
        <f>H481/(100-BE481)*100</f>
        <v>0</v>
      </c>
      <c r="BE481" s="59">
        <v>0</v>
      </c>
      <c r="BF481" s="59">
        <f>L481</f>
        <v>0</v>
      </c>
      <c r="BH481" s="59">
        <f>G481*AO481</f>
        <v>0</v>
      </c>
      <c r="BI481" s="59">
        <f>G481*AP481</f>
        <v>0</v>
      </c>
      <c r="BJ481" s="59">
        <f>G481*H481</f>
        <v>0</v>
      </c>
      <c r="BK481" s="59"/>
      <c r="BL481" s="59">
        <v>90</v>
      </c>
      <c r="BW481" s="59">
        <v>12</v>
      </c>
      <c r="BX481" s="16" t="s">
        <v>271</v>
      </c>
    </row>
    <row r="482" spans="1:76" x14ac:dyDescent="0.25">
      <c r="A482" s="62"/>
      <c r="D482" s="63" t="s">
        <v>215</v>
      </c>
      <c r="E482" s="63"/>
      <c r="G482" s="64">
        <v>18</v>
      </c>
      <c r="M482" s="65"/>
    </row>
    <row r="483" spans="1:76" ht="15" customHeight="1" x14ac:dyDescent="0.25">
      <c r="A483" s="58" t="s">
        <v>654</v>
      </c>
      <c r="B483" s="18" t="s">
        <v>488</v>
      </c>
      <c r="C483" s="18" t="s">
        <v>270</v>
      </c>
      <c r="D483" s="8" t="s">
        <v>271</v>
      </c>
      <c r="E483" s="8"/>
      <c r="F483" s="18" t="s">
        <v>272</v>
      </c>
      <c r="G483" s="59">
        <v>30</v>
      </c>
      <c r="H483" s="59">
        <v>0</v>
      </c>
      <c r="I483" s="59">
        <f>ROUND(G483*H483,2)</f>
        <v>0</v>
      </c>
      <c r="J483" s="59">
        <v>0</v>
      </c>
      <c r="K483" s="59">
        <v>0</v>
      </c>
      <c r="L483" s="59">
        <f>G483*K483</f>
        <v>0</v>
      </c>
      <c r="M483" s="60" t="s">
        <v>115</v>
      </c>
      <c r="Z483" s="59">
        <f>ROUND(IF(AQ483="5",BJ483,0),2)</f>
        <v>0</v>
      </c>
      <c r="AB483" s="59">
        <f>ROUND(IF(AQ483="1",BH483,0),2)</f>
        <v>0</v>
      </c>
      <c r="AC483" s="59">
        <f>ROUND(IF(AQ483="1",BI483,0),2)</f>
        <v>0</v>
      </c>
      <c r="AD483" s="59">
        <f>ROUND(IF(AQ483="7",BH483,0),2)</f>
        <v>0</v>
      </c>
      <c r="AE483" s="59">
        <f>ROUND(IF(AQ483="7",BI483,0),2)</f>
        <v>0</v>
      </c>
      <c r="AF483" s="59">
        <f>ROUND(IF(AQ483="2",BH483,0),2)</f>
        <v>0</v>
      </c>
      <c r="AG483" s="59">
        <f>ROUND(IF(AQ483="2",BI483,0),2)</f>
        <v>0</v>
      </c>
      <c r="AH483" s="59">
        <f>ROUND(IF(AQ483="0",BJ483,0),2)</f>
        <v>0</v>
      </c>
      <c r="AI483" s="46" t="s">
        <v>488</v>
      </c>
      <c r="AJ483" s="59">
        <f>IF(AN483=0,I483,0)</f>
        <v>0</v>
      </c>
      <c r="AK483" s="59">
        <f>IF(AN483=12,I483,0)</f>
        <v>0</v>
      </c>
      <c r="AL483" s="59">
        <f>IF(AN483=21,I483,0)</f>
        <v>0</v>
      </c>
      <c r="AN483" s="59">
        <v>12</v>
      </c>
      <c r="AO483" s="59">
        <f>H483*0</f>
        <v>0</v>
      </c>
      <c r="AP483" s="59">
        <f>H483*(1-0)</f>
        <v>0</v>
      </c>
      <c r="AQ483" s="61" t="s">
        <v>111</v>
      </c>
      <c r="AV483" s="59">
        <f>ROUND(AW483+AX483,2)</f>
        <v>0</v>
      </c>
      <c r="AW483" s="59">
        <f>ROUND(G483*AO483,2)</f>
        <v>0</v>
      </c>
      <c r="AX483" s="59">
        <f>ROUND(G483*AP483,2)</f>
        <v>0</v>
      </c>
      <c r="AY483" s="61" t="s">
        <v>273</v>
      </c>
      <c r="AZ483" s="61" t="s">
        <v>503</v>
      </c>
      <c r="BA483" s="46" t="s">
        <v>491</v>
      </c>
      <c r="BC483" s="59">
        <f>AW483+AX483</f>
        <v>0</v>
      </c>
      <c r="BD483" s="59">
        <f>H483/(100-BE483)*100</f>
        <v>0</v>
      </c>
      <c r="BE483" s="59">
        <v>0</v>
      </c>
      <c r="BF483" s="59">
        <f>L483</f>
        <v>0</v>
      </c>
      <c r="BH483" s="59">
        <f>G483*AO483</f>
        <v>0</v>
      </c>
      <c r="BI483" s="59">
        <f>G483*AP483</f>
        <v>0</v>
      </c>
      <c r="BJ483" s="59">
        <f>G483*H483</f>
        <v>0</v>
      </c>
      <c r="BK483" s="59"/>
      <c r="BL483" s="59">
        <v>90</v>
      </c>
      <c r="BW483" s="59">
        <v>12</v>
      </c>
      <c r="BX483" s="16" t="s">
        <v>271</v>
      </c>
    </row>
    <row r="484" spans="1:76" x14ac:dyDescent="0.25">
      <c r="A484" s="62"/>
      <c r="D484" s="63" t="s">
        <v>276</v>
      </c>
      <c r="E484" s="63"/>
      <c r="G484" s="64">
        <v>30</v>
      </c>
      <c r="M484" s="65"/>
    </row>
    <row r="485" spans="1:76" ht="15" customHeight="1" x14ac:dyDescent="0.25">
      <c r="A485" s="54"/>
      <c r="B485" s="55" t="s">
        <v>488</v>
      </c>
      <c r="C485" s="55" t="s">
        <v>277</v>
      </c>
      <c r="D485" s="104" t="s">
        <v>278</v>
      </c>
      <c r="E485" s="104"/>
      <c r="F485" s="56" t="s">
        <v>88</v>
      </c>
      <c r="G485" s="56" t="s">
        <v>88</v>
      </c>
      <c r="H485" s="56" t="s">
        <v>88</v>
      </c>
      <c r="I485" s="39">
        <f>SUM(I486:I488)</f>
        <v>0</v>
      </c>
      <c r="J485" s="46"/>
      <c r="K485" s="46"/>
      <c r="L485" s="39">
        <f>SUM(L486:L488)</f>
        <v>0.10526999999999999</v>
      </c>
      <c r="M485" s="57"/>
      <c r="AI485" s="46" t="s">
        <v>488</v>
      </c>
      <c r="AS485" s="39">
        <f>SUM(AJ486:AJ488)</f>
        <v>0</v>
      </c>
      <c r="AT485" s="39">
        <f>SUM(AK486:AK488)</f>
        <v>0</v>
      </c>
      <c r="AU485" s="39">
        <f>SUM(AL486:AL488)</f>
        <v>0</v>
      </c>
    </row>
    <row r="486" spans="1:76" ht="15" customHeight="1" x14ac:dyDescent="0.25">
      <c r="A486" s="58" t="s">
        <v>655</v>
      </c>
      <c r="B486" s="18" t="s">
        <v>488</v>
      </c>
      <c r="C486" s="18" t="s">
        <v>280</v>
      </c>
      <c r="D486" s="8" t="s">
        <v>281</v>
      </c>
      <c r="E486" s="8"/>
      <c r="F486" s="18" t="s">
        <v>114</v>
      </c>
      <c r="G486" s="59">
        <v>87</v>
      </c>
      <c r="H486" s="59">
        <v>0</v>
      </c>
      <c r="I486" s="59">
        <f>ROUND(G486*H486,2)</f>
        <v>0</v>
      </c>
      <c r="J486" s="59">
        <v>1.2099999999999999E-3</v>
      </c>
      <c r="K486" s="59">
        <v>1.2099999999999999E-3</v>
      </c>
      <c r="L486" s="59">
        <f>G486*K486</f>
        <v>0.10526999999999999</v>
      </c>
      <c r="M486" s="60" t="s">
        <v>115</v>
      </c>
      <c r="Z486" s="59">
        <f>ROUND(IF(AQ486="5",BJ486,0),2)</f>
        <v>0</v>
      </c>
      <c r="AB486" s="59">
        <f>ROUND(IF(AQ486="1",BH486,0),2)</f>
        <v>0</v>
      </c>
      <c r="AC486" s="59">
        <f>ROUND(IF(AQ486="1",BI486,0),2)</f>
        <v>0</v>
      </c>
      <c r="AD486" s="59">
        <f>ROUND(IF(AQ486="7",BH486,0),2)</f>
        <v>0</v>
      </c>
      <c r="AE486" s="59">
        <f>ROUND(IF(AQ486="7",BI486,0),2)</f>
        <v>0</v>
      </c>
      <c r="AF486" s="59">
        <f>ROUND(IF(AQ486="2",BH486,0),2)</f>
        <v>0</v>
      </c>
      <c r="AG486" s="59">
        <f>ROUND(IF(AQ486="2",BI486,0),2)</f>
        <v>0</v>
      </c>
      <c r="AH486" s="59">
        <f>ROUND(IF(AQ486="0",BJ486,0),2)</f>
        <v>0</v>
      </c>
      <c r="AI486" s="46" t="s">
        <v>488</v>
      </c>
      <c r="AJ486" s="59">
        <f>IF(AN486=0,I486,0)</f>
        <v>0</v>
      </c>
      <c r="AK486" s="59">
        <f>IF(AN486=12,I486,0)</f>
        <v>0</v>
      </c>
      <c r="AL486" s="59">
        <f>IF(AN486=21,I486,0)</f>
        <v>0</v>
      </c>
      <c r="AN486" s="59">
        <v>12</v>
      </c>
      <c r="AO486" s="59">
        <f>H486*0.309860944</f>
        <v>0</v>
      </c>
      <c r="AP486" s="59">
        <f>H486*(1-0.309860944)</f>
        <v>0</v>
      </c>
      <c r="AQ486" s="61" t="s">
        <v>111</v>
      </c>
      <c r="AV486" s="59">
        <f>ROUND(AW486+AX486,2)</f>
        <v>0</v>
      </c>
      <c r="AW486" s="59">
        <f>ROUND(G486*AO486,2)</f>
        <v>0</v>
      </c>
      <c r="AX486" s="59">
        <f>ROUND(G486*AP486,2)</f>
        <v>0</v>
      </c>
      <c r="AY486" s="61" t="s">
        <v>282</v>
      </c>
      <c r="AZ486" s="61" t="s">
        <v>503</v>
      </c>
      <c r="BA486" s="46" t="s">
        <v>491</v>
      </c>
      <c r="BC486" s="59">
        <f>AW486+AX486</f>
        <v>0</v>
      </c>
      <c r="BD486" s="59">
        <f>H486/(100-BE486)*100</f>
        <v>0</v>
      </c>
      <c r="BE486" s="59">
        <v>0</v>
      </c>
      <c r="BF486" s="59">
        <f>L486</f>
        <v>0.10526999999999999</v>
      </c>
      <c r="BH486" s="59">
        <f>G486*AO486</f>
        <v>0</v>
      </c>
      <c r="BI486" s="59">
        <f>G486*AP486</f>
        <v>0</v>
      </c>
      <c r="BJ486" s="59">
        <f>G486*H486</f>
        <v>0</v>
      </c>
      <c r="BK486" s="59"/>
      <c r="BL486" s="59">
        <v>94</v>
      </c>
      <c r="BW486" s="59">
        <v>12</v>
      </c>
      <c r="BX486" s="16" t="s">
        <v>281</v>
      </c>
    </row>
    <row r="487" spans="1:76" x14ac:dyDescent="0.25">
      <c r="A487" s="62"/>
      <c r="D487" s="63" t="s">
        <v>425</v>
      </c>
      <c r="E487" s="63"/>
      <c r="G487" s="64">
        <v>87</v>
      </c>
      <c r="M487" s="65"/>
    </row>
    <row r="488" spans="1:76" ht="15" customHeight="1" x14ac:dyDescent="0.25">
      <c r="A488" s="58" t="s">
        <v>656</v>
      </c>
      <c r="B488" s="18" t="s">
        <v>488</v>
      </c>
      <c r="C488" s="18" t="s">
        <v>426</v>
      </c>
      <c r="D488" s="8" t="s">
        <v>427</v>
      </c>
      <c r="E488" s="8"/>
      <c r="F488" s="18" t="s">
        <v>272</v>
      </c>
      <c r="G488" s="59">
        <v>40</v>
      </c>
      <c r="H488" s="59">
        <v>0</v>
      </c>
      <c r="I488" s="59">
        <f>ROUND(G488*H488,2)</f>
        <v>0</v>
      </c>
      <c r="J488" s="59">
        <v>0</v>
      </c>
      <c r="K488" s="59">
        <v>0</v>
      </c>
      <c r="L488" s="59">
        <f>G488*K488</f>
        <v>0</v>
      </c>
      <c r="M488" s="60" t="s">
        <v>115</v>
      </c>
      <c r="Z488" s="59">
        <f>ROUND(IF(AQ488="5",BJ488,0),2)</f>
        <v>0</v>
      </c>
      <c r="AB488" s="59">
        <f>ROUND(IF(AQ488="1",BH488,0),2)</f>
        <v>0</v>
      </c>
      <c r="AC488" s="59">
        <f>ROUND(IF(AQ488="1",BI488,0),2)</f>
        <v>0</v>
      </c>
      <c r="AD488" s="59">
        <f>ROUND(IF(AQ488="7",BH488,0),2)</f>
        <v>0</v>
      </c>
      <c r="AE488" s="59">
        <f>ROUND(IF(AQ488="7",BI488,0),2)</f>
        <v>0</v>
      </c>
      <c r="AF488" s="59">
        <f>ROUND(IF(AQ488="2",BH488,0),2)</f>
        <v>0</v>
      </c>
      <c r="AG488" s="59">
        <f>ROUND(IF(AQ488="2",BI488,0),2)</f>
        <v>0</v>
      </c>
      <c r="AH488" s="59">
        <f>ROUND(IF(AQ488="0",BJ488,0),2)</f>
        <v>0</v>
      </c>
      <c r="AI488" s="46" t="s">
        <v>488</v>
      </c>
      <c r="AJ488" s="59">
        <f>IF(AN488=0,I488,0)</f>
        <v>0</v>
      </c>
      <c r="AK488" s="59">
        <f>IF(AN488=12,I488,0)</f>
        <v>0</v>
      </c>
      <c r="AL488" s="59">
        <f>IF(AN488=21,I488,0)</f>
        <v>0</v>
      </c>
      <c r="AN488" s="59">
        <v>12</v>
      </c>
      <c r="AO488" s="59">
        <f>H488*0</f>
        <v>0</v>
      </c>
      <c r="AP488" s="59">
        <f>H488*(1-0)</f>
        <v>0</v>
      </c>
      <c r="AQ488" s="61" t="s">
        <v>111</v>
      </c>
      <c r="AV488" s="59">
        <f>ROUND(AW488+AX488,2)</f>
        <v>0</v>
      </c>
      <c r="AW488" s="59">
        <f>ROUND(G488*AO488,2)</f>
        <v>0</v>
      </c>
      <c r="AX488" s="59">
        <f>ROUND(G488*AP488,2)</f>
        <v>0</v>
      </c>
      <c r="AY488" s="61" t="s">
        <v>282</v>
      </c>
      <c r="AZ488" s="61" t="s">
        <v>503</v>
      </c>
      <c r="BA488" s="46" t="s">
        <v>491</v>
      </c>
      <c r="BC488" s="59">
        <f>AW488+AX488</f>
        <v>0</v>
      </c>
      <c r="BD488" s="59">
        <f>H488/(100-BE488)*100</f>
        <v>0</v>
      </c>
      <c r="BE488" s="59">
        <v>0</v>
      </c>
      <c r="BF488" s="59">
        <f>L488</f>
        <v>0</v>
      </c>
      <c r="BH488" s="59">
        <f>G488*AO488</f>
        <v>0</v>
      </c>
      <c r="BI488" s="59">
        <f>G488*AP488</f>
        <v>0</v>
      </c>
      <c r="BJ488" s="59">
        <f>G488*H488</f>
        <v>0</v>
      </c>
      <c r="BK488" s="59"/>
      <c r="BL488" s="59">
        <v>94</v>
      </c>
      <c r="BW488" s="59">
        <v>12</v>
      </c>
      <c r="BX488" s="16" t="s">
        <v>427</v>
      </c>
    </row>
    <row r="489" spans="1:76" x14ac:dyDescent="0.25">
      <c r="A489" s="62"/>
      <c r="D489" s="63" t="s">
        <v>342</v>
      </c>
      <c r="E489" s="63"/>
      <c r="G489" s="64">
        <v>40</v>
      </c>
      <c r="M489" s="65"/>
    </row>
    <row r="490" spans="1:76" ht="15" customHeight="1" x14ac:dyDescent="0.25">
      <c r="A490" s="54"/>
      <c r="B490" s="55" t="s">
        <v>488</v>
      </c>
      <c r="C490" s="55" t="s">
        <v>284</v>
      </c>
      <c r="D490" s="104" t="s">
        <v>285</v>
      </c>
      <c r="E490" s="104"/>
      <c r="F490" s="56" t="s">
        <v>88</v>
      </c>
      <c r="G490" s="56" t="s">
        <v>88</v>
      </c>
      <c r="H490" s="56" t="s">
        <v>88</v>
      </c>
      <c r="I490" s="39">
        <f>SUM(I491)</f>
        <v>0</v>
      </c>
      <c r="J490" s="46"/>
      <c r="K490" s="46"/>
      <c r="L490" s="39">
        <f>SUM(L491)</f>
        <v>1.0267200000000001E-2</v>
      </c>
      <c r="M490" s="57"/>
      <c r="AI490" s="46" t="s">
        <v>488</v>
      </c>
      <c r="AS490" s="39">
        <f>SUM(AJ491)</f>
        <v>0</v>
      </c>
      <c r="AT490" s="39">
        <f>SUM(AK491)</f>
        <v>0</v>
      </c>
      <c r="AU490" s="39">
        <f>SUM(AL491)</f>
        <v>0</v>
      </c>
    </row>
    <row r="491" spans="1:76" ht="15" customHeight="1" x14ac:dyDescent="0.25">
      <c r="A491" s="58" t="s">
        <v>657</v>
      </c>
      <c r="B491" s="18" t="s">
        <v>488</v>
      </c>
      <c r="C491" s="18" t="s">
        <v>287</v>
      </c>
      <c r="D491" s="8" t="s">
        <v>288</v>
      </c>
      <c r="E491" s="8"/>
      <c r="F491" s="18" t="s">
        <v>114</v>
      </c>
      <c r="G491" s="59">
        <v>256.68</v>
      </c>
      <c r="H491" s="59">
        <v>0</v>
      </c>
      <c r="I491" s="59">
        <f>ROUND(G491*H491,2)</f>
        <v>0</v>
      </c>
      <c r="J491" s="59">
        <v>4.0000000000000003E-5</v>
      </c>
      <c r="K491" s="59">
        <v>4.0000000000000003E-5</v>
      </c>
      <c r="L491" s="59">
        <f>G491*K491</f>
        <v>1.0267200000000001E-2</v>
      </c>
      <c r="M491" s="60" t="s">
        <v>115</v>
      </c>
      <c r="Z491" s="59">
        <f>ROUND(IF(AQ491="5",BJ491,0),2)</f>
        <v>0</v>
      </c>
      <c r="AB491" s="59">
        <f>ROUND(IF(AQ491="1",BH491,0),2)</f>
        <v>0</v>
      </c>
      <c r="AC491" s="59">
        <f>ROUND(IF(AQ491="1",BI491,0),2)</f>
        <v>0</v>
      </c>
      <c r="AD491" s="59">
        <f>ROUND(IF(AQ491="7",BH491,0),2)</f>
        <v>0</v>
      </c>
      <c r="AE491" s="59">
        <f>ROUND(IF(AQ491="7",BI491,0),2)</f>
        <v>0</v>
      </c>
      <c r="AF491" s="59">
        <f>ROUND(IF(AQ491="2",BH491,0),2)</f>
        <v>0</v>
      </c>
      <c r="AG491" s="59">
        <f>ROUND(IF(AQ491="2",BI491,0),2)</f>
        <v>0</v>
      </c>
      <c r="AH491" s="59">
        <f>ROUND(IF(AQ491="0",BJ491,0),2)</f>
        <v>0</v>
      </c>
      <c r="AI491" s="46" t="s">
        <v>488</v>
      </c>
      <c r="AJ491" s="59">
        <f>IF(AN491=0,I491,0)</f>
        <v>0</v>
      </c>
      <c r="AK491" s="59">
        <f>IF(AN491=12,I491,0)</f>
        <v>0</v>
      </c>
      <c r="AL491" s="59">
        <f>IF(AN491=21,I491,0)</f>
        <v>0</v>
      </c>
      <c r="AN491" s="59">
        <v>12</v>
      </c>
      <c r="AO491" s="59">
        <f>H491*0.012649582</f>
        <v>0</v>
      </c>
      <c r="AP491" s="59">
        <f>H491*(1-0.012649582)</f>
        <v>0</v>
      </c>
      <c r="AQ491" s="61" t="s">
        <v>111</v>
      </c>
      <c r="AV491" s="59">
        <f>ROUND(AW491+AX491,2)</f>
        <v>0</v>
      </c>
      <c r="AW491" s="59">
        <f>ROUND(G491*AO491,2)</f>
        <v>0</v>
      </c>
      <c r="AX491" s="59">
        <f>ROUND(G491*AP491,2)</f>
        <v>0</v>
      </c>
      <c r="AY491" s="61" t="s">
        <v>289</v>
      </c>
      <c r="AZ491" s="61" t="s">
        <v>503</v>
      </c>
      <c r="BA491" s="46" t="s">
        <v>491</v>
      </c>
      <c r="BC491" s="59">
        <f>AW491+AX491</f>
        <v>0</v>
      </c>
      <c r="BD491" s="59">
        <f>H491/(100-BE491)*100</f>
        <v>0</v>
      </c>
      <c r="BE491" s="59">
        <v>0</v>
      </c>
      <c r="BF491" s="59">
        <f>L491</f>
        <v>1.0267200000000001E-2</v>
      </c>
      <c r="BH491" s="59">
        <f>G491*AO491</f>
        <v>0</v>
      </c>
      <c r="BI491" s="59">
        <f>G491*AP491</f>
        <v>0</v>
      </c>
      <c r="BJ491" s="59">
        <f>G491*H491</f>
        <v>0</v>
      </c>
      <c r="BK491" s="59"/>
      <c r="BL491" s="59">
        <v>95</v>
      </c>
      <c r="BW491" s="59">
        <v>12</v>
      </c>
      <c r="BX491" s="16" t="s">
        <v>288</v>
      </c>
    </row>
    <row r="492" spans="1:76" x14ac:dyDescent="0.25">
      <c r="A492" s="62"/>
      <c r="D492" s="63" t="s">
        <v>416</v>
      </c>
      <c r="E492" s="63"/>
      <c r="G492" s="64">
        <v>256.68</v>
      </c>
      <c r="M492" s="65"/>
    </row>
    <row r="493" spans="1:76" ht="15" customHeight="1" x14ac:dyDescent="0.25">
      <c r="A493" s="54"/>
      <c r="B493" s="55" t="s">
        <v>488</v>
      </c>
      <c r="C493" s="55" t="s">
        <v>290</v>
      </c>
      <c r="D493" s="104" t="s">
        <v>291</v>
      </c>
      <c r="E493" s="104"/>
      <c r="F493" s="56" t="s">
        <v>88</v>
      </c>
      <c r="G493" s="56" t="s">
        <v>88</v>
      </c>
      <c r="H493" s="56" t="s">
        <v>88</v>
      </c>
      <c r="I493" s="39">
        <f>SUM(I494:I506)</f>
        <v>0</v>
      </c>
      <c r="J493" s="46"/>
      <c r="K493" s="46"/>
      <c r="L493" s="39">
        <f>SUM(L494:L506)</f>
        <v>7.960691999999999</v>
      </c>
      <c r="M493" s="57"/>
      <c r="AI493" s="46" t="s">
        <v>488</v>
      </c>
      <c r="AS493" s="39">
        <f>SUM(AJ494:AJ506)</f>
        <v>0</v>
      </c>
      <c r="AT493" s="39">
        <f>SUM(AK494:AK506)</f>
        <v>0</v>
      </c>
      <c r="AU493" s="39">
        <f>SUM(AL494:AL506)</f>
        <v>0</v>
      </c>
    </row>
    <row r="494" spans="1:76" ht="15" customHeight="1" x14ac:dyDescent="0.25">
      <c r="A494" s="58" t="s">
        <v>658</v>
      </c>
      <c r="B494" s="18" t="s">
        <v>488</v>
      </c>
      <c r="C494" s="18" t="s">
        <v>293</v>
      </c>
      <c r="D494" s="8" t="s">
        <v>294</v>
      </c>
      <c r="E494" s="8"/>
      <c r="F494" s="18" t="s">
        <v>140</v>
      </c>
      <c r="G494" s="59">
        <v>24.9</v>
      </c>
      <c r="H494" s="59">
        <v>0</v>
      </c>
      <c r="I494" s="59">
        <f>ROUND(G494*H494,2)</f>
        <v>0</v>
      </c>
      <c r="J494" s="59">
        <v>0</v>
      </c>
      <c r="K494" s="59">
        <v>1.188E-2</v>
      </c>
      <c r="L494" s="59">
        <f>G494*K494</f>
        <v>0.29581199999999996</v>
      </c>
      <c r="M494" s="60" t="s">
        <v>115</v>
      </c>
      <c r="Z494" s="59">
        <f>ROUND(IF(AQ494="5",BJ494,0),2)</f>
        <v>0</v>
      </c>
      <c r="AB494" s="59">
        <f>ROUND(IF(AQ494="1",BH494,0),2)</f>
        <v>0</v>
      </c>
      <c r="AC494" s="59">
        <f>ROUND(IF(AQ494="1",BI494,0),2)</f>
        <v>0</v>
      </c>
      <c r="AD494" s="59">
        <f>ROUND(IF(AQ494="7",BH494,0),2)</f>
        <v>0</v>
      </c>
      <c r="AE494" s="59">
        <f>ROUND(IF(AQ494="7",BI494,0),2)</f>
        <v>0</v>
      </c>
      <c r="AF494" s="59">
        <f>ROUND(IF(AQ494="2",BH494,0),2)</f>
        <v>0</v>
      </c>
      <c r="AG494" s="59">
        <f>ROUND(IF(AQ494="2",BI494,0),2)</f>
        <v>0</v>
      </c>
      <c r="AH494" s="59">
        <f>ROUND(IF(AQ494="0",BJ494,0),2)</f>
        <v>0</v>
      </c>
      <c r="AI494" s="46" t="s">
        <v>488</v>
      </c>
      <c r="AJ494" s="59">
        <f>IF(AN494=0,I494,0)</f>
        <v>0</v>
      </c>
      <c r="AK494" s="59">
        <f>IF(AN494=12,I494,0)</f>
        <v>0</v>
      </c>
      <c r="AL494" s="59">
        <f>IF(AN494=21,I494,0)</f>
        <v>0</v>
      </c>
      <c r="AN494" s="59">
        <v>12</v>
      </c>
      <c r="AO494" s="59">
        <f>H494*0</f>
        <v>0</v>
      </c>
      <c r="AP494" s="59">
        <f>H494*(1-0)</f>
        <v>0</v>
      </c>
      <c r="AQ494" s="61" t="s">
        <v>111</v>
      </c>
      <c r="AV494" s="59">
        <f>ROUND(AW494+AX494,2)</f>
        <v>0</v>
      </c>
      <c r="AW494" s="59">
        <f>ROUND(G494*AO494,2)</f>
        <v>0</v>
      </c>
      <c r="AX494" s="59">
        <f>ROUND(G494*AP494,2)</f>
        <v>0</v>
      </c>
      <c r="AY494" s="61" t="s">
        <v>295</v>
      </c>
      <c r="AZ494" s="61" t="s">
        <v>503</v>
      </c>
      <c r="BA494" s="46" t="s">
        <v>491</v>
      </c>
      <c r="BC494" s="59">
        <f>AW494+AX494</f>
        <v>0</v>
      </c>
      <c r="BD494" s="59">
        <f>H494/(100-BE494)*100</f>
        <v>0</v>
      </c>
      <c r="BE494" s="59">
        <v>0</v>
      </c>
      <c r="BF494" s="59">
        <f>L494</f>
        <v>0.29581199999999996</v>
      </c>
      <c r="BH494" s="59">
        <f>G494*AO494</f>
        <v>0</v>
      </c>
      <c r="BI494" s="59">
        <f>G494*AP494</f>
        <v>0</v>
      </c>
      <c r="BJ494" s="59">
        <f>G494*H494</f>
        <v>0</v>
      </c>
      <c r="BK494" s="59"/>
      <c r="BL494" s="59">
        <v>96</v>
      </c>
      <c r="BW494" s="59">
        <v>12</v>
      </c>
      <c r="BX494" s="16" t="s">
        <v>294</v>
      </c>
    </row>
    <row r="495" spans="1:76" x14ac:dyDescent="0.25">
      <c r="A495" s="62"/>
      <c r="D495" s="63" t="s">
        <v>387</v>
      </c>
      <c r="E495" s="63"/>
      <c r="G495" s="64">
        <v>24.9</v>
      </c>
      <c r="M495" s="65"/>
    </row>
    <row r="496" spans="1:76" ht="15" customHeight="1" x14ac:dyDescent="0.25">
      <c r="A496" s="58" t="s">
        <v>659</v>
      </c>
      <c r="B496" s="18" t="s">
        <v>488</v>
      </c>
      <c r="C496" s="18" t="s">
        <v>297</v>
      </c>
      <c r="D496" s="8" t="s">
        <v>298</v>
      </c>
      <c r="E496" s="8"/>
      <c r="F496" s="18" t="s">
        <v>299</v>
      </c>
      <c r="G496" s="59">
        <v>46</v>
      </c>
      <c r="H496" s="59">
        <v>0</v>
      </c>
      <c r="I496" s="59">
        <f>ROUND(G496*H496,2)</f>
        <v>0</v>
      </c>
      <c r="J496" s="59">
        <v>0</v>
      </c>
      <c r="K496" s="59">
        <v>0</v>
      </c>
      <c r="L496" s="59">
        <f>G496*K496</f>
        <v>0</v>
      </c>
      <c r="M496" s="60" t="s">
        <v>115</v>
      </c>
      <c r="Z496" s="59">
        <f>ROUND(IF(AQ496="5",BJ496,0),2)</f>
        <v>0</v>
      </c>
      <c r="AB496" s="59">
        <f>ROUND(IF(AQ496="1",BH496,0),2)</f>
        <v>0</v>
      </c>
      <c r="AC496" s="59">
        <f>ROUND(IF(AQ496="1",BI496,0),2)</f>
        <v>0</v>
      </c>
      <c r="AD496" s="59">
        <f>ROUND(IF(AQ496="7",BH496,0),2)</f>
        <v>0</v>
      </c>
      <c r="AE496" s="59">
        <f>ROUND(IF(AQ496="7",BI496,0),2)</f>
        <v>0</v>
      </c>
      <c r="AF496" s="59">
        <f>ROUND(IF(AQ496="2",BH496,0),2)</f>
        <v>0</v>
      </c>
      <c r="AG496" s="59">
        <f>ROUND(IF(AQ496="2",BI496,0),2)</f>
        <v>0</v>
      </c>
      <c r="AH496" s="59">
        <f>ROUND(IF(AQ496="0",BJ496,0),2)</f>
        <v>0</v>
      </c>
      <c r="AI496" s="46" t="s">
        <v>488</v>
      </c>
      <c r="AJ496" s="59">
        <f>IF(AN496=0,I496,0)</f>
        <v>0</v>
      </c>
      <c r="AK496" s="59">
        <f>IF(AN496=12,I496,0)</f>
        <v>0</v>
      </c>
      <c r="AL496" s="59">
        <f>IF(AN496=21,I496,0)</f>
        <v>0</v>
      </c>
      <c r="AN496" s="59">
        <v>12</v>
      </c>
      <c r="AO496" s="59">
        <f>H496*0</f>
        <v>0</v>
      </c>
      <c r="AP496" s="59">
        <f>H496*(1-0)</f>
        <v>0</v>
      </c>
      <c r="AQ496" s="61" t="s">
        <v>111</v>
      </c>
      <c r="AV496" s="59">
        <f>ROUND(AW496+AX496,2)</f>
        <v>0</v>
      </c>
      <c r="AW496" s="59">
        <f>ROUND(G496*AO496,2)</f>
        <v>0</v>
      </c>
      <c r="AX496" s="59">
        <f>ROUND(G496*AP496,2)</f>
        <v>0</v>
      </c>
      <c r="AY496" s="61" t="s">
        <v>295</v>
      </c>
      <c r="AZ496" s="61" t="s">
        <v>503</v>
      </c>
      <c r="BA496" s="46" t="s">
        <v>491</v>
      </c>
      <c r="BC496" s="59">
        <f>AW496+AX496</f>
        <v>0</v>
      </c>
      <c r="BD496" s="59">
        <f>H496/(100-BE496)*100</f>
        <v>0</v>
      </c>
      <c r="BE496" s="59">
        <v>0</v>
      </c>
      <c r="BF496" s="59">
        <f>L496</f>
        <v>0</v>
      </c>
      <c r="BH496" s="59">
        <f>G496*AO496</f>
        <v>0</v>
      </c>
      <c r="BI496" s="59">
        <f>G496*AP496</f>
        <v>0</v>
      </c>
      <c r="BJ496" s="59">
        <f>G496*H496</f>
        <v>0</v>
      </c>
      <c r="BK496" s="59"/>
      <c r="BL496" s="59">
        <v>96</v>
      </c>
      <c r="BW496" s="59">
        <v>12</v>
      </c>
      <c r="BX496" s="16" t="s">
        <v>298</v>
      </c>
    </row>
    <row r="497" spans="1:76" x14ac:dyDescent="0.25">
      <c r="A497" s="62"/>
      <c r="D497" s="63" t="s">
        <v>504</v>
      </c>
      <c r="E497" s="63"/>
      <c r="G497" s="64">
        <v>46</v>
      </c>
      <c r="M497" s="65"/>
    </row>
    <row r="498" spans="1:76" ht="15" customHeight="1" x14ac:dyDescent="0.25">
      <c r="A498" s="58" t="s">
        <v>660</v>
      </c>
      <c r="B498" s="18" t="s">
        <v>488</v>
      </c>
      <c r="C498" s="18" t="s">
        <v>302</v>
      </c>
      <c r="D498" s="8" t="s">
        <v>303</v>
      </c>
      <c r="E498" s="8"/>
      <c r="F498" s="18" t="s">
        <v>114</v>
      </c>
      <c r="G498" s="59">
        <v>60</v>
      </c>
      <c r="H498" s="59">
        <v>0</v>
      </c>
      <c r="I498" s="59">
        <f>ROUND(G498*H498,2)</f>
        <v>0</v>
      </c>
      <c r="J498" s="59">
        <v>1E-3</v>
      </c>
      <c r="K498" s="59">
        <v>3.2000000000000001E-2</v>
      </c>
      <c r="L498" s="59">
        <f>G498*K498</f>
        <v>1.92</v>
      </c>
      <c r="M498" s="60" t="s">
        <v>115</v>
      </c>
      <c r="Z498" s="59">
        <f>ROUND(IF(AQ498="5",BJ498,0),2)</f>
        <v>0</v>
      </c>
      <c r="AB498" s="59">
        <f>ROUND(IF(AQ498="1",BH498,0),2)</f>
        <v>0</v>
      </c>
      <c r="AC498" s="59">
        <f>ROUND(IF(AQ498="1",BI498,0),2)</f>
        <v>0</v>
      </c>
      <c r="AD498" s="59">
        <f>ROUND(IF(AQ498="7",BH498,0),2)</f>
        <v>0</v>
      </c>
      <c r="AE498" s="59">
        <f>ROUND(IF(AQ498="7",BI498,0),2)</f>
        <v>0</v>
      </c>
      <c r="AF498" s="59">
        <f>ROUND(IF(AQ498="2",BH498,0),2)</f>
        <v>0</v>
      </c>
      <c r="AG498" s="59">
        <f>ROUND(IF(AQ498="2",BI498,0),2)</f>
        <v>0</v>
      </c>
      <c r="AH498" s="59">
        <f>ROUND(IF(AQ498="0",BJ498,0),2)</f>
        <v>0</v>
      </c>
      <c r="AI498" s="46" t="s">
        <v>488</v>
      </c>
      <c r="AJ498" s="59">
        <f>IF(AN498=0,I498,0)</f>
        <v>0</v>
      </c>
      <c r="AK498" s="59">
        <f>IF(AN498=12,I498,0)</f>
        <v>0</v>
      </c>
      <c r="AL498" s="59">
        <f>IF(AN498=21,I498,0)</f>
        <v>0</v>
      </c>
      <c r="AN498" s="59">
        <v>12</v>
      </c>
      <c r="AO498" s="59">
        <f>H498*0.133990826</f>
        <v>0</v>
      </c>
      <c r="AP498" s="59">
        <f>H498*(1-0.133990826)</f>
        <v>0</v>
      </c>
      <c r="AQ498" s="61" t="s">
        <v>111</v>
      </c>
      <c r="AV498" s="59">
        <f>ROUND(AW498+AX498,2)</f>
        <v>0</v>
      </c>
      <c r="AW498" s="59">
        <f>ROUND(G498*AO498,2)</f>
        <v>0</v>
      </c>
      <c r="AX498" s="59">
        <f>ROUND(G498*AP498,2)</f>
        <v>0</v>
      </c>
      <c r="AY498" s="61" t="s">
        <v>295</v>
      </c>
      <c r="AZ498" s="61" t="s">
        <v>503</v>
      </c>
      <c r="BA498" s="46" t="s">
        <v>491</v>
      </c>
      <c r="BC498" s="59">
        <f>AW498+AX498</f>
        <v>0</v>
      </c>
      <c r="BD498" s="59">
        <f>H498/(100-BE498)*100</f>
        <v>0</v>
      </c>
      <c r="BE498" s="59">
        <v>0</v>
      </c>
      <c r="BF498" s="59">
        <f>L498</f>
        <v>1.92</v>
      </c>
      <c r="BH498" s="59">
        <f>G498*AO498</f>
        <v>0</v>
      </c>
      <c r="BI498" s="59">
        <f>G498*AP498</f>
        <v>0</v>
      </c>
      <c r="BJ498" s="59">
        <f>G498*H498</f>
        <v>0</v>
      </c>
      <c r="BK498" s="59"/>
      <c r="BL498" s="59">
        <v>96</v>
      </c>
      <c r="BW498" s="59">
        <v>12</v>
      </c>
      <c r="BX498" s="16" t="s">
        <v>303</v>
      </c>
    </row>
    <row r="499" spans="1:76" x14ac:dyDescent="0.25">
      <c r="A499" s="62"/>
      <c r="D499" s="63" t="s">
        <v>505</v>
      </c>
      <c r="E499" s="63"/>
      <c r="G499" s="64">
        <v>60</v>
      </c>
      <c r="M499" s="65"/>
    </row>
    <row r="500" spans="1:76" ht="15" customHeight="1" x14ac:dyDescent="0.25">
      <c r="A500" s="58" t="s">
        <v>661</v>
      </c>
      <c r="B500" s="18" t="s">
        <v>488</v>
      </c>
      <c r="C500" s="18" t="s">
        <v>435</v>
      </c>
      <c r="D500" s="8" t="s">
        <v>436</v>
      </c>
      <c r="E500" s="8"/>
      <c r="F500" s="18" t="s">
        <v>360</v>
      </c>
      <c r="G500" s="59">
        <v>1.115</v>
      </c>
      <c r="H500" s="59">
        <v>0</v>
      </c>
      <c r="I500" s="59">
        <f>ROUND(G500*H500,2)</f>
        <v>0</v>
      </c>
      <c r="J500" s="59">
        <v>0</v>
      </c>
      <c r="K500" s="59">
        <v>2.2000000000000002</v>
      </c>
      <c r="L500" s="59">
        <f>G500*K500</f>
        <v>2.4530000000000003</v>
      </c>
      <c r="M500" s="60" t="s">
        <v>115</v>
      </c>
      <c r="Z500" s="59">
        <f>ROUND(IF(AQ500="5",BJ500,0),2)</f>
        <v>0</v>
      </c>
      <c r="AB500" s="59">
        <f>ROUND(IF(AQ500="1",BH500,0),2)</f>
        <v>0</v>
      </c>
      <c r="AC500" s="59">
        <f>ROUND(IF(AQ500="1",BI500,0),2)</f>
        <v>0</v>
      </c>
      <c r="AD500" s="59">
        <f>ROUND(IF(AQ500="7",BH500,0),2)</f>
        <v>0</v>
      </c>
      <c r="AE500" s="59">
        <f>ROUND(IF(AQ500="7",BI500,0),2)</f>
        <v>0</v>
      </c>
      <c r="AF500" s="59">
        <f>ROUND(IF(AQ500="2",BH500,0),2)</f>
        <v>0</v>
      </c>
      <c r="AG500" s="59">
        <f>ROUND(IF(AQ500="2",BI500,0),2)</f>
        <v>0</v>
      </c>
      <c r="AH500" s="59">
        <f>ROUND(IF(AQ500="0",BJ500,0),2)</f>
        <v>0</v>
      </c>
      <c r="AI500" s="46" t="s">
        <v>488</v>
      </c>
      <c r="AJ500" s="59">
        <f>IF(AN500=0,I500,0)</f>
        <v>0</v>
      </c>
      <c r="AK500" s="59">
        <f>IF(AN500=12,I500,0)</f>
        <v>0</v>
      </c>
      <c r="AL500" s="59">
        <f>IF(AN500=21,I500,0)</f>
        <v>0</v>
      </c>
      <c r="AN500" s="59">
        <v>12</v>
      </c>
      <c r="AO500" s="59">
        <f>H500*0</f>
        <v>0</v>
      </c>
      <c r="AP500" s="59">
        <f>H500*(1-0)</f>
        <v>0</v>
      </c>
      <c r="AQ500" s="61" t="s">
        <v>111</v>
      </c>
      <c r="AV500" s="59">
        <f>ROUND(AW500+AX500,2)</f>
        <v>0</v>
      </c>
      <c r="AW500" s="59">
        <f>ROUND(G500*AO500,2)</f>
        <v>0</v>
      </c>
      <c r="AX500" s="59">
        <f>ROUND(G500*AP500,2)</f>
        <v>0</v>
      </c>
      <c r="AY500" s="61" t="s">
        <v>295</v>
      </c>
      <c r="AZ500" s="61" t="s">
        <v>503</v>
      </c>
      <c r="BA500" s="46" t="s">
        <v>491</v>
      </c>
      <c r="BC500" s="59">
        <f>AW500+AX500</f>
        <v>0</v>
      </c>
      <c r="BD500" s="59">
        <f>H500/(100-BE500)*100</f>
        <v>0</v>
      </c>
      <c r="BE500" s="59">
        <v>0</v>
      </c>
      <c r="BF500" s="59">
        <f>L500</f>
        <v>2.4530000000000003</v>
      </c>
      <c r="BH500" s="59">
        <f>G500*AO500</f>
        <v>0</v>
      </c>
      <c r="BI500" s="59">
        <f>G500*AP500</f>
        <v>0</v>
      </c>
      <c r="BJ500" s="59">
        <f>G500*H500</f>
        <v>0</v>
      </c>
      <c r="BK500" s="59"/>
      <c r="BL500" s="59">
        <v>96</v>
      </c>
      <c r="BW500" s="59">
        <v>12</v>
      </c>
      <c r="BX500" s="16" t="s">
        <v>436</v>
      </c>
    </row>
    <row r="501" spans="1:76" x14ac:dyDescent="0.25">
      <c r="A501" s="62"/>
      <c r="D501" s="63" t="s">
        <v>362</v>
      </c>
      <c r="E501" s="63"/>
      <c r="G501" s="64">
        <v>1.115</v>
      </c>
      <c r="M501" s="65"/>
    </row>
    <row r="502" spans="1:76" ht="15" customHeight="1" x14ac:dyDescent="0.25">
      <c r="A502" s="58" t="s">
        <v>662</v>
      </c>
      <c r="B502" s="18" t="s">
        <v>488</v>
      </c>
      <c r="C502" s="18" t="s">
        <v>438</v>
      </c>
      <c r="D502" s="8" t="s">
        <v>439</v>
      </c>
      <c r="E502" s="8"/>
      <c r="F502" s="18" t="s">
        <v>360</v>
      </c>
      <c r="G502" s="59">
        <v>0.89200000000000002</v>
      </c>
      <c r="H502" s="59">
        <v>0</v>
      </c>
      <c r="I502" s="59">
        <f>ROUND(G502*H502,2)</f>
        <v>0</v>
      </c>
      <c r="J502" s="59">
        <v>0</v>
      </c>
      <c r="K502" s="59">
        <v>2.2000000000000002</v>
      </c>
      <c r="L502" s="59">
        <f>G502*K502</f>
        <v>1.9624000000000001</v>
      </c>
      <c r="M502" s="60" t="s">
        <v>115</v>
      </c>
      <c r="Z502" s="59">
        <f>ROUND(IF(AQ502="5",BJ502,0),2)</f>
        <v>0</v>
      </c>
      <c r="AB502" s="59">
        <f>ROUND(IF(AQ502="1",BH502,0),2)</f>
        <v>0</v>
      </c>
      <c r="AC502" s="59">
        <f>ROUND(IF(AQ502="1",BI502,0),2)</f>
        <v>0</v>
      </c>
      <c r="AD502" s="59">
        <f>ROUND(IF(AQ502="7",BH502,0),2)</f>
        <v>0</v>
      </c>
      <c r="AE502" s="59">
        <f>ROUND(IF(AQ502="7",BI502,0),2)</f>
        <v>0</v>
      </c>
      <c r="AF502" s="59">
        <f>ROUND(IF(AQ502="2",BH502,0),2)</f>
        <v>0</v>
      </c>
      <c r="AG502" s="59">
        <f>ROUND(IF(AQ502="2",BI502,0),2)</f>
        <v>0</v>
      </c>
      <c r="AH502" s="59">
        <f>ROUND(IF(AQ502="0",BJ502,0),2)</f>
        <v>0</v>
      </c>
      <c r="AI502" s="46" t="s">
        <v>488</v>
      </c>
      <c r="AJ502" s="59">
        <f>IF(AN502=0,I502,0)</f>
        <v>0</v>
      </c>
      <c r="AK502" s="59">
        <f>IF(AN502=12,I502,0)</f>
        <v>0</v>
      </c>
      <c r="AL502" s="59">
        <f>IF(AN502=21,I502,0)</f>
        <v>0</v>
      </c>
      <c r="AN502" s="59">
        <v>12</v>
      </c>
      <c r="AO502" s="59">
        <f>H502*0</f>
        <v>0</v>
      </c>
      <c r="AP502" s="59">
        <f>H502*(1-0)</f>
        <v>0</v>
      </c>
      <c r="AQ502" s="61" t="s">
        <v>111</v>
      </c>
      <c r="AV502" s="59">
        <f>ROUND(AW502+AX502,2)</f>
        <v>0</v>
      </c>
      <c r="AW502" s="59">
        <f>ROUND(G502*AO502,2)</f>
        <v>0</v>
      </c>
      <c r="AX502" s="59">
        <f>ROUND(G502*AP502,2)</f>
        <v>0</v>
      </c>
      <c r="AY502" s="61" t="s">
        <v>295</v>
      </c>
      <c r="AZ502" s="61" t="s">
        <v>503</v>
      </c>
      <c r="BA502" s="46" t="s">
        <v>491</v>
      </c>
      <c r="BC502" s="59">
        <f>AW502+AX502</f>
        <v>0</v>
      </c>
      <c r="BD502" s="59">
        <f>H502/(100-BE502)*100</f>
        <v>0</v>
      </c>
      <c r="BE502" s="59">
        <v>0</v>
      </c>
      <c r="BF502" s="59">
        <f>L502</f>
        <v>1.9624000000000001</v>
      </c>
      <c r="BH502" s="59">
        <f>G502*AO502</f>
        <v>0</v>
      </c>
      <c r="BI502" s="59">
        <f>G502*AP502</f>
        <v>0</v>
      </c>
      <c r="BJ502" s="59">
        <f>G502*H502</f>
        <v>0</v>
      </c>
      <c r="BK502" s="59"/>
      <c r="BL502" s="59">
        <v>96</v>
      </c>
      <c r="BW502" s="59">
        <v>12</v>
      </c>
      <c r="BX502" s="16" t="s">
        <v>439</v>
      </c>
    </row>
    <row r="503" spans="1:76" x14ac:dyDescent="0.25">
      <c r="A503" s="62"/>
      <c r="D503" s="63" t="s">
        <v>440</v>
      </c>
      <c r="E503" s="63"/>
      <c r="G503" s="64">
        <v>0.89200000000000002</v>
      </c>
      <c r="M503" s="65"/>
    </row>
    <row r="504" spans="1:76" ht="15" customHeight="1" x14ac:dyDescent="0.25">
      <c r="A504" s="58" t="s">
        <v>663</v>
      </c>
      <c r="B504" s="18" t="s">
        <v>488</v>
      </c>
      <c r="C504" s="18" t="s">
        <v>442</v>
      </c>
      <c r="D504" s="8" t="s">
        <v>443</v>
      </c>
      <c r="E504" s="8"/>
      <c r="F504" s="18" t="s">
        <v>114</v>
      </c>
      <c r="G504" s="59">
        <v>22.3</v>
      </c>
      <c r="H504" s="59">
        <v>0</v>
      </c>
      <c r="I504" s="59">
        <f>ROUND(G504*H504,2)</f>
        <v>0</v>
      </c>
      <c r="J504" s="59">
        <v>0</v>
      </c>
      <c r="K504" s="59">
        <v>1.26E-2</v>
      </c>
      <c r="L504" s="59">
        <f>G504*K504</f>
        <v>0.28098000000000001</v>
      </c>
      <c r="M504" s="60" t="s">
        <v>115</v>
      </c>
      <c r="Z504" s="59">
        <f>ROUND(IF(AQ504="5",BJ504,0),2)</f>
        <v>0</v>
      </c>
      <c r="AB504" s="59">
        <f>ROUND(IF(AQ504="1",BH504,0),2)</f>
        <v>0</v>
      </c>
      <c r="AC504" s="59">
        <f>ROUND(IF(AQ504="1",BI504,0),2)</f>
        <v>0</v>
      </c>
      <c r="AD504" s="59">
        <f>ROUND(IF(AQ504="7",BH504,0),2)</f>
        <v>0</v>
      </c>
      <c r="AE504" s="59">
        <f>ROUND(IF(AQ504="7",BI504,0),2)</f>
        <v>0</v>
      </c>
      <c r="AF504" s="59">
        <f>ROUND(IF(AQ504="2",BH504,0),2)</f>
        <v>0</v>
      </c>
      <c r="AG504" s="59">
        <f>ROUND(IF(AQ504="2",BI504,0),2)</f>
        <v>0</v>
      </c>
      <c r="AH504" s="59">
        <f>ROUND(IF(AQ504="0",BJ504,0),2)</f>
        <v>0</v>
      </c>
      <c r="AI504" s="46" t="s">
        <v>488</v>
      </c>
      <c r="AJ504" s="59">
        <f>IF(AN504=0,I504,0)</f>
        <v>0</v>
      </c>
      <c r="AK504" s="59">
        <f>IF(AN504=12,I504,0)</f>
        <v>0</v>
      </c>
      <c r="AL504" s="59">
        <f>IF(AN504=21,I504,0)</f>
        <v>0</v>
      </c>
      <c r="AN504" s="59">
        <v>12</v>
      </c>
      <c r="AO504" s="59">
        <f>H504*0</f>
        <v>0</v>
      </c>
      <c r="AP504" s="59">
        <f>H504*(1-0)</f>
        <v>0</v>
      </c>
      <c r="AQ504" s="61" t="s">
        <v>111</v>
      </c>
      <c r="AV504" s="59">
        <f>ROUND(AW504+AX504,2)</f>
        <v>0</v>
      </c>
      <c r="AW504" s="59">
        <f>ROUND(G504*AO504,2)</f>
        <v>0</v>
      </c>
      <c r="AX504" s="59">
        <f>ROUND(G504*AP504,2)</f>
        <v>0</v>
      </c>
      <c r="AY504" s="61" t="s">
        <v>295</v>
      </c>
      <c r="AZ504" s="61" t="s">
        <v>503</v>
      </c>
      <c r="BA504" s="46" t="s">
        <v>491</v>
      </c>
      <c r="BC504" s="59">
        <f>AW504+AX504</f>
        <v>0</v>
      </c>
      <c r="BD504" s="59">
        <f>H504/(100-BE504)*100</f>
        <v>0</v>
      </c>
      <c r="BE504" s="59">
        <v>0</v>
      </c>
      <c r="BF504" s="59">
        <f>L504</f>
        <v>0.28098000000000001</v>
      </c>
      <c r="BH504" s="59">
        <f>G504*AO504</f>
        <v>0</v>
      </c>
      <c r="BI504" s="59">
        <f>G504*AP504</f>
        <v>0</v>
      </c>
      <c r="BJ504" s="59">
        <f>G504*H504</f>
        <v>0</v>
      </c>
      <c r="BK504" s="59"/>
      <c r="BL504" s="59">
        <v>96</v>
      </c>
      <c r="BW504" s="59">
        <v>12</v>
      </c>
      <c r="BX504" s="16" t="s">
        <v>443</v>
      </c>
    </row>
    <row r="505" spans="1:76" x14ac:dyDescent="0.25">
      <c r="A505" s="62"/>
      <c r="D505" s="63" t="s">
        <v>444</v>
      </c>
      <c r="E505" s="63"/>
      <c r="G505" s="64">
        <v>22.3</v>
      </c>
      <c r="M505" s="65"/>
    </row>
    <row r="506" spans="1:76" ht="15" customHeight="1" x14ac:dyDescent="0.25">
      <c r="A506" s="58" t="s">
        <v>664</v>
      </c>
      <c r="B506" s="18" t="s">
        <v>488</v>
      </c>
      <c r="C506" s="18" t="s">
        <v>446</v>
      </c>
      <c r="D506" s="8" t="s">
        <v>447</v>
      </c>
      <c r="E506" s="8"/>
      <c r="F506" s="18" t="s">
        <v>114</v>
      </c>
      <c r="G506" s="59">
        <v>23.3</v>
      </c>
      <c r="H506" s="59">
        <v>0</v>
      </c>
      <c r="I506" s="59">
        <f>ROUND(G506*H506,2)</f>
        <v>0</v>
      </c>
      <c r="J506" s="59">
        <v>0</v>
      </c>
      <c r="K506" s="59">
        <v>4.4999999999999998E-2</v>
      </c>
      <c r="L506" s="59">
        <f>G506*K506</f>
        <v>1.0485</v>
      </c>
      <c r="M506" s="60" t="s">
        <v>115</v>
      </c>
      <c r="Z506" s="59">
        <f>ROUND(IF(AQ506="5",BJ506,0),2)</f>
        <v>0</v>
      </c>
      <c r="AB506" s="59">
        <f>ROUND(IF(AQ506="1",BH506,0),2)</f>
        <v>0</v>
      </c>
      <c r="AC506" s="59">
        <f>ROUND(IF(AQ506="1",BI506,0),2)</f>
        <v>0</v>
      </c>
      <c r="AD506" s="59">
        <f>ROUND(IF(AQ506="7",BH506,0),2)</f>
        <v>0</v>
      </c>
      <c r="AE506" s="59">
        <f>ROUND(IF(AQ506="7",BI506,0),2)</f>
        <v>0</v>
      </c>
      <c r="AF506" s="59">
        <f>ROUND(IF(AQ506="2",BH506,0),2)</f>
        <v>0</v>
      </c>
      <c r="AG506" s="59">
        <f>ROUND(IF(AQ506="2",BI506,0),2)</f>
        <v>0</v>
      </c>
      <c r="AH506" s="59">
        <f>ROUND(IF(AQ506="0",BJ506,0),2)</f>
        <v>0</v>
      </c>
      <c r="AI506" s="46" t="s">
        <v>488</v>
      </c>
      <c r="AJ506" s="59">
        <f>IF(AN506=0,I506,0)</f>
        <v>0</v>
      </c>
      <c r="AK506" s="59">
        <f>IF(AN506=12,I506,0)</f>
        <v>0</v>
      </c>
      <c r="AL506" s="59">
        <f>IF(AN506=21,I506,0)</f>
        <v>0</v>
      </c>
      <c r="AN506" s="59">
        <v>12</v>
      </c>
      <c r="AO506" s="59">
        <f>H506*0</f>
        <v>0</v>
      </c>
      <c r="AP506" s="59">
        <f>H506*(1-0)</f>
        <v>0</v>
      </c>
      <c r="AQ506" s="61" t="s">
        <v>111</v>
      </c>
      <c r="AV506" s="59">
        <f>ROUND(AW506+AX506,2)</f>
        <v>0</v>
      </c>
      <c r="AW506" s="59">
        <f>ROUND(G506*AO506,2)</f>
        <v>0</v>
      </c>
      <c r="AX506" s="59">
        <f>ROUND(G506*AP506,2)</f>
        <v>0</v>
      </c>
      <c r="AY506" s="61" t="s">
        <v>295</v>
      </c>
      <c r="AZ506" s="61" t="s">
        <v>503</v>
      </c>
      <c r="BA506" s="46" t="s">
        <v>491</v>
      </c>
      <c r="BC506" s="59">
        <f>AW506+AX506</f>
        <v>0</v>
      </c>
      <c r="BD506" s="59">
        <f>H506/(100-BE506)*100</f>
        <v>0</v>
      </c>
      <c r="BE506" s="59">
        <v>0</v>
      </c>
      <c r="BF506" s="59">
        <f>L506</f>
        <v>1.0485</v>
      </c>
      <c r="BH506" s="59">
        <f>G506*AO506</f>
        <v>0</v>
      </c>
      <c r="BI506" s="59">
        <f>G506*AP506</f>
        <v>0</v>
      </c>
      <c r="BJ506" s="59">
        <f>G506*H506</f>
        <v>0</v>
      </c>
      <c r="BK506" s="59"/>
      <c r="BL506" s="59">
        <v>96</v>
      </c>
      <c r="BW506" s="59">
        <v>12</v>
      </c>
      <c r="BX506" s="16" t="s">
        <v>447</v>
      </c>
    </row>
    <row r="507" spans="1:76" x14ac:dyDescent="0.25">
      <c r="A507" s="62"/>
      <c r="D507" s="63" t="s">
        <v>379</v>
      </c>
      <c r="E507" s="63"/>
      <c r="G507" s="64">
        <v>22.3</v>
      </c>
      <c r="M507" s="65"/>
    </row>
    <row r="508" spans="1:76" x14ac:dyDescent="0.25">
      <c r="A508" s="62"/>
      <c r="D508" s="63" t="s">
        <v>448</v>
      </c>
      <c r="E508" s="63"/>
      <c r="G508" s="64">
        <v>1</v>
      </c>
      <c r="M508" s="65"/>
    </row>
    <row r="509" spans="1:76" ht="15" customHeight="1" x14ac:dyDescent="0.25">
      <c r="A509" s="54"/>
      <c r="B509" s="55" t="s">
        <v>488</v>
      </c>
      <c r="C509" s="55" t="s">
        <v>312</v>
      </c>
      <c r="D509" s="104" t="s">
        <v>313</v>
      </c>
      <c r="E509" s="104"/>
      <c r="F509" s="56" t="s">
        <v>88</v>
      </c>
      <c r="G509" s="56" t="s">
        <v>88</v>
      </c>
      <c r="H509" s="56" t="s">
        <v>88</v>
      </c>
      <c r="I509" s="39">
        <f>SUM(I510)</f>
        <v>0</v>
      </c>
      <c r="J509" s="46"/>
      <c r="K509" s="46"/>
      <c r="L509" s="39">
        <f>SUM(L510)</f>
        <v>1.2511999999999999</v>
      </c>
      <c r="M509" s="57"/>
      <c r="AI509" s="46" t="s">
        <v>488</v>
      </c>
      <c r="AS509" s="39">
        <f>SUM(AJ510)</f>
        <v>0</v>
      </c>
      <c r="AT509" s="39">
        <f>SUM(AK510)</f>
        <v>0</v>
      </c>
      <c r="AU509" s="39">
        <f>SUM(AL510)</f>
        <v>0</v>
      </c>
    </row>
    <row r="510" spans="1:76" ht="15" customHeight="1" x14ac:dyDescent="0.25">
      <c r="A510" s="58" t="s">
        <v>665</v>
      </c>
      <c r="B510" s="18" t="s">
        <v>488</v>
      </c>
      <c r="C510" s="18" t="s">
        <v>315</v>
      </c>
      <c r="D510" s="8" t="s">
        <v>316</v>
      </c>
      <c r="E510" s="8"/>
      <c r="F510" s="18" t="s">
        <v>114</v>
      </c>
      <c r="G510" s="59">
        <v>27.2</v>
      </c>
      <c r="H510" s="59">
        <v>0</v>
      </c>
      <c r="I510" s="59">
        <f>ROUND(G510*H510,2)</f>
        <v>0</v>
      </c>
      <c r="J510" s="59">
        <v>0</v>
      </c>
      <c r="K510" s="59">
        <v>4.5999999999999999E-2</v>
      </c>
      <c r="L510" s="59">
        <f>G510*K510</f>
        <v>1.2511999999999999</v>
      </c>
      <c r="M510" s="60" t="s">
        <v>115</v>
      </c>
      <c r="Z510" s="59">
        <f>ROUND(IF(AQ510="5",BJ510,0),2)</f>
        <v>0</v>
      </c>
      <c r="AB510" s="59">
        <f>ROUND(IF(AQ510="1",BH510,0),2)</f>
        <v>0</v>
      </c>
      <c r="AC510" s="59">
        <f>ROUND(IF(AQ510="1",BI510,0),2)</f>
        <v>0</v>
      </c>
      <c r="AD510" s="59">
        <f>ROUND(IF(AQ510="7",BH510,0),2)</f>
        <v>0</v>
      </c>
      <c r="AE510" s="59">
        <f>ROUND(IF(AQ510="7",BI510,0),2)</f>
        <v>0</v>
      </c>
      <c r="AF510" s="59">
        <f>ROUND(IF(AQ510="2",BH510,0),2)</f>
        <v>0</v>
      </c>
      <c r="AG510" s="59">
        <f>ROUND(IF(AQ510="2",BI510,0),2)</f>
        <v>0</v>
      </c>
      <c r="AH510" s="59">
        <f>ROUND(IF(AQ510="0",BJ510,0),2)</f>
        <v>0</v>
      </c>
      <c r="AI510" s="46" t="s">
        <v>488</v>
      </c>
      <c r="AJ510" s="59">
        <f>IF(AN510=0,I510,0)</f>
        <v>0</v>
      </c>
      <c r="AK510" s="59">
        <f>IF(AN510=12,I510,0)</f>
        <v>0</v>
      </c>
      <c r="AL510" s="59">
        <f>IF(AN510=21,I510,0)</f>
        <v>0</v>
      </c>
      <c r="AN510" s="59">
        <v>12</v>
      </c>
      <c r="AO510" s="59">
        <f>H510*0</f>
        <v>0</v>
      </c>
      <c r="AP510" s="59">
        <f>H510*(1-0)</f>
        <v>0</v>
      </c>
      <c r="AQ510" s="61" t="s">
        <v>111</v>
      </c>
      <c r="AV510" s="59">
        <f>ROUND(AW510+AX510,2)</f>
        <v>0</v>
      </c>
      <c r="AW510" s="59">
        <f>ROUND(G510*AO510,2)</f>
        <v>0</v>
      </c>
      <c r="AX510" s="59">
        <f>ROUND(G510*AP510,2)</f>
        <v>0</v>
      </c>
      <c r="AY510" s="61" t="s">
        <v>317</v>
      </c>
      <c r="AZ510" s="61" t="s">
        <v>503</v>
      </c>
      <c r="BA510" s="46" t="s">
        <v>491</v>
      </c>
      <c r="BC510" s="59">
        <f>AW510+AX510</f>
        <v>0</v>
      </c>
      <c r="BD510" s="59">
        <f>H510/(100-BE510)*100</f>
        <v>0</v>
      </c>
      <c r="BE510" s="59">
        <v>0</v>
      </c>
      <c r="BF510" s="59">
        <f>L510</f>
        <v>1.2511999999999999</v>
      </c>
      <c r="BH510" s="59">
        <f>G510*AO510</f>
        <v>0</v>
      </c>
      <c r="BI510" s="59">
        <f>G510*AP510</f>
        <v>0</v>
      </c>
      <c r="BJ510" s="59">
        <f>G510*H510</f>
        <v>0</v>
      </c>
      <c r="BK510" s="59"/>
      <c r="BL510" s="59">
        <v>97</v>
      </c>
      <c r="BW510" s="59">
        <v>12</v>
      </c>
      <c r="BX510" s="16" t="s">
        <v>316</v>
      </c>
    </row>
    <row r="511" spans="1:76" x14ac:dyDescent="0.25">
      <c r="A511" s="62"/>
      <c r="D511" s="63" t="s">
        <v>502</v>
      </c>
      <c r="E511" s="63"/>
      <c r="G511" s="64">
        <v>27.2</v>
      </c>
      <c r="M511" s="65"/>
    </row>
    <row r="512" spans="1:76" ht="15" customHeight="1" x14ac:dyDescent="0.25">
      <c r="A512" s="54"/>
      <c r="B512" s="55" t="s">
        <v>488</v>
      </c>
      <c r="C512" s="55" t="s">
        <v>318</v>
      </c>
      <c r="D512" s="104" t="s">
        <v>319</v>
      </c>
      <c r="E512" s="104"/>
      <c r="F512" s="56" t="s">
        <v>88</v>
      </c>
      <c r="G512" s="56" t="s">
        <v>88</v>
      </c>
      <c r="H512" s="56" t="s">
        <v>88</v>
      </c>
      <c r="I512" s="39">
        <f>SUM(I513)</f>
        <v>0</v>
      </c>
      <c r="J512" s="46"/>
      <c r="K512" s="46"/>
      <c r="L512" s="39">
        <f>SUM(L513)</f>
        <v>0</v>
      </c>
      <c r="M512" s="57"/>
      <c r="AI512" s="46" t="s">
        <v>488</v>
      </c>
      <c r="AS512" s="39">
        <f>SUM(AJ513)</f>
        <v>0</v>
      </c>
      <c r="AT512" s="39">
        <f>SUM(AK513)</f>
        <v>0</v>
      </c>
      <c r="AU512" s="39">
        <f>SUM(AL513)</f>
        <v>0</v>
      </c>
    </row>
    <row r="513" spans="1:76" ht="15" customHeight="1" x14ac:dyDescent="0.25">
      <c r="A513" s="58" t="s">
        <v>666</v>
      </c>
      <c r="B513" s="18" t="s">
        <v>488</v>
      </c>
      <c r="C513" s="18" t="s">
        <v>321</v>
      </c>
      <c r="D513" s="8" t="s">
        <v>322</v>
      </c>
      <c r="E513" s="8"/>
      <c r="F513" s="18" t="s">
        <v>224</v>
      </c>
      <c r="G513" s="59">
        <v>5.1639999999999997</v>
      </c>
      <c r="H513" s="59">
        <v>0</v>
      </c>
      <c r="I513" s="59">
        <f>ROUND(G513*H513,2)</f>
        <v>0</v>
      </c>
      <c r="J513" s="59">
        <v>0</v>
      </c>
      <c r="K513" s="59">
        <v>0</v>
      </c>
      <c r="L513" s="59">
        <f>G513*K513</f>
        <v>0</v>
      </c>
      <c r="M513" s="60" t="s">
        <v>115</v>
      </c>
      <c r="Z513" s="59">
        <f>ROUND(IF(AQ513="5",BJ513,0),2)</f>
        <v>0</v>
      </c>
      <c r="AB513" s="59">
        <f>ROUND(IF(AQ513="1",BH513,0),2)</f>
        <v>0</v>
      </c>
      <c r="AC513" s="59">
        <f>ROUND(IF(AQ513="1",BI513,0),2)</f>
        <v>0</v>
      </c>
      <c r="AD513" s="59">
        <f>ROUND(IF(AQ513="7",BH513,0),2)</f>
        <v>0</v>
      </c>
      <c r="AE513" s="59">
        <f>ROUND(IF(AQ513="7",BI513,0),2)</f>
        <v>0</v>
      </c>
      <c r="AF513" s="59">
        <f>ROUND(IF(AQ513="2",BH513,0),2)</f>
        <v>0</v>
      </c>
      <c r="AG513" s="59">
        <f>ROUND(IF(AQ513="2",BI513,0),2)</f>
        <v>0</v>
      </c>
      <c r="AH513" s="59">
        <f>ROUND(IF(AQ513="0",BJ513,0),2)</f>
        <v>0</v>
      </c>
      <c r="AI513" s="46" t="s">
        <v>488</v>
      </c>
      <c r="AJ513" s="59">
        <f>IF(AN513=0,I513,0)</f>
        <v>0</v>
      </c>
      <c r="AK513" s="59">
        <f>IF(AN513=12,I513,0)</f>
        <v>0</v>
      </c>
      <c r="AL513" s="59">
        <f>IF(AN513=21,I513,0)</f>
        <v>0</v>
      </c>
      <c r="AN513" s="59">
        <v>12</v>
      </c>
      <c r="AO513" s="59">
        <f>H513*0</f>
        <v>0</v>
      </c>
      <c r="AP513" s="59">
        <f>H513*(1-0)</f>
        <v>0</v>
      </c>
      <c r="AQ513" s="61" t="s">
        <v>137</v>
      </c>
      <c r="AV513" s="59">
        <f>ROUND(AW513+AX513,2)</f>
        <v>0</v>
      </c>
      <c r="AW513" s="59">
        <f>ROUND(G513*AO513,2)</f>
        <v>0</v>
      </c>
      <c r="AX513" s="59">
        <f>ROUND(G513*AP513,2)</f>
        <v>0</v>
      </c>
      <c r="AY513" s="61" t="s">
        <v>323</v>
      </c>
      <c r="AZ513" s="61" t="s">
        <v>503</v>
      </c>
      <c r="BA513" s="46" t="s">
        <v>491</v>
      </c>
      <c r="BC513" s="59">
        <f>AW513+AX513</f>
        <v>0</v>
      </c>
      <c r="BD513" s="59">
        <f>H513/(100-BE513)*100</f>
        <v>0</v>
      </c>
      <c r="BE513" s="59">
        <v>0</v>
      </c>
      <c r="BF513" s="59">
        <f>L513</f>
        <v>0</v>
      </c>
      <c r="BH513" s="59">
        <f>G513*AO513</f>
        <v>0</v>
      </c>
      <c r="BI513" s="59">
        <f>G513*AP513</f>
        <v>0</v>
      </c>
      <c r="BJ513" s="59">
        <f>G513*H513</f>
        <v>0</v>
      </c>
      <c r="BK513" s="59"/>
      <c r="BL513" s="59"/>
      <c r="BW513" s="59">
        <v>12</v>
      </c>
      <c r="BX513" s="16" t="s">
        <v>322</v>
      </c>
    </row>
    <row r="514" spans="1:76" ht="15" customHeight="1" x14ac:dyDescent="0.25">
      <c r="A514" s="54"/>
      <c r="B514" s="55" t="s">
        <v>488</v>
      </c>
      <c r="C514" s="55" t="s">
        <v>324</v>
      </c>
      <c r="D514" s="104" t="s">
        <v>325</v>
      </c>
      <c r="E514" s="104"/>
      <c r="F514" s="56" t="s">
        <v>88</v>
      </c>
      <c r="G514" s="56" t="s">
        <v>88</v>
      </c>
      <c r="H514" s="56" t="s">
        <v>88</v>
      </c>
      <c r="I514" s="39">
        <f>SUM(I515:I529)</f>
        <v>0</v>
      </c>
      <c r="J514" s="46"/>
      <c r="K514" s="46"/>
      <c r="L514" s="39">
        <f>SUM(L515:L529)</f>
        <v>0</v>
      </c>
      <c r="M514" s="57"/>
      <c r="AI514" s="46" t="s">
        <v>488</v>
      </c>
      <c r="AS514" s="39">
        <f>SUM(AJ515:AJ529)</f>
        <v>0</v>
      </c>
      <c r="AT514" s="39">
        <f>SUM(AK515:AK529)</f>
        <v>0</v>
      </c>
      <c r="AU514" s="39">
        <f>SUM(AL515:AL529)</f>
        <v>0</v>
      </c>
    </row>
    <row r="515" spans="1:76" ht="15" customHeight="1" x14ac:dyDescent="0.25">
      <c r="A515" s="58" t="s">
        <v>667</v>
      </c>
      <c r="B515" s="18" t="s">
        <v>488</v>
      </c>
      <c r="C515" s="18" t="s">
        <v>453</v>
      </c>
      <c r="D515" s="8" t="s">
        <v>454</v>
      </c>
      <c r="E515" s="8"/>
      <c r="F515" s="18" t="s">
        <v>224</v>
      </c>
      <c r="G515" s="59">
        <v>9.3800000000000008</v>
      </c>
      <c r="H515" s="59">
        <v>0</v>
      </c>
      <c r="I515" s="59">
        <f>ROUND(G515*H515,2)</f>
        <v>0</v>
      </c>
      <c r="J515" s="59">
        <v>0</v>
      </c>
      <c r="K515" s="59">
        <v>0</v>
      </c>
      <c r="L515" s="59">
        <f>G515*K515</f>
        <v>0</v>
      </c>
      <c r="M515" s="60" t="s">
        <v>115</v>
      </c>
      <c r="Z515" s="59">
        <f>ROUND(IF(AQ515="5",BJ515,0),2)</f>
        <v>0</v>
      </c>
      <c r="AB515" s="59">
        <f>ROUND(IF(AQ515="1",BH515,0),2)</f>
        <v>0</v>
      </c>
      <c r="AC515" s="59">
        <f>ROUND(IF(AQ515="1",BI515,0),2)</f>
        <v>0</v>
      </c>
      <c r="AD515" s="59">
        <f>ROUND(IF(AQ515="7",BH515,0),2)</f>
        <v>0</v>
      </c>
      <c r="AE515" s="59">
        <f>ROUND(IF(AQ515="7",BI515,0),2)</f>
        <v>0</v>
      </c>
      <c r="AF515" s="59">
        <f>ROUND(IF(AQ515="2",BH515,0),2)</f>
        <v>0</v>
      </c>
      <c r="AG515" s="59">
        <f>ROUND(IF(AQ515="2",BI515,0),2)</f>
        <v>0</v>
      </c>
      <c r="AH515" s="59">
        <f>ROUND(IF(AQ515="0",BJ515,0),2)</f>
        <v>0</v>
      </c>
      <c r="AI515" s="46" t="s">
        <v>488</v>
      </c>
      <c r="AJ515" s="59">
        <f>IF(AN515=0,I515,0)</f>
        <v>0</v>
      </c>
      <c r="AK515" s="59">
        <f>IF(AN515=12,I515,0)</f>
        <v>0</v>
      </c>
      <c r="AL515" s="59">
        <f>IF(AN515=21,I515,0)</f>
        <v>0</v>
      </c>
      <c r="AN515" s="59">
        <v>12</v>
      </c>
      <c r="AO515" s="59">
        <f>H515*0</f>
        <v>0</v>
      </c>
      <c r="AP515" s="59">
        <f>H515*(1-0)</f>
        <v>0</v>
      </c>
      <c r="AQ515" s="61" t="s">
        <v>137</v>
      </c>
      <c r="AV515" s="59">
        <f>ROUND(AW515+AX515,2)</f>
        <v>0</v>
      </c>
      <c r="AW515" s="59">
        <f>ROUND(G515*AO515,2)</f>
        <v>0</v>
      </c>
      <c r="AX515" s="59">
        <f>ROUND(G515*AP515,2)</f>
        <v>0</v>
      </c>
      <c r="AY515" s="61" t="s">
        <v>329</v>
      </c>
      <c r="AZ515" s="61" t="s">
        <v>503</v>
      </c>
      <c r="BA515" s="46" t="s">
        <v>491</v>
      </c>
      <c r="BC515" s="59">
        <f>AW515+AX515</f>
        <v>0</v>
      </c>
      <c r="BD515" s="59">
        <f>H515/(100-BE515)*100</f>
        <v>0</v>
      </c>
      <c r="BE515" s="59">
        <v>0</v>
      </c>
      <c r="BF515" s="59">
        <f>L515</f>
        <v>0</v>
      </c>
      <c r="BH515" s="59">
        <f>G515*AO515</f>
        <v>0</v>
      </c>
      <c r="BI515" s="59">
        <f>G515*AP515</f>
        <v>0</v>
      </c>
      <c r="BJ515" s="59">
        <f>G515*H515</f>
        <v>0</v>
      </c>
      <c r="BK515" s="59"/>
      <c r="BL515" s="59"/>
      <c r="BW515" s="59">
        <v>12</v>
      </c>
      <c r="BX515" s="16" t="s">
        <v>454</v>
      </c>
    </row>
    <row r="516" spans="1:76" x14ac:dyDescent="0.25">
      <c r="A516" s="62"/>
      <c r="D516" s="63" t="s">
        <v>506</v>
      </c>
      <c r="E516" s="63"/>
      <c r="G516" s="64">
        <v>9.3800000000000008</v>
      </c>
      <c r="M516" s="65"/>
    </row>
    <row r="517" spans="1:76" ht="15" customHeight="1" x14ac:dyDescent="0.25">
      <c r="A517" s="58" t="s">
        <v>668</v>
      </c>
      <c r="B517" s="18" t="s">
        <v>488</v>
      </c>
      <c r="C517" s="18" t="s">
        <v>327</v>
      </c>
      <c r="D517" s="8" t="s">
        <v>328</v>
      </c>
      <c r="E517" s="8"/>
      <c r="F517" s="18" t="s">
        <v>224</v>
      </c>
      <c r="G517" s="59">
        <v>9.3800000000000008</v>
      </c>
      <c r="H517" s="59">
        <v>0</v>
      </c>
      <c r="I517" s="59">
        <f>ROUND(G517*H517,2)</f>
        <v>0</v>
      </c>
      <c r="J517" s="59">
        <v>0</v>
      </c>
      <c r="K517" s="59">
        <v>0</v>
      </c>
      <c r="L517" s="59">
        <f>G517*K517</f>
        <v>0</v>
      </c>
      <c r="M517" s="60" t="s">
        <v>115</v>
      </c>
      <c r="Z517" s="59">
        <f>ROUND(IF(AQ517="5",BJ517,0),2)</f>
        <v>0</v>
      </c>
      <c r="AB517" s="59">
        <f>ROUND(IF(AQ517="1",BH517,0),2)</f>
        <v>0</v>
      </c>
      <c r="AC517" s="59">
        <f>ROUND(IF(AQ517="1",BI517,0),2)</f>
        <v>0</v>
      </c>
      <c r="AD517" s="59">
        <f>ROUND(IF(AQ517="7",BH517,0),2)</f>
        <v>0</v>
      </c>
      <c r="AE517" s="59">
        <f>ROUND(IF(AQ517="7",BI517,0),2)</f>
        <v>0</v>
      </c>
      <c r="AF517" s="59">
        <f>ROUND(IF(AQ517="2",BH517,0),2)</f>
        <v>0</v>
      </c>
      <c r="AG517" s="59">
        <f>ROUND(IF(AQ517="2",BI517,0),2)</f>
        <v>0</v>
      </c>
      <c r="AH517" s="59">
        <f>ROUND(IF(AQ517="0",BJ517,0),2)</f>
        <v>0</v>
      </c>
      <c r="AI517" s="46" t="s">
        <v>488</v>
      </c>
      <c r="AJ517" s="59">
        <f>IF(AN517=0,I517,0)</f>
        <v>0</v>
      </c>
      <c r="AK517" s="59">
        <f>IF(AN517=12,I517,0)</f>
        <v>0</v>
      </c>
      <c r="AL517" s="59">
        <f>IF(AN517=21,I517,0)</f>
        <v>0</v>
      </c>
      <c r="AN517" s="59">
        <v>12</v>
      </c>
      <c r="AO517" s="59">
        <f>H517*0</f>
        <v>0</v>
      </c>
      <c r="AP517" s="59">
        <f>H517*(1-0)</f>
        <v>0</v>
      </c>
      <c r="AQ517" s="61" t="s">
        <v>137</v>
      </c>
      <c r="AV517" s="59">
        <f>ROUND(AW517+AX517,2)</f>
        <v>0</v>
      </c>
      <c r="AW517" s="59">
        <f>ROUND(G517*AO517,2)</f>
        <v>0</v>
      </c>
      <c r="AX517" s="59">
        <f>ROUND(G517*AP517,2)</f>
        <v>0</v>
      </c>
      <c r="AY517" s="61" t="s">
        <v>329</v>
      </c>
      <c r="AZ517" s="61" t="s">
        <v>503</v>
      </c>
      <c r="BA517" s="46" t="s">
        <v>491</v>
      </c>
      <c r="BC517" s="59">
        <f>AW517+AX517</f>
        <v>0</v>
      </c>
      <c r="BD517" s="59">
        <f>H517/(100-BE517)*100</f>
        <v>0</v>
      </c>
      <c r="BE517" s="59">
        <v>0</v>
      </c>
      <c r="BF517" s="59">
        <f>L517</f>
        <v>0</v>
      </c>
      <c r="BH517" s="59">
        <f>G517*AO517</f>
        <v>0</v>
      </c>
      <c r="BI517" s="59">
        <f>G517*AP517</f>
        <v>0</v>
      </c>
      <c r="BJ517" s="59">
        <f>G517*H517</f>
        <v>0</v>
      </c>
      <c r="BK517" s="59"/>
      <c r="BL517" s="59"/>
      <c r="BW517" s="59">
        <v>12</v>
      </c>
      <c r="BX517" s="16" t="s">
        <v>328</v>
      </c>
    </row>
    <row r="518" spans="1:76" x14ac:dyDescent="0.25">
      <c r="A518" s="62"/>
      <c r="D518" s="63" t="s">
        <v>507</v>
      </c>
      <c r="E518" s="63"/>
      <c r="G518" s="64">
        <v>9.3800000000000008</v>
      </c>
      <c r="M518" s="65"/>
    </row>
    <row r="519" spans="1:76" ht="15" customHeight="1" x14ac:dyDescent="0.25">
      <c r="A519" s="58" t="s">
        <v>669</v>
      </c>
      <c r="B519" s="18" t="s">
        <v>488</v>
      </c>
      <c r="C519" s="18" t="s">
        <v>482</v>
      </c>
      <c r="D519" s="8" t="s">
        <v>483</v>
      </c>
      <c r="E519" s="8"/>
      <c r="F519" s="18" t="s">
        <v>224</v>
      </c>
      <c r="G519" s="59">
        <v>28.14</v>
      </c>
      <c r="H519" s="59">
        <v>0</v>
      </c>
      <c r="I519" s="59">
        <f>ROUND(G519*H519,2)</f>
        <v>0</v>
      </c>
      <c r="J519" s="59">
        <v>0</v>
      </c>
      <c r="K519" s="59">
        <v>0</v>
      </c>
      <c r="L519" s="59">
        <f>G519*K519</f>
        <v>0</v>
      </c>
      <c r="M519" s="60" t="s">
        <v>115</v>
      </c>
      <c r="Z519" s="59">
        <f>ROUND(IF(AQ519="5",BJ519,0),2)</f>
        <v>0</v>
      </c>
      <c r="AB519" s="59">
        <f>ROUND(IF(AQ519="1",BH519,0),2)</f>
        <v>0</v>
      </c>
      <c r="AC519" s="59">
        <f>ROUND(IF(AQ519="1",BI519,0),2)</f>
        <v>0</v>
      </c>
      <c r="AD519" s="59">
        <f>ROUND(IF(AQ519="7",BH519,0),2)</f>
        <v>0</v>
      </c>
      <c r="AE519" s="59">
        <f>ROUND(IF(AQ519="7",BI519,0),2)</f>
        <v>0</v>
      </c>
      <c r="AF519" s="59">
        <f>ROUND(IF(AQ519="2",BH519,0),2)</f>
        <v>0</v>
      </c>
      <c r="AG519" s="59">
        <f>ROUND(IF(AQ519="2",BI519,0),2)</f>
        <v>0</v>
      </c>
      <c r="AH519" s="59">
        <f>ROUND(IF(AQ519="0",BJ519,0),2)</f>
        <v>0</v>
      </c>
      <c r="AI519" s="46" t="s">
        <v>488</v>
      </c>
      <c r="AJ519" s="59">
        <f>IF(AN519=0,I519,0)</f>
        <v>0</v>
      </c>
      <c r="AK519" s="59">
        <f>IF(AN519=12,I519,0)</f>
        <v>0</v>
      </c>
      <c r="AL519" s="59">
        <f>IF(AN519=21,I519,0)</f>
        <v>0</v>
      </c>
      <c r="AN519" s="59">
        <v>12</v>
      </c>
      <c r="AO519" s="59">
        <f>H519*0</f>
        <v>0</v>
      </c>
      <c r="AP519" s="59">
        <f>H519*(1-0)</f>
        <v>0</v>
      </c>
      <c r="AQ519" s="61" t="s">
        <v>137</v>
      </c>
      <c r="AV519" s="59">
        <f>ROUND(AW519+AX519,2)</f>
        <v>0</v>
      </c>
      <c r="AW519" s="59">
        <f>ROUND(G519*AO519,2)</f>
        <v>0</v>
      </c>
      <c r="AX519" s="59">
        <f>ROUND(G519*AP519,2)</f>
        <v>0</v>
      </c>
      <c r="AY519" s="61" t="s">
        <v>329</v>
      </c>
      <c r="AZ519" s="61" t="s">
        <v>503</v>
      </c>
      <c r="BA519" s="46" t="s">
        <v>491</v>
      </c>
      <c r="BC519" s="59">
        <f>AW519+AX519</f>
        <v>0</v>
      </c>
      <c r="BD519" s="59">
        <f>H519/(100-BE519)*100</f>
        <v>0</v>
      </c>
      <c r="BE519" s="59">
        <v>0</v>
      </c>
      <c r="BF519" s="59">
        <f>L519</f>
        <v>0</v>
      </c>
      <c r="BH519" s="59">
        <f>G519*AO519</f>
        <v>0</v>
      </c>
      <c r="BI519" s="59">
        <f>G519*AP519</f>
        <v>0</v>
      </c>
      <c r="BJ519" s="59">
        <f>G519*H519</f>
        <v>0</v>
      </c>
      <c r="BK519" s="59"/>
      <c r="BL519" s="59"/>
      <c r="BW519" s="59">
        <v>12</v>
      </c>
      <c r="BX519" s="16" t="s">
        <v>483</v>
      </c>
    </row>
    <row r="520" spans="1:76" x14ac:dyDescent="0.25">
      <c r="A520" s="62"/>
      <c r="D520" s="63" t="s">
        <v>508</v>
      </c>
      <c r="E520" s="63"/>
      <c r="G520" s="64">
        <v>28.14</v>
      </c>
      <c r="M520" s="65"/>
    </row>
    <row r="521" spans="1:76" ht="15" customHeight="1" x14ac:dyDescent="0.25">
      <c r="A521" s="58" t="s">
        <v>670</v>
      </c>
      <c r="B521" s="18" t="s">
        <v>488</v>
      </c>
      <c r="C521" s="18" t="s">
        <v>332</v>
      </c>
      <c r="D521" s="8" t="s">
        <v>333</v>
      </c>
      <c r="E521" s="8"/>
      <c r="F521" s="18" t="s">
        <v>224</v>
      </c>
      <c r="G521" s="59">
        <v>9.3800000000000008</v>
      </c>
      <c r="H521" s="59">
        <v>0</v>
      </c>
      <c r="I521" s="59">
        <f>ROUND(G521*H521,2)</f>
        <v>0</v>
      </c>
      <c r="J521" s="59">
        <v>0</v>
      </c>
      <c r="K521" s="59">
        <v>0</v>
      </c>
      <c r="L521" s="59">
        <f>G521*K521</f>
        <v>0</v>
      </c>
      <c r="M521" s="60" t="s">
        <v>115</v>
      </c>
      <c r="Z521" s="59">
        <f>ROUND(IF(AQ521="5",BJ521,0),2)</f>
        <v>0</v>
      </c>
      <c r="AB521" s="59">
        <f>ROUND(IF(AQ521="1",BH521,0),2)</f>
        <v>0</v>
      </c>
      <c r="AC521" s="59">
        <f>ROUND(IF(AQ521="1",BI521,0),2)</f>
        <v>0</v>
      </c>
      <c r="AD521" s="59">
        <f>ROUND(IF(AQ521="7",BH521,0),2)</f>
        <v>0</v>
      </c>
      <c r="AE521" s="59">
        <f>ROUND(IF(AQ521="7",BI521,0),2)</f>
        <v>0</v>
      </c>
      <c r="AF521" s="59">
        <f>ROUND(IF(AQ521="2",BH521,0),2)</f>
        <v>0</v>
      </c>
      <c r="AG521" s="59">
        <f>ROUND(IF(AQ521="2",BI521,0),2)</f>
        <v>0</v>
      </c>
      <c r="AH521" s="59">
        <f>ROUND(IF(AQ521="0",BJ521,0),2)</f>
        <v>0</v>
      </c>
      <c r="AI521" s="46" t="s">
        <v>488</v>
      </c>
      <c r="AJ521" s="59">
        <f>IF(AN521=0,I521,0)</f>
        <v>0</v>
      </c>
      <c r="AK521" s="59">
        <f>IF(AN521=12,I521,0)</f>
        <v>0</v>
      </c>
      <c r="AL521" s="59">
        <f>IF(AN521=21,I521,0)</f>
        <v>0</v>
      </c>
      <c r="AN521" s="59">
        <v>12</v>
      </c>
      <c r="AO521" s="59">
        <f>H521*0</f>
        <v>0</v>
      </c>
      <c r="AP521" s="59">
        <f>H521*(1-0)</f>
        <v>0</v>
      </c>
      <c r="AQ521" s="61" t="s">
        <v>137</v>
      </c>
      <c r="AV521" s="59">
        <f>ROUND(AW521+AX521,2)</f>
        <v>0</v>
      </c>
      <c r="AW521" s="59">
        <f>ROUND(G521*AO521,2)</f>
        <v>0</v>
      </c>
      <c r="AX521" s="59">
        <f>ROUND(G521*AP521,2)</f>
        <v>0</v>
      </c>
      <c r="AY521" s="61" t="s">
        <v>329</v>
      </c>
      <c r="AZ521" s="61" t="s">
        <v>503</v>
      </c>
      <c r="BA521" s="46" t="s">
        <v>491</v>
      </c>
      <c r="BC521" s="59">
        <f>AW521+AX521</f>
        <v>0</v>
      </c>
      <c r="BD521" s="59">
        <f>H521/(100-BE521)*100</f>
        <v>0</v>
      </c>
      <c r="BE521" s="59">
        <v>0</v>
      </c>
      <c r="BF521" s="59">
        <f>L521</f>
        <v>0</v>
      </c>
      <c r="BH521" s="59">
        <f>G521*AO521</f>
        <v>0</v>
      </c>
      <c r="BI521" s="59">
        <f>G521*AP521</f>
        <v>0</v>
      </c>
      <c r="BJ521" s="59">
        <f>G521*H521</f>
        <v>0</v>
      </c>
      <c r="BK521" s="59"/>
      <c r="BL521" s="59"/>
      <c r="BW521" s="59">
        <v>12</v>
      </c>
      <c r="BX521" s="16" t="s">
        <v>333</v>
      </c>
    </row>
    <row r="522" spans="1:76" x14ac:dyDescent="0.25">
      <c r="A522" s="62"/>
      <c r="D522" s="63" t="s">
        <v>507</v>
      </c>
      <c r="E522" s="63"/>
      <c r="G522" s="64">
        <v>9.3800000000000008</v>
      </c>
      <c r="M522" s="65"/>
    </row>
    <row r="523" spans="1:76" ht="15" customHeight="1" x14ac:dyDescent="0.25">
      <c r="A523" s="58" t="s">
        <v>671</v>
      </c>
      <c r="B523" s="18" t="s">
        <v>488</v>
      </c>
      <c r="C523" s="18" t="s">
        <v>336</v>
      </c>
      <c r="D523" s="8" t="s">
        <v>337</v>
      </c>
      <c r="E523" s="8"/>
      <c r="F523" s="18" t="s">
        <v>224</v>
      </c>
      <c r="G523" s="59">
        <v>9.3800000000000008</v>
      </c>
      <c r="H523" s="59">
        <v>0</v>
      </c>
      <c r="I523" s="59">
        <f>ROUND(G523*H523,2)</f>
        <v>0</v>
      </c>
      <c r="J523" s="59">
        <v>0</v>
      </c>
      <c r="K523" s="59">
        <v>0</v>
      </c>
      <c r="L523" s="59">
        <f>G523*K523</f>
        <v>0</v>
      </c>
      <c r="M523" s="60" t="s">
        <v>115</v>
      </c>
      <c r="Z523" s="59">
        <f>ROUND(IF(AQ523="5",BJ523,0),2)</f>
        <v>0</v>
      </c>
      <c r="AB523" s="59">
        <f>ROUND(IF(AQ523="1",BH523,0),2)</f>
        <v>0</v>
      </c>
      <c r="AC523" s="59">
        <f>ROUND(IF(AQ523="1",BI523,0),2)</f>
        <v>0</v>
      </c>
      <c r="AD523" s="59">
        <f>ROUND(IF(AQ523="7",BH523,0),2)</f>
        <v>0</v>
      </c>
      <c r="AE523" s="59">
        <f>ROUND(IF(AQ523="7",BI523,0),2)</f>
        <v>0</v>
      </c>
      <c r="AF523" s="59">
        <f>ROUND(IF(AQ523="2",BH523,0),2)</f>
        <v>0</v>
      </c>
      <c r="AG523" s="59">
        <f>ROUND(IF(AQ523="2",BI523,0),2)</f>
        <v>0</v>
      </c>
      <c r="AH523" s="59">
        <f>ROUND(IF(AQ523="0",BJ523,0),2)</f>
        <v>0</v>
      </c>
      <c r="AI523" s="46" t="s">
        <v>488</v>
      </c>
      <c r="AJ523" s="59">
        <f>IF(AN523=0,I523,0)</f>
        <v>0</v>
      </c>
      <c r="AK523" s="59">
        <f>IF(AN523=12,I523,0)</f>
        <v>0</v>
      </c>
      <c r="AL523" s="59">
        <f>IF(AN523=21,I523,0)</f>
        <v>0</v>
      </c>
      <c r="AN523" s="59">
        <v>12</v>
      </c>
      <c r="AO523" s="59">
        <f>H523*0</f>
        <v>0</v>
      </c>
      <c r="AP523" s="59">
        <f>H523*(1-0)</f>
        <v>0</v>
      </c>
      <c r="AQ523" s="61" t="s">
        <v>137</v>
      </c>
      <c r="AV523" s="59">
        <f>ROUND(AW523+AX523,2)</f>
        <v>0</v>
      </c>
      <c r="AW523" s="59">
        <f>ROUND(G523*AO523,2)</f>
        <v>0</v>
      </c>
      <c r="AX523" s="59">
        <f>ROUND(G523*AP523,2)</f>
        <v>0</v>
      </c>
      <c r="AY523" s="61" t="s">
        <v>329</v>
      </c>
      <c r="AZ523" s="61" t="s">
        <v>503</v>
      </c>
      <c r="BA523" s="46" t="s">
        <v>491</v>
      </c>
      <c r="BC523" s="59">
        <f>AW523+AX523</f>
        <v>0</v>
      </c>
      <c r="BD523" s="59">
        <f>H523/(100-BE523)*100</f>
        <v>0</v>
      </c>
      <c r="BE523" s="59">
        <v>0</v>
      </c>
      <c r="BF523" s="59">
        <f>L523</f>
        <v>0</v>
      </c>
      <c r="BH523" s="59">
        <f>G523*AO523</f>
        <v>0</v>
      </c>
      <c r="BI523" s="59">
        <f>G523*AP523</f>
        <v>0</v>
      </c>
      <c r="BJ523" s="59">
        <f>G523*H523</f>
        <v>0</v>
      </c>
      <c r="BK523" s="59"/>
      <c r="BL523" s="59"/>
      <c r="BW523" s="59">
        <v>12</v>
      </c>
      <c r="BX523" s="16" t="s">
        <v>337</v>
      </c>
    </row>
    <row r="524" spans="1:76" x14ac:dyDescent="0.25">
      <c r="A524" s="62"/>
      <c r="D524" s="63" t="s">
        <v>507</v>
      </c>
      <c r="E524" s="63"/>
      <c r="G524" s="64">
        <v>9.3800000000000008</v>
      </c>
      <c r="M524" s="65"/>
    </row>
    <row r="525" spans="1:76" ht="15" customHeight="1" x14ac:dyDescent="0.25">
      <c r="A525" s="58" t="s">
        <v>672</v>
      </c>
      <c r="B525" s="18" t="s">
        <v>488</v>
      </c>
      <c r="C525" s="18" t="s">
        <v>339</v>
      </c>
      <c r="D525" s="8" t="s">
        <v>340</v>
      </c>
      <c r="E525" s="8"/>
      <c r="F525" s="18" t="s">
        <v>224</v>
      </c>
      <c r="G525" s="59">
        <v>2.2200000000000002</v>
      </c>
      <c r="H525" s="59">
        <v>0</v>
      </c>
      <c r="I525" s="59">
        <f>ROUND(G525*H525,2)</f>
        <v>0</v>
      </c>
      <c r="J525" s="59">
        <v>0</v>
      </c>
      <c r="K525" s="59">
        <v>0</v>
      </c>
      <c r="L525" s="59">
        <f>G525*K525</f>
        <v>0</v>
      </c>
      <c r="M525" s="60" t="s">
        <v>115</v>
      </c>
      <c r="Z525" s="59">
        <f>ROUND(IF(AQ525="5",BJ525,0),2)</f>
        <v>0</v>
      </c>
      <c r="AB525" s="59">
        <f>ROUND(IF(AQ525="1",BH525,0),2)</f>
        <v>0</v>
      </c>
      <c r="AC525" s="59">
        <f>ROUND(IF(AQ525="1",BI525,0),2)</f>
        <v>0</v>
      </c>
      <c r="AD525" s="59">
        <f>ROUND(IF(AQ525="7",BH525,0),2)</f>
        <v>0</v>
      </c>
      <c r="AE525" s="59">
        <f>ROUND(IF(AQ525="7",BI525,0),2)</f>
        <v>0</v>
      </c>
      <c r="AF525" s="59">
        <f>ROUND(IF(AQ525="2",BH525,0),2)</f>
        <v>0</v>
      </c>
      <c r="AG525" s="59">
        <f>ROUND(IF(AQ525="2",BI525,0),2)</f>
        <v>0</v>
      </c>
      <c r="AH525" s="59">
        <f>ROUND(IF(AQ525="0",BJ525,0),2)</f>
        <v>0</v>
      </c>
      <c r="AI525" s="46" t="s">
        <v>488</v>
      </c>
      <c r="AJ525" s="59">
        <f>IF(AN525=0,I525,0)</f>
        <v>0</v>
      </c>
      <c r="AK525" s="59">
        <f>IF(AN525=12,I525,0)</f>
        <v>0</v>
      </c>
      <c r="AL525" s="59">
        <f>IF(AN525=21,I525,0)</f>
        <v>0</v>
      </c>
      <c r="AN525" s="59">
        <v>12</v>
      </c>
      <c r="AO525" s="59">
        <f>H525*0</f>
        <v>0</v>
      </c>
      <c r="AP525" s="59">
        <f>H525*(1-0)</f>
        <v>0</v>
      </c>
      <c r="AQ525" s="61" t="s">
        <v>137</v>
      </c>
      <c r="AV525" s="59">
        <f>ROUND(AW525+AX525,2)</f>
        <v>0</v>
      </c>
      <c r="AW525" s="59">
        <f>ROUND(G525*AO525,2)</f>
        <v>0</v>
      </c>
      <c r="AX525" s="59">
        <f>ROUND(G525*AP525,2)</f>
        <v>0</v>
      </c>
      <c r="AY525" s="61" t="s">
        <v>329</v>
      </c>
      <c r="AZ525" s="61" t="s">
        <v>503</v>
      </c>
      <c r="BA525" s="46" t="s">
        <v>491</v>
      </c>
      <c r="BC525" s="59">
        <f>AW525+AX525</f>
        <v>0</v>
      </c>
      <c r="BD525" s="59">
        <f>H525/(100-BE525)*100</f>
        <v>0</v>
      </c>
      <c r="BE525" s="59">
        <v>0</v>
      </c>
      <c r="BF525" s="59">
        <f>L525</f>
        <v>0</v>
      </c>
      <c r="BH525" s="59">
        <f>G525*AO525</f>
        <v>0</v>
      </c>
      <c r="BI525" s="59">
        <f>G525*AP525</f>
        <v>0</v>
      </c>
      <c r="BJ525" s="59">
        <f>G525*H525</f>
        <v>0</v>
      </c>
      <c r="BK525" s="59"/>
      <c r="BL525" s="59"/>
      <c r="BW525" s="59">
        <v>12</v>
      </c>
      <c r="BX525" s="16" t="s">
        <v>340</v>
      </c>
    </row>
    <row r="526" spans="1:76" x14ac:dyDescent="0.25">
      <c r="A526" s="62"/>
      <c r="D526" s="63" t="s">
        <v>509</v>
      </c>
      <c r="E526" s="63"/>
      <c r="G526" s="64">
        <v>2.2200000000000002</v>
      </c>
      <c r="M526" s="65"/>
    </row>
    <row r="527" spans="1:76" ht="24" customHeight="1" x14ac:dyDescent="0.25">
      <c r="A527" s="58" t="s">
        <v>673</v>
      </c>
      <c r="B527" s="18" t="s">
        <v>488</v>
      </c>
      <c r="C527" s="18" t="s">
        <v>343</v>
      </c>
      <c r="D527" s="8" t="s">
        <v>344</v>
      </c>
      <c r="E527" s="8"/>
      <c r="F527" s="18" t="s">
        <v>224</v>
      </c>
      <c r="G527" s="59">
        <v>6.82</v>
      </c>
      <c r="H527" s="59">
        <v>0</v>
      </c>
      <c r="I527" s="59">
        <f>ROUND(G527*H527,2)</f>
        <v>0</v>
      </c>
      <c r="J527" s="59">
        <v>0</v>
      </c>
      <c r="K527" s="59">
        <v>0</v>
      </c>
      <c r="L527" s="59">
        <f>G527*K527</f>
        <v>0</v>
      </c>
      <c r="M527" s="60" t="s">
        <v>115</v>
      </c>
      <c r="Z527" s="59">
        <f>ROUND(IF(AQ527="5",BJ527,0),2)</f>
        <v>0</v>
      </c>
      <c r="AB527" s="59">
        <f>ROUND(IF(AQ527="1",BH527,0),2)</f>
        <v>0</v>
      </c>
      <c r="AC527" s="59">
        <f>ROUND(IF(AQ527="1",BI527,0),2)</f>
        <v>0</v>
      </c>
      <c r="AD527" s="59">
        <f>ROUND(IF(AQ527="7",BH527,0),2)</f>
        <v>0</v>
      </c>
      <c r="AE527" s="59">
        <f>ROUND(IF(AQ527="7",BI527,0),2)</f>
        <v>0</v>
      </c>
      <c r="AF527" s="59">
        <f>ROUND(IF(AQ527="2",BH527,0),2)</f>
        <v>0</v>
      </c>
      <c r="AG527" s="59">
        <f>ROUND(IF(AQ527="2",BI527,0),2)</f>
        <v>0</v>
      </c>
      <c r="AH527" s="59">
        <f>ROUND(IF(AQ527="0",BJ527,0),2)</f>
        <v>0</v>
      </c>
      <c r="AI527" s="46" t="s">
        <v>488</v>
      </c>
      <c r="AJ527" s="59">
        <f>IF(AN527=0,I527,0)</f>
        <v>0</v>
      </c>
      <c r="AK527" s="59">
        <f>IF(AN527=12,I527,0)</f>
        <v>0</v>
      </c>
      <c r="AL527" s="59">
        <f>IF(AN527=21,I527,0)</f>
        <v>0</v>
      </c>
      <c r="AN527" s="59">
        <v>12</v>
      </c>
      <c r="AO527" s="59">
        <f>H527*0</f>
        <v>0</v>
      </c>
      <c r="AP527" s="59">
        <f>H527*(1-0)</f>
        <v>0</v>
      </c>
      <c r="AQ527" s="61" t="s">
        <v>137</v>
      </c>
      <c r="AV527" s="59">
        <f>ROUND(AW527+AX527,2)</f>
        <v>0</v>
      </c>
      <c r="AW527" s="59">
        <f>ROUND(G527*AO527,2)</f>
        <v>0</v>
      </c>
      <c r="AX527" s="59">
        <f>ROUND(G527*AP527,2)</f>
        <v>0</v>
      </c>
      <c r="AY527" s="61" t="s">
        <v>329</v>
      </c>
      <c r="AZ527" s="61" t="s">
        <v>503</v>
      </c>
      <c r="BA527" s="46" t="s">
        <v>491</v>
      </c>
      <c r="BC527" s="59">
        <f>AW527+AX527</f>
        <v>0</v>
      </c>
      <c r="BD527" s="59">
        <f>H527/(100-BE527)*100</f>
        <v>0</v>
      </c>
      <c r="BE527" s="59">
        <v>0</v>
      </c>
      <c r="BF527" s="59">
        <f>L527</f>
        <v>0</v>
      </c>
      <c r="BH527" s="59">
        <f>G527*AO527</f>
        <v>0</v>
      </c>
      <c r="BI527" s="59">
        <f>G527*AP527</f>
        <v>0</v>
      </c>
      <c r="BJ527" s="59">
        <f>G527*H527</f>
        <v>0</v>
      </c>
      <c r="BK527" s="59"/>
      <c r="BL527" s="59"/>
      <c r="BW527" s="59">
        <v>12</v>
      </c>
      <c r="BX527" s="16" t="s">
        <v>344</v>
      </c>
    </row>
    <row r="528" spans="1:76" x14ac:dyDescent="0.25">
      <c r="A528" s="62"/>
      <c r="D528" s="63" t="s">
        <v>510</v>
      </c>
      <c r="E528" s="63"/>
      <c r="G528" s="64">
        <v>6.82</v>
      </c>
      <c r="M528" s="65"/>
    </row>
    <row r="529" spans="1:76" ht="15" customHeight="1" x14ac:dyDescent="0.25">
      <c r="A529" s="58" t="s">
        <v>674</v>
      </c>
      <c r="B529" s="18" t="s">
        <v>488</v>
      </c>
      <c r="C529" s="18" t="s">
        <v>465</v>
      </c>
      <c r="D529" s="8" t="s">
        <v>466</v>
      </c>
      <c r="E529" s="8"/>
      <c r="F529" s="18" t="s">
        <v>224</v>
      </c>
      <c r="G529" s="59">
        <v>0.22</v>
      </c>
      <c r="H529" s="59">
        <v>0</v>
      </c>
      <c r="I529" s="59">
        <f>ROUND(G529*H529,2)</f>
        <v>0</v>
      </c>
      <c r="J529" s="59">
        <v>0</v>
      </c>
      <c r="K529" s="59">
        <v>0</v>
      </c>
      <c r="L529" s="59">
        <f>G529*K529</f>
        <v>0</v>
      </c>
      <c r="M529" s="60" t="s">
        <v>115</v>
      </c>
      <c r="Z529" s="59">
        <f>ROUND(IF(AQ529="5",BJ529,0),2)</f>
        <v>0</v>
      </c>
      <c r="AB529" s="59">
        <f>ROUND(IF(AQ529="1",BH529,0),2)</f>
        <v>0</v>
      </c>
      <c r="AC529" s="59">
        <f>ROUND(IF(AQ529="1",BI529,0),2)</f>
        <v>0</v>
      </c>
      <c r="AD529" s="59">
        <f>ROUND(IF(AQ529="7",BH529,0),2)</f>
        <v>0</v>
      </c>
      <c r="AE529" s="59">
        <f>ROUND(IF(AQ529="7",BI529,0),2)</f>
        <v>0</v>
      </c>
      <c r="AF529" s="59">
        <f>ROUND(IF(AQ529="2",BH529,0),2)</f>
        <v>0</v>
      </c>
      <c r="AG529" s="59">
        <f>ROUND(IF(AQ529="2",BI529,0),2)</f>
        <v>0</v>
      </c>
      <c r="AH529" s="59">
        <f>ROUND(IF(AQ529="0",BJ529,0),2)</f>
        <v>0</v>
      </c>
      <c r="AI529" s="46" t="s">
        <v>488</v>
      </c>
      <c r="AJ529" s="59">
        <f>IF(AN529=0,I529,0)</f>
        <v>0</v>
      </c>
      <c r="AK529" s="59">
        <f>IF(AN529=12,I529,0)</f>
        <v>0</v>
      </c>
      <c r="AL529" s="59">
        <f>IF(AN529=21,I529,0)</f>
        <v>0</v>
      </c>
      <c r="AN529" s="59">
        <v>12</v>
      </c>
      <c r="AO529" s="59">
        <f>H529*0</f>
        <v>0</v>
      </c>
      <c r="AP529" s="59">
        <f>H529*(1-0)</f>
        <v>0</v>
      </c>
      <c r="AQ529" s="61" t="s">
        <v>137</v>
      </c>
      <c r="AV529" s="59">
        <f>ROUND(AW529+AX529,2)</f>
        <v>0</v>
      </c>
      <c r="AW529" s="59">
        <f>ROUND(G529*AO529,2)</f>
        <v>0</v>
      </c>
      <c r="AX529" s="59">
        <f>ROUND(G529*AP529,2)</f>
        <v>0</v>
      </c>
      <c r="AY529" s="61" t="s">
        <v>329</v>
      </c>
      <c r="AZ529" s="61" t="s">
        <v>503</v>
      </c>
      <c r="BA529" s="46" t="s">
        <v>491</v>
      </c>
      <c r="BC529" s="59">
        <f>AW529+AX529</f>
        <v>0</v>
      </c>
      <c r="BD529" s="59">
        <f>H529/(100-BE529)*100</f>
        <v>0</v>
      </c>
      <c r="BE529" s="59">
        <v>0</v>
      </c>
      <c r="BF529" s="59">
        <f>L529</f>
        <v>0</v>
      </c>
      <c r="BH529" s="59">
        <f>G529*AO529</f>
        <v>0</v>
      </c>
      <c r="BI529" s="59">
        <f>G529*AP529</f>
        <v>0</v>
      </c>
      <c r="BJ529" s="59">
        <f>G529*H529</f>
        <v>0</v>
      </c>
      <c r="BK529" s="59"/>
      <c r="BL529" s="59"/>
      <c r="BW529" s="59">
        <v>12</v>
      </c>
      <c r="BX529" s="16" t="s">
        <v>466</v>
      </c>
    </row>
    <row r="530" spans="1:76" x14ac:dyDescent="0.25">
      <c r="A530" s="62"/>
      <c r="D530" s="63" t="s">
        <v>467</v>
      </c>
      <c r="E530" s="63"/>
      <c r="G530" s="64">
        <v>0.22</v>
      </c>
      <c r="M530" s="65"/>
    </row>
    <row r="531" spans="1:76" ht="15" customHeight="1" x14ac:dyDescent="0.25">
      <c r="A531" s="54"/>
      <c r="B531" s="55" t="s">
        <v>514</v>
      </c>
      <c r="C531" s="55"/>
      <c r="D531" s="104" t="s">
        <v>515</v>
      </c>
      <c r="E531" s="104"/>
      <c r="F531" s="56" t="s">
        <v>88</v>
      </c>
      <c r="G531" s="56" t="s">
        <v>88</v>
      </c>
      <c r="H531" s="56" t="s">
        <v>88</v>
      </c>
      <c r="I531" s="39">
        <f>I532+I537+I544+I551+I560+I563+I570+I579+I593+I596+I607+I614+I617+I624+I629+I632+I648+I651+I653</f>
        <v>0</v>
      </c>
      <c r="J531" s="46"/>
      <c r="K531" s="46"/>
      <c r="L531" s="39">
        <f>L532+L537+L544+L551+L560+L563+L570+L579+L593+L596+L607+L614+L617+L624+L629+L632+L648+L651+L653</f>
        <v>16.894295530000001</v>
      </c>
      <c r="M531" s="57"/>
    </row>
    <row r="532" spans="1:76" ht="15" customHeight="1" x14ac:dyDescent="0.25">
      <c r="A532" s="54"/>
      <c r="B532" s="55" t="s">
        <v>514</v>
      </c>
      <c r="C532" s="55" t="s">
        <v>109</v>
      </c>
      <c r="D532" s="104" t="s">
        <v>110</v>
      </c>
      <c r="E532" s="104"/>
      <c r="F532" s="56" t="s">
        <v>88</v>
      </c>
      <c r="G532" s="56" t="s">
        <v>88</v>
      </c>
      <c r="H532" s="56" t="s">
        <v>88</v>
      </c>
      <c r="I532" s="39">
        <f>SUM(I533:I535)</f>
        <v>0</v>
      </c>
      <c r="J532" s="46"/>
      <c r="K532" s="46"/>
      <c r="L532" s="39">
        <f>SUM(L533:L535)</f>
        <v>0.14842520000000001</v>
      </c>
      <c r="M532" s="57"/>
      <c r="AI532" s="46" t="s">
        <v>514</v>
      </c>
      <c r="AS532" s="39">
        <f>SUM(AJ533:AJ535)</f>
        <v>0</v>
      </c>
      <c r="AT532" s="39">
        <f>SUM(AK533:AK535)</f>
        <v>0</v>
      </c>
      <c r="AU532" s="39">
        <f>SUM(AL533:AL535)</f>
        <v>0</v>
      </c>
    </row>
    <row r="533" spans="1:76" ht="15" customHeight="1" x14ac:dyDescent="0.25">
      <c r="A533" s="58" t="s">
        <v>675</v>
      </c>
      <c r="B533" s="18" t="s">
        <v>514</v>
      </c>
      <c r="C533" s="18" t="s">
        <v>112</v>
      </c>
      <c r="D533" s="8" t="s">
        <v>113</v>
      </c>
      <c r="E533" s="8"/>
      <c r="F533" s="18" t="s">
        <v>114</v>
      </c>
      <c r="G533" s="59">
        <v>26.84</v>
      </c>
      <c r="H533" s="59">
        <v>0</v>
      </c>
      <c r="I533" s="59">
        <f>ROUND(G533*H533,2)</f>
        <v>0</v>
      </c>
      <c r="J533" s="59">
        <v>4.5900000000000003E-3</v>
      </c>
      <c r="K533" s="59">
        <v>4.5900000000000003E-3</v>
      </c>
      <c r="L533" s="59">
        <f>G533*K533</f>
        <v>0.1231956</v>
      </c>
      <c r="M533" s="60" t="s">
        <v>115</v>
      </c>
      <c r="Z533" s="59">
        <f>ROUND(IF(AQ533="5",BJ533,0),2)</f>
        <v>0</v>
      </c>
      <c r="AB533" s="59">
        <f>ROUND(IF(AQ533="1",BH533,0),2)</f>
        <v>0</v>
      </c>
      <c r="AC533" s="59">
        <f>ROUND(IF(AQ533="1",BI533,0),2)</f>
        <v>0</v>
      </c>
      <c r="AD533" s="59">
        <f>ROUND(IF(AQ533="7",BH533,0),2)</f>
        <v>0</v>
      </c>
      <c r="AE533" s="59">
        <f>ROUND(IF(AQ533="7",BI533,0),2)</f>
        <v>0</v>
      </c>
      <c r="AF533" s="59">
        <f>ROUND(IF(AQ533="2",BH533,0),2)</f>
        <v>0</v>
      </c>
      <c r="AG533" s="59">
        <f>ROUND(IF(AQ533="2",BI533,0),2)</f>
        <v>0</v>
      </c>
      <c r="AH533" s="59">
        <f>ROUND(IF(AQ533="0",BJ533,0),2)</f>
        <v>0</v>
      </c>
      <c r="AI533" s="46" t="s">
        <v>514</v>
      </c>
      <c r="AJ533" s="59">
        <f>IF(AN533=0,I533,0)</f>
        <v>0</v>
      </c>
      <c r="AK533" s="59">
        <f>IF(AN533=12,I533,0)</f>
        <v>0</v>
      </c>
      <c r="AL533" s="59">
        <f>IF(AN533=21,I533,0)</f>
        <v>0</v>
      </c>
      <c r="AN533" s="59">
        <v>12</v>
      </c>
      <c r="AO533" s="59">
        <f>H533*0.151837697</f>
        <v>0</v>
      </c>
      <c r="AP533" s="59">
        <f>H533*(1-0.151837697)</f>
        <v>0</v>
      </c>
      <c r="AQ533" s="61" t="s">
        <v>111</v>
      </c>
      <c r="AV533" s="59">
        <f>ROUND(AW533+AX533,2)</f>
        <v>0</v>
      </c>
      <c r="AW533" s="59">
        <f>ROUND(G533*AO533,2)</f>
        <v>0</v>
      </c>
      <c r="AX533" s="59">
        <f>ROUND(G533*AP533,2)</f>
        <v>0</v>
      </c>
      <c r="AY533" s="61" t="s">
        <v>116</v>
      </c>
      <c r="AZ533" s="61" t="s">
        <v>516</v>
      </c>
      <c r="BA533" s="46" t="s">
        <v>517</v>
      </c>
      <c r="BC533" s="59">
        <f>AW533+AX533</f>
        <v>0</v>
      </c>
      <c r="BD533" s="59">
        <f>H533/(100-BE533)*100</f>
        <v>0</v>
      </c>
      <c r="BE533" s="59">
        <v>0</v>
      </c>
      <c r="BF533" s="59">
        <f>L533</f>
        <v>0.1231956</v>
      </c>
      <c r="BH533" s="59">
        <f>G533*AO533</f>
        <v>0</v>
      </c>
      <c r="BI533" s="59">
        <f>G533*AP533</f>
        <v>0</v>
      </c>
      <c r="BJ533" s="59">
        <f>G533*H533</f>
        <v>0</v>
      </c>
      <c r="BK533" s="59"/>
      <c r="BL533" s="59">
        <v>60</v>
      </c>
      <c r="BW533" s="59">
        <v>12</v>
      </c>
      <c r="BX533" s="16" t="s">
        <v>113</v>
      </c>
    </row>
    <row r="534" spans="1:76" x14ac:dyDescent="0.25">
      <c r="A534" s="62"/>
      <c r="D534" s="63" t="s">
        <v>120</v>
      </c>
      <c r="E534" s="63"/>
      <c r="G534" s="64">
        <v>26.84</v>
      </c>
      <c r="M534" s="65"/>
    </row>
    <row r="535" spans="1:76" ht="15" customHeight="1" x14ac:dyDescent="0.25">
      <c r="A535" s="58" t="s">
        <v>676</v>
      </c>
      <c r="B535" s="18" t="s">
        <v>514</v>
      </c>
      <c r="C535" s="18" t="s">
        <v>122</v>
      </c>
      <c r="D535" s="8" t="s">
        <v>123</v>
      </c>
      <c r="E535" s="8"/>
      <c r="F535" s="18" t="s">
        <v>114</v>
      </c>
      <c r="G535" s="59">
        <v>53.68</v>
      </c>
      <c r="H535" s="59">
        <v>0</v>
      </c>
      <c r="I535" s="59">
        <f>ROUND(G535*H535,2)</f>
        <v>0</v>
      </c>
      <c r="J535" s="59">
        <v>4.6999999999999999E-4</v>
      </c>
      <c r="K535" s="59">
        <v>4.6999999999999999E-4</v>
      </c>
      <c r="L535" s="59">
        <f>G535*K535</f>
        <v>2.5229599999999998E-2</v>
      </c>
      <c r="M535" s="60" t="s">
        <v>115</v>
      </c>
      <c r="Z535" s="59">
        <f>ROUND(IF(AQ535="5",BJ535,0),2)</f>
        <v>0</v>
      </c>
      <c r="AB535" s="59">
        <f>ROUND(IF(AQ535="1",BH535,0),2)</f>
        <v>0</v>
      </c>
      <c r="AC535" s="59">
        <f>ROUND(IF(AQ535="1",BI535,0),2)</f>
        <v>0</v>
      </c>
      <c r="AD535" s="59">
        <f>ROUND(IF(AQ535="7",BH535,0),2)</f>
        <v>0</v>
      </c>
      <c r="AE535" s="59">
        <f>ROUND(IF(AQ535="7",BI535,0),2)</f>
        <v>0</v>
      </c>
      <c r="AF535" s="59">
        <f>ROUND(IF(AQ535="2",BH535,0),2)</f>
        <v>0</v>
      </c>
      <c r="AG535" s="59">
        <f>ROUND(IF(AQ535="2",BI535,0),2)</f>
        <v>0</v>
      </c>
      <c r="AH535" s="59">
        <f>ROUND(IF(AQ535="0",BJ535,0),2)</f>
        <v>0</v>
      </c>
      <c r="AI535" s="46" t="s">
        <v>514</v>
      </c>
      <c r="AJ535" s="59">
        <f>IF(AN535=0,I535,0)</f>
        <v>0</v>
      </c>
      <c r="AK535" s="59">
        <f>IF(AN535=12,I535,0)</f>
        <v>0</v>
      </c>
      <c r="AL535" s="59">
        <f>IF(AN535=21,I535,0)</f>
        <v>0</v>
      </c>
      <c r="AN535" s="59">
        <v>12</v>
      </c>
      <c r="AO535" s="59">
        <f>H535*0.50964582</f>
        <v>0</v>
      </c>
      <c r="AP535" s="59">
        <f>H535*(1-0.50964582)</f>
        <v>0</v>
      </c>
      <c r="AQ535" s="61" t="s">
        <v>111</v>
      </c>
      <c r="AV535" s="59">
        <f>ROUND(AW535+AX535,2)</f>
        <v>0</v>
      </c>
      <c r="AW535" s="59">
        <f>ROUND(G535*AO535,2)</f>
        <v>0</v>
      </c>
      <c r="AX535" s="59">
        <f>ROUND(G535*AP535,2)</f>
        <v>0</v>
      </c>
      <c r="AY535" s="61" t="s">
        <v>116</v>
      </c>
      <c r="AZ535" s="61" t="s">
        <v>516</v>
      </c>
      <c r="BA535" s="46" t="s">
        <v>517</v>
      </c>
      <c r="BC535" s="59">
        <f>AW535+AX535</f>
        <v>0</v>
      </c>
      <c r="BD535" s="59">
        <f>H535/(100-BE535)*100</f>
        <v>0</v>
      </c>
      <c r="BE535" s="59">
        <v>0</v>
      </c>
      <c r="BF535" s="59">
        <f>L535</f>
        <v>2.5229599999999998E-2</v>
      </c>
      <c r="BH535" s="59">
        <f>G535*AO535</f>
        <v>0</v>
      </c>
      <c r="BI535" s="59">
        <f>G535*AP535</f>
        <v>0</v>
      </c>
      <c r="BJ535" s="59">
        <f>G535*H535</f>
        <v>0</v>
      </c>
      <c r="BK535" s="59"/>
      <c r="BL535" s="59">
        <v>60</v>
      </c>
      <c r="BW535" s="59">
        <v>12</v>
      </c>
      <c r="BX535" s="16" t="s">
        <v>123</v>
      </c>
    </row>
    <row r="536" spans="1:76" x14ac:dyDescent="0.25">
      <c r="A536" s="62"/>
      <c r="D536" s="63" t="s">
        <v>124</v>
      </c>
      <c r="E536" s="63"/>
      <c r="G536" s="64">
        <v>53.68</v>
      </c>
      <c r="M536" s="65"/>
    </row>
    <row r="537" spans="1:76" ht="15" customHeight="1" x14ac:dyDescent="0.25">
      <c r="A537" s="54"/>
      <c r="B537" s="55" t="s">
        <v>514</v>
      </c>
      <c r="C537" s="55" t="s">
        <v>125</v>
      </c>
      <c r="D537" s="104" t="s">
        <v>126</v>
      </c>
      <c r="E537" s="104"/>
      <c r="F537" s="56" t="s">
        <v>88</v>
      </c>
      <c r="G537" s="56" t="s">
        <v>88</v>
      </c>
      <c r="H537" s="56" t="s">
        <v>88</v>
      </c>
      <c r="I537" s="39">
        <f>SUM(I538:I542)</f>
        <v>0</v>
      </c>
      <c r="J537" s="46"/>
      <c r="K537" s="46"/>
      <c r="L537" s="39">
        <f>SUM(L538:L542)</f>
        <v>0.98595199999999994</v>
      </c>
      <c r="M537" s="57"/>
      <c r="AI537" s="46" t="s">
        <v>514</v>
      </c>
      <c r="AS537" s="39">
        <f>SUM(AJ538:AJ542)</f>
        <v>0</v>
      </c>
      <c r="AT537" s="39">
        <f>SUM(AK538:AK542)</f>
        <v>0</v>
      </c>
      <c r="AU537" s="39">
        <f>SUM(AL538:AL542)</f>
        <v>0</v>
      </c>
    </row>
    <row r="538" spans="1:76" ht="15" customHeight="1" x14ac:dyDescent="0.25">
      <c r="A538" s="58" t="s">
        <v>677</v>
      </c>
      <c r="B538" s="18" t="s">
        <v>514</v>
      </c>
      <c r="C538" s="18" t="s">
        <v>128</v>
      </c>
      <c r="D538" s="8" t="s">
        <v>129</v>
      </c>
      <c r="E538" s="8"/>
      <c r="F538" s="18" t="s">
        <v>114</v>
      </c>
      <c r="G538" s="59">
        <v>27.2</v>
      </c>
      <c r="H538" s="59">
        <v>0</v>
      </c>
      <c r="I538" s="59">
        <f>ROUND(G538*H538,2)</f>
        <v>0</v>
      </c>
      <c r="J538" s="59">
        <v>3.5659999999999997E-2</v>
      </c>
      <c r="K538" s="59">
        <v>3.5659999999999997E-2</v>
      </c>
      <c r="L538" s="59">
        <f>G538*K538</f>
        <v>0.96995199999999993</v>
      </c>
      <c r="M538" s="60" t="s">
        <v>115</v>
      </c>
      <c r="Z538" s="59">
        <f>ROUND(IF(AQ538="5",BJ538,0),2)</f>
        <v>0</v>
      </c>
      <c r="AB538" s="59">
        <f>ROUND(IF(AQ538="1",BH538,0),2)</f>
        <v>0</v>
      </c>
      <c r="AC538" s="59">
        <f>ROUND(IF(AQ538="1",BI538,0),2)</f>
        <v>0</v>
      </c>
      <c r="AD538" s="59">
        <f>ROUND(IF(AQ538="7",BH538,0),2)</f>
        <v>0</v>
      </c>
      <c r="AE538" s="59">
        <f>ROUND(IF(AQ538="7",BI538,0),2)</f>
        <v>0</v>
      </c>
      <c r="AF538" s="59">
        <f>ROUND(IF(AQ538="2",BH538,0),2)</f>
        <v>0</v>
      </c>
      <c r="AG538" s="59">
        <f>ROUND(IF(AQ538="2",BI538,0),2)</f>
        <v>0</v>
      </c>
      <c r="AH538" s="59">
        <f>ROUND(IF(AQ538="0",BJ538,0),2)</f>
        <v>0</v>
      </c>
      <c r="AI538" s="46" t="s">
        <v>514</v>
      </c>
      <c r="AJ538" s="59">
        <f>IF(AN538=0,I538,0)</f>
        <v>0</v>
      </c>
      <c r="AK538" s="59">
        <f>IF(AN538=12,I538,0)</f>
        <v>0</v>
      </c>
      <c r="AL538" s="59">
        <f>IF(AN538=21,I538,0)</f>
        <v>0</v>
      </c>
      <c r="AN538" s="59">
        <v>12</v>
      </c>
      <c r="AO538" s="59">
        <f>H538*0.283684274</f>
        <v>0</v>
      </c>
      <c r="AP538" s="59">
        <f>H538*(1-0.283684274)</f>
        <v>0</v>
      </c>
      <c r="AQ538" s="61" t="s">
        <v>111</v>
      </c>
      <c r="AV538" s="59">
        <f>ROUND(AW538+AX538,2)</f>
        <v>0</v>
      </c>
      <c r="AW538" s="59">
        <f>ROUND(G538*AO538,2)</f>
        <v>0</v>
      </c>
      <c r="AX538" s="59">
        <f>ROUND(G538*AP538,2)</f>
        <v>0</v>
      </c>
      <c r="AY538" s="61" t="s">
        <v>130</v>
      </c>
      <c r="AZ538" s="61" t="s">
        <v>516</v>
      </c>
      <c r="BA538" s="46" t="s">
        <v>517</v>
      </c>
      <c r="BC538" s="59">
        <f>AW538+AX538</f>
        <v>0</v>
      </c>
      <c r="BD538" s="59">
        <f>H538/(100-BE538)*100</f>
        <v>0</v>
      </c>
      <c r="BE538" s="59">
        <v>0</v>
      </c>
      <c r="BF538" s="59">
        <f>L538</f>
        <v>0.96995199999999993</v>
      </c>
      <c r="BH538" s="59">
        <f>G538*AO538</f>
        <v>0</v>
      </c>
      <c r="BI538" s="59">
        <f>G538*AP538</f>
        <v>0</v>
      </c>
      <c r="BJ538" s="59">
        <f>G538*H538</f>
        <v>0</v>
      </c>
      <c r="BK538" s="59"/>
      <c r="BL538" s="59">
        <v>61</v>
      </c>
      <c r="BW538" s="59">
        <v>12</v>
      </c>
      <c r="BX538" s="16" t="s">
        <v>129</v>
      </c>
    </row>
    <row r="539" spans="1:76" x14ac:dyDescent="0.25">
      <c r="A539" s="62"/>
      <c r="D539" s="63" t="s">
        <v>492</v>
      </c>
      <c r="E539" s="63"/>
      <c r="G539" s="64">
        <v>27.2</v>
      </c>
      <c r="M539" s="65"/>
    </row>
    <row r="540" spans="1:76" ht="15" customHeight="1" x14ac:dyDescent="0.25">
      <c r="A540" s="58" t="s">
        <v>678</v>
      </c>
      <c r="B540" s="18" t="s">
        <v>514</v>
      </c>
      <c r="C540" s="18" t="s">
        <v>134</v>
      </c>
      <c r="D540" s="8" t="s">
        <v>135</v>
      </c>
      <c r="E540" s="8"/>
      <c r="F540" s="18" t="s">
        <v>114</v>
      </c>
      <c r="G540" s="59">
        <v>60</v>
      </c>
      <c r="H540" s="59">
        <v>0</v>
      </c>
      <c r="I540" s="59">
        <f>ROUND(G540*H540,2)</f>
        <v>0</v>
      </c>
      <c r="J540" s="59">
        <v>4.0000000000000003E-5</v>
      </c>
      <c r="K540" s="59">
        <v>4.0000000000000003E-5</v>
      </c>
      <c r="L540" s="59">
        <f>G540*K540</f>
        <v>2.4000000000000002E-3</v>
      </c>
      <c r="M540" s="60" t="s">
        <v>115</v>
      </c>
      <c r="Z540" s="59">
        <f>ROUND(IF(AQ540="5",BJ540,0),2)</f>
        <v>0</v>
      </c>
      <c r="AB540" s="59">
        <f>ROUND(IF(AQ540="1",BH540,0),2)</f>
        <v>0</v>
      </c>
      <c r="AC540" s="59">
        <f>ROUND(IF(AQ540="1",BI540,0),2)</f>
        <v>0</v>
      </c>
      <c r="AD540" s="59">
        <f>ROUND(IF(AQ540="7",BH540,0),2)</f>
        <v>0</v>
      </c>
      <c r="AE540" s="59">
        <f>ROUND(IF(AQ540="7",BI540,0),2)</f>
        <v>0</v>
      </c>
      <c r="AF540" s="59">
        <f>ROUND(IF(AQ540="2",BH540,0),2)</f>
        <v>0</v>
      </c>
      <c r="AG540" s="59">
        <f>ROUND(IF(AQ540="2",BI540,0),2)</f>
        <v>0</v>
      </c>
      <c r="AH540" s="59">
        <f>ROUND(IF(AQ540="0",BJ540,0),2)</f>
        <v>0</v>
      </c>
      <c r="AI540" s="46" t="s">
        <v>514</v>
      </c>
      <c r="AJ540" s="59">
        <f>IF(AN540=0,I540,0)</f>
        <v>0</v>
      </c>
      <c r="AK540" s="59">
        <f>IF(AN540=12,I540,0)</f>
        <v>0</v>
      </c>
      <c r="AL540" s="59">
        <f>IF(AN540=21,I540,0)</f>
        <v>0</v>
      </c>
      <c r="AN540" s="59">
        <v>12</v>
      </c>
      <c r="AO540" s="59">
        <f>H540*0.267962042</f>
        <v>0</v>
      </c>
      <c r="AP540" s="59">
        <f>H540*(1-0.267962042)</f>
        <v>0</v>
      </c>
      <c r="AQ540" s="61" t="s">
        <v>111</v>
      </c>
      <c r="AV540" s="59">
        <f>ROUND(AW540+AX540,2)</f>
        <v>0</v>
      </c>
      <c r="AW540" s="59">
        <f>ROUND(G540*AO540,2)</f>
        <v>0</v>
      </c>
      <c r="AX540" s="59">
        <f>ROUND(G540*AP540,2)</f>
        <v>0</v>
      </c>
      <c r="AY540" s="61" t="s">
        <v>130</v>
      </c>
      <c r="AZ540" s="61" t="s">
        <v>516</v>
      </c>
      <c r="BA540" s="46" t="s">
        <v>517</v>
      </c>
      <c r="BC540" s="59">
        <f>AW540+AX540</f>
        <v>0</v>
      </c>
      <c r="BD540" s="59">
        <f>H540/(100-BE540)*100</f>
        <v>0</v>
      </c>
      <c r="BE540" s="59">
        <v>0</v>
      </c>
      <c r="BF540" s="59">
        <f>L540</f>
        <v>2.4000000000000002E-3</v>
      </c>
      <c r="BH540" s="59">
        <f>G540*AO540</f>
        <v>0</v>
      </c>
      <c r="BI540" s="59">
        <f>G540*AP540</f>
        <v>0</v>
      </c>
      <c r="BJ540" s="59">
        <f>G540*H540</f>
        <v>0</v>
      </c>
      <c r="BK540" s="59"/>
      <c r="BL540" s="59">
        <v>61</v>
      </c>
      <c r="BW540" s="59">
        <v>12</v>
      </c>
      <c r="BX540" s="16" t="s">
        <v>135</v>
      </c>
    </row>
    <row r="541" spans="1:76" x14ac:dyDescent="0.25">
      <c r="A541" s="62"/>
      <c r="D541" s="63" t="s">
        <v>493</v>
      </c>
      <c r="E541" s="63"/>
      <c r="G541" s="64">
        <v>60</v>
      </c>
      <c r="M541" s="65"/>
    </row>
    <row r="542" spans="1:76" ht="15" customHeight="1" x14ac:dyDescent="0.25">
      <c r="A542" s="58" t="s">
        <v>679</v>
      </c>
      <c r="B542" s="18" t="s">
        <v>514</v>
      </c>
      <c r="C542" s="18" t="s">
        <v>138</v>
      </c>
      <c r="D542" s="8" t="s">
        <v>139</v>
      </c>
      <c r="E542" s="8"/>
      <c r="F542" s="18" t="s">
        <v>140</v>
      </c>
      <c r="G542" s="59">
        <v>136</v>
      </c>
      <c r="H542" s="59">
        <v>0</v>
      </c>
      <c r="I542" s="59">
        <f>ROUND(G542*H542,2)</f>
        <v>0</v>
      </c>
      <c r="J542" s="59">
        <v>1E-4</v>
      </c>
      <c r="K542" s="59">
        <v>1E-4</v>
      </c>
      <c r="L542" s="59">
        <f>G542*K542</f>
        <v>1.3600000000000001E-2</v>
      </c>
      <c r="M542" s="60" t="s">
        <v>115</v>
      </c>
      <c r="Z542" s="59">
        <f>ROUND(IF(AQ542="5",BJ542,0),2)</f>
        <v>0</v>
      </c>
      <c r="AB542" s="59">
        <f>ROUND(IF(AQ542="1",BH542,0),2)</f>
        <v>0</v>
      </c>
      <c r="AC542" s="59">
        <f>ROUND(IF(AQ542="1",BI542,0),2)</f>
        <v>0</v>
      </c>
      <c r="AD542" s="59">
        <f>ROUND(IF(AQ542="7",BH542,0),2)</f>
        <v>0</v>
      </c>
      <c r="AE542" s="59">
        <f>ROUND(IF(AQ542="7",BI542,0),2)</f>
        <v>0</v>
      </c>
      <c r="AF542" s="59">
        <f>ROUND(IF(AQ542="2",BH542,0),2)</f>
        <v>0</v>
      </c>
      <c r="AG542" s="59">
        <f>ROUND(IF(AQ542="2",BI542,0),2)</f>
        <v>0</v>
      </c>
      <c r="AH542" s="59">
        <f>ROUND(IF(AQ542="0",BJ542,0),2)</f>
        <v>0</v>
      </c>
      <c r="AI542" s="46" t="s">
        <v>514</v>
      </c>
      <c r="AJ542" s="59">
        <f>IF(AN542=0,I542,0)</f>
        <v>0</v>
      </c>
      <c r="AK542" s="59">
        <f>IF(AN542=12,I542,0)</f>
        <v>0</v>
      </c>
      <c r="AL542" s="59">
        <f>IF(AN542=21,I542,0)</f>
        <v>0</v>
      </c>
      <c r="AN542" s="59">
        <v>12</v>
      </c>
      <c r="AO542" s="59">
        <f>H542*0.367459878</f>
        <v>0</v>
      </c>
      <c r="AP542" s="59">
        <f>H542*(1-0.367459878)</f>
        <v>0</v>
      </c>
      <c r="AQ542" s="61" t="s">
        <v>111</v>
      </c>
      <c r="AV542" s="59">
        <f>ROUND(AW542+AX542,2)</f>
        <v>0</v>
      </c>
      <c r="AW542" s="59">
        <f>ROUND(G542*AO542,2)</f>
        <v>0</v>
      </c>
      <c r="AX542" s="59">
        <f>ROUND(G542*AP542,2)</f>
        <v>0</v>
      </c>
      <c r="AY542" s="61" t="s">
        <v>130</v>
      </c>
      <c r="AZ542" s="61" t="s">
        <v>516</v>
      </c>
      <c r="BA542" s="46" t="s">
        <v>517</v>
      </c>
      <c r="BC542" s="59">
        <f>AW542+AX542</f>
        <v>0</v>
      </c>
      <c r="BD542" s="59">
        <f>H542/(100-BE542)*100</f>
        <v>0</v>
      </c>
      <c r="BE542" s="59">
        <v>0</v>
      </c>
      <c r="BF542" s="59">
        <f>L542</f>
        <v>1.3600000000000001E-2</v>
      </c>
      <c r="BH542" s="59">
        <f>G542*AO542</f>
        <v>0</v>
      </c>
      <c r="BI542" s="59">
        <f>G542*AP542</f>
        <v>0</v>
      </c>
      <c r="BJ542" s="59">
        <f>G542*H542</f>
        <v>0</v>
      </c>
      <c r="BK542" s="59"/>
      <c r="BL542" s="59">
        <v>61</v>
      </c>
      <c r="BW542" s="59">
        <v>12</v>
      </c>
      <c r="BX542" s="16" t="s">
        <v>139</v>
      </c>
    </row>
    <row r="543" spans="1:76" x14ac:dyDescent="0.25">
      <c r="A543" s="62"/>
      <c r="D543" s="63" t="s">
        <v>494</v>
      </c>
      <c r="E543" s="63"/>
      <c r="G543" s="64">
        <v>136</v>
      </c>
      <c r="M543" s="65"/>
    </row>
    <row r="544" spans="1:76" ht="15" customHeight="1" x14ac:dyDescent="0.25">
      <c r="A544" s="54"/>
      <c r="B544" s="55" t="s">
        <v>514</v>
      </c>
      <c r="C544" s="55" t="s">
        <v>143</v>
      </c>
      <c r="D544" s="104" t="s">
        <v>144</v>
      </c>
      <c r="E544" s="104"/>
      <c r="F544" s="56" t="s">
        <v>88</v>
      </c>
      <c r="G544" s="56" t="s">
        <v>88</v>
      </c>
      <c r="H544" s="56" t="s">
        <v>88</v>
      </c>
      <c r="I544" s="39">
        <f>SUM(I545:I549)</f>
        <v>0</v>
      </c>
      <c r="J544" s="46"/>
      <c r="K544" s="46"/>
      <c r="L544" s="39">
        <f>SUM(L545:L549)</f>
        <v>0.38913170000000002</v>
      </c>
      <c r="M544" s="57"/>
      <c r="AI544" s="46" t="s">
        <v>514</v>
      </c>
      <c r="AS544" s="39">
        <f>SUM(AJ545:AJ549)</f>
        <v>0</v>
      </c>
      <c r="AT544" s="39">
        <f>SUM(AK545:AK549)</f>
        <v>0</v>
      </c>
      <c r="AU544" s="39">
        <f>SUM(AL545:AL549)</f>
        <v>0</v>
      </c>
    </row>
    <row r="545" spans="1:76" ht="15" customHeight="1" x14ac:dyDescent="0.25">
      <c r="A545" s="58" t="s">
        <v>680</v>
      </c>
      <c r="B545" s="18" t="s">
        <v>514</v>
      </c>
      <c r="C545" s="18" t="s">
        <v>146</v>
      </c>
      <c r="D545" s="8" t="s">
        <v>147</v>
      </c>
      <c r="E545" s="8"/>
      <c r="F545" s="18" t="s">
        <v>114</v>
      </c>
      <c r="G545" s="59">
        <v>26.835000000000001</v>
      </c>
      <c r="H545" s="59">
        <v>0</v>
      </c>
      <c r="I545" s="59">
        <f>ROUND(G545*H545,2)</f>
        <v>0</v>
      </c>
      <c r="J545" s="59">
        <v>9.6600000000000002E-3</v>
      </c>
      <c r="K545" s="59">
        <v>9.6600000000000002E-3</v>
      </c>
      <c r="L545" s="59">
        <f>G545*K545</f>
        <v>0.25922610000000001</v>
      </c>
      <c r="M545" s="60" t="s">
        <v>115</v>
      </c>
      <c r="Z545" s="59">
        <f>ROUND(IF(AQ545="5",BJ545,0),2)</f>
        <v>0</v>
      </c>
      <c r="AB545" s="59">
        <f>ROUND(IF(AQ545="1",BH545,0),2)</f>
        <v>0</v>
      </c>
      <c r="AC545" s="59">
        <f>ROUND(IF(AQ545="1",BI545,0),2)</f>
        <v>0</v>
      </c>
      <c r="AD545" s="59">
        <f>ROUND(IF(AQ545="7",BH545,0),2)</f>
        <v>0</v>
      </c>
      <c r="AE545" s="59">
        <f>ROUND(IF(AQ545="7",BI545,0),2)</f>
        <v>0</v>
      </c>
      <c r="AF545" s="59">
        <f>ROUND(IF(AQ545="2",BH545,0),2)</f>
        <v>0</v>
      </c>
      <c r="AG545" s="59">
        <f>ROUND(IF(AQ545="2",BI545,0),2)</f>
        <v>0</v>
      </c>
      <c r="AH545" s="59">
        <f>ROUND(IF(AQ545="0",BJ545,0),2)</f>
        <v>0</v>
      </c>
      <c r="AI545" s="46" t="s">
        <v>514</v>
      </c>
      <c r="AJ545" s="59">
        <f>IF(AN545=0,I545,0)</f>
        <v>0</v>
      </c>
      <c r="AK545" s="59">
        <f>IF(AN545=12,I545,0)</f>
        <v>0</v>
      </c>
      <c r="AL545" s="59">
        <f>IF(AN545=21,I545,0)</f>
        <v>0</v>
      </c>
      <c r="AN545" s="59">
        <v>12</v>
      </c>
      <c r="AO545" s="59">
        <f>H545*0.218564986</f>
        <v>0</v>
      </c>
      <c r="AP545" s="59">
        <f>H545*(1-0.218564986)</f>
        <v>0</v>
      </c>
      <c r="AQ545" s="61" t="s">
        <v>111</v>
      </c>
      <c r="AV545" s="59">
        <f>ROUND(AW545+AX545,2)</f>
        <v>0</v>
      </c>
      <c r="AW545" s="59">
        <f>ROUND(G545*AO545,2)</f>
        <v>0</v>
      </c>
      <c r="AX545" s="59">
        <f>ROUND(G545*AP545,2)</f>
        <v>0</v>
      </c>
      <c r="AY545" s="61" t="s">
        <v>148</v>
      </c>
      <c r="AZ545" s="61" t="s">
        <v>516</v>
      </c>
      <c r="BA545" s="46" t="s">
        <v>517</v>
      </c>
      <c r="BC545" s="59">
        <f>AW545+AX545</f>
        <v>0</v>
      </c>
      <c r="BD545" s="59">
        <f>H545/(100-BE545)*100</f>
        <v>0</v>
      </c>
      <c r="BE545" s="59">
        <v>0</v>
      </c>
      <c r="BF545" s="59">
        <f>L545</f>
        <v>0.25922610000000001</v>
      </c>
      <c r="BH545" s="59">
        <f>G545*AO545</f>
        <v>0</v>
      </c>
      <c r="BI545" s="59">
        <f>G545*AP545</f>
        <v>0</v>
      </c>
      <c r="BJ545" s="59">
        <f>G545*H545</f>
        <v>0</v>
      </c>
      <c r="BK545" s="59"/>
      <c r="BL545" s="59">
        <v>62</v>
      </c>
      <c r="BW545" s="59">
        <v>12</v>
      </c>
      <c r="BX545" s="16" t="s">
        <v>147</v>
      </c>
    </row>
    <row r="546" spans="1:76" x14ac:dyDescent="0.25">
      <c r="A546" s="62"/>
      <c r="D546" s="63" t="s">
        <v>149</v>
      </c>
      <c r="E546" s="63"/>
      <c r="G546" s="64">
        <v>26.835000000000001</v>
      </c>
      <c r="M546" s="65"/>
    </row>
    <row r="547" spans="1:76" ht="15" customHeight="1" x14ac:dyDescent="0.25">
      <c r="A547" s="58" t="s">
        <v>681</v>
      </c>
      <c r="B547" s="18" t="s">
        <v>514</v>
      </c>
      <c r="C547" s="18" t="s">
        <v>151</v>
      </c>
      <c r="D547" s="8" t="s">
        <v>152</v>
      </c>
      <c r="E547" s="8"/>
      <c r="F547" s="18" t="s">
        <v>114</v>
      </c>
      <c r="G547" s="59">
        <v>26.84</v>
      </c>
      <c r="H547" s="59">
        <v>0</v>
      </c>
      <c r="I547" s="59">
        <f>ROUND(G547*H547,2)</f>
        <v>0</v>
      </c>
      <c r="J547" s="59">
        <v>4.3099999999999996E-3</v>
      </c>
      <c r="K547" s="59">
        <v>4.3099999999999996E-3</v>
      </c>
      <c r="L547" s="59">
        <f>G547*K547</f>
        <v>0.11568039999999999</v>
      </c>
      <c r="M547" s="60" t="s">
        <v>115</v>
      </c>
      <c r="Z547" s="59">
        <f>ROUND(IF(AQ547="5",BJ547,0),2)</f>
        <v>0</v>
      </c>
      <c r="AB547" s="59">
        <f>ROUND(IF(AQ547="1",BH547,0),2)</f>
        <v>0</v>
      </c>
      <c r="AC547" s="59">
        <f>ROUND(IF(AQ547="1",BI547,0),2)</f>
        <v>0</v>
      </c>
      <c r="AD547" s="59">
        <f>ROUND(IF(AQ547="7",BH547,0),2)</f>
        <v>0</v>
      </c>
      <c r="AE547" s="59">
        <f>ROUND(IF(AQ547="7",BI547,0),2)</f>
        <v>0</v>
      </c>
      <c r="AF547" s="59">
        <f>ROUND(IF(AQ547="2",BH547,0),2)</f>
        <v>0</v>
      </c>
      <c r="AG547" s="59">
        <f>ROUND(IF(AQ547="2",BI547,0),2)</f>
        <v>0</v>
      </c>
      <c r="AH547" s="59">
        <f>ROUND(IF(AQ547="0",BJ547,0),2)</f>
        <v>0</v>
      </c>
      <c r="AI547" s="46" t="s">
        <v>514</v>
      </c>
      <c r="AJ547" s="59">
        <f>IF(AN547=0,I547,0)</f>
        <v>0</v>
      </c>
      <c r="AK547" s="59">
        <f>IF(AN547=12,I547,0)</f>
        <v>0</v>
      </c>
      <c r="AL547" s="59">
        <f>IF(AN547=21,I547,0)</f>
        <v>0</v>
      </c>
      <c r="AN547" s="59">
        <v>12</v>
      </c>
      <c r="AO547" s="59">
        <f>H547*0.224526803</f>
        <v>0</v>
      </c>
      <c r="AP547" s="59">
        <f>H547*(1-0.224526803)</f>
        <v>0</v>
      </c>
      <c r="AQ547" s="61" t="s">
        <v>111</v>
      </c>
      <c r="AV547" s="59">
        <f>ROUND(AW547+AX547,2)</f>
        <v>0</v>
      </c>
      <c r="AW547" s="59">
        <f>ROUND(G547*AO547,2)</f>
        <v>0</v>
      </c>
      <c r="AX547" s="59">
        <f>ROUND(G547*AP547,2)</f>
        <v>0</v>
      </c>
      <c r="AY547" s="61" t="s">
        <v>148</v>
      </c>
      <c r="AZ547" s="61" t="s">
        <v>516</v>
      </c>
      <c r="BA547" s="46" t="s">
        <v>517</v>
      </c>
      <c r="BC547" s="59">
        <f>AW547+AX547</f>
        <v>0</v>
      </c>
      <c r="BD547" s="59">
        <f>H547/(100-BE547)*100</f>
        <v>0</v>
      </c>
      <c r="BE547" s="59">
        <v>0</v>
      </c>
      <c r="BF547" s="59">
        <f>L547</f>
        <v>0.11568039999999999</v>
      </c>
      <c r="BH547" s="59">
        <f>G547*AO547</f>
        <v>0</v>
      </c>
      <c r="BI547" s="59">
        <f>G547*AP547</f>
        <v>0</v>
      </c>
      <c r="BJ547" s="59">
        <f>G547*H547</f>
        <v>0</v>
      </c>
      <c r="BK547" s="59"/>
      <c r="BL547" s="59">
        <v>62</v>
      </c>
      <c r="BW547" s="59">
        <v>12</v>
      </c>
      <c r="BX547" s="16" t="s">
        <v>152</v>
      </c>
    </row>
    <row r="548" spans="1:76" x14ac:dyDescent="0.25">
      <c r="A548" s="62"/>
      <c r="D548" s="63" t="s">
        <v>120</v>
      </c>
      <c r="E548" s="63"/>
      <c r="G548" s="64">
        <v>26.84</v>
      </c>
      <c r="M548" s="65"/>
    </row>
    <row r="549" spans="1:76" ht="15" customHeight="1" x14ac:dyDescent="0.25">
      <c r="A549" s="58" t="s">
        <v>682</v>
      </c>
      <c r="B549" s="18" t="s">
        <v>514</v>
      </c>
      <c r="C549" s="18" t="s">
        <v>155</v>
      </c>
      <c r="D549" s="8" t="s">
        <v>156</v>
      </c>
      <c r="E549" s="8"/>
      <c r="F549" s="18" t="s">
        <v>114</v>
      </c>
      <c r="G549" s="59">
        <v>26.84</v>
      </c>
      <c r="H549" s="59">
        <v>0</v>
      </c>
      <c r="I549" s="59">
        <f>ROUND(G549*H549,2)</f>
        <v>0</v>
      </c>
      <c r="J549" s="59">
        <v>5.2999999999999998E-4</v>
      </c>
      <c r="K549" s="59">
        <v>5.2999999999999998E-4</v>
      </c>
      <c r="L549" s="59">
        <f>G549*K549</f>
        <v>1.4225199999999999E-2</v>
      </c>
      <c r="M549" s="60" t="s">
        <v>115</v>
      </c>
      <c r="Z549" s="59">
        <f>ROUND(IF(AQ549="5",BJ549,0),2)</f>
        <v>0</v>
      </c>
      <c r="AB549" s="59">
        <f>ROUND(IF(AQ549="1",BH549,0),2)</f>
        <v>0</v>
      </c>
      <c r="AC549" s="59">
        <f>ROUND(IF(AQ549="1",BI549,0),2)</f>
        <v>0</v>
      </c>
      <c r="AD549" s="59">
        <f>ROUND(IF(AQ549="7",BH549,0),2)</f>
        <v>0</v>
      </c>
      <c r="AE549" s="59">
        <f>ROUND(IF(AQ549="7",BI549,0),2)</f>
        <v>0</v>
      </c>
      <c r="AF549" s="59">
        <f>ROUND(IF(AQ549="2",BH549,0),2)</f>
        <v>0</v>
      </c>
      <c r="AG549" s="59">
        <f>ROUND(IF(AQ549="2",BI549,0),2)</f>
        <v>0</v>
      </c>
      <c r="AH549" s="59">
        <f>ROUND(IF(AQ549="0",BJ549,0),2)</f>
        <v>0</v>
      </c>
      <c r="AI549" s="46" t="s">
        <v>514</v>
      </c>
      <c r="AJ549" s="59">
        <f>IF(AN549=0,I549,0)</f>
        <v>0</v>
      </c>
      <c r="AK549" s="59">
        <f>IF(AN549=12,I549,0)</f>
        <v>0</v>
      </c>
      <c r="AL549" s="59">
        <f>IF(AN549=21,I549,0)</f>
        <v>0</v>
      </c>
      <c r="AN549" s="59">
        <v>12</v>
      </c>
      <c r="AO549" s="59">
        <f>H549*0.475328947</f>
        <v>0</v>
      </c>
      <c r="AP549" s="59">
        <f>H549*(1-0.475328947)</f>
        <v>0</v>
      </c>
      <c r="AQ549" s="61" t="s">
        <v>111</v>
      </c>
      <c r="AV549" s="59">
        <f>ROUND(AW549+AX549,2)</f>
        <v>0</v>
      </c>
      <c r="AW549" s="59">
        <f>ROUND(G549*AO549,2)</f>
        <v>0</v>
      </c>
      <c r="AX549" s="59">
        <f>ROUND(G549*AP549,2)</f>
        <v>0</v>
      </c>
      <c r="AY549" s="61" t="s">
        <v>148</v>
      </c>
      <c r="AZ549" s="61" t="s">
        <v>516</v>
      </c>
      <c r="BA549" s="46" t="s">
        <v>517</v>
      </c>
      <c r="BC549" s="59">
        <f>AW549+AX549</f>
        <v>0</v>
      </c>
      <c r="BD549" s="59">
        <f>H549/(100-BE549)*100</f>
        <v>0</v>
      </c>
      <c r="BE549" s="59">
        <v>0</v>
      </c>
      <c r="BF549" s="59">
        <f>L549</f>
        <v>1.4225199999999999E-2</v>
      </c>
      <c r="BH549" s="59">
        <f>G549*AO549</f>
        <v>0</v>
      </c>
      <c r="BI549" s="59">
        <f>G549*AP549</f>
        <v>0</v>
      </c>
      <c r="BJ549" s="59">
        <f>G549*H549</f>
        <v>0</v>
      </c>
      <c r="BK549" s="59"/>
      <c r="BL549" s="59">
        <v>62</v>
      </c>
      <c r="BW549" s="59">
        <v>12</v>
      </c>
      <c r="BX549" s="16" t="s">
        <v>156</v>
      </c>
    </row>
    <row r="550" spans="1:76" x14ac:dyDescent="0.25">
      <c r="A550" s="62"/>
      <c r="D550" s="63" t="s">
        <v>120</v>
      </c>
      <c r="E550" s="63"/>
      <c r="G550" s="64">
        <v>26.84</v>
      </c>
      <c r="M550" s="65"/>
    </row>
    <row r="551" spans="1:76" ht="15" customHeight="1" x14ac:dyDescent="0.25">
      <c r="A551" s="54"/>
      <c r="B551" s="55" t="s">
        <v>514</v>
      </c>
      <c r="C551" s="55" t="s">
        <v>356</v>
      </c>
      <c r="D551" s="104" t="s">
        <v>357</v>
      </c>
      <c r="E551" s="104"/>
      <c r="F551" s="56" t="s">
        <v>88</v>
      </c>
      <c r="G551" s="56" t="s">
        <v>88</v>
      </c>
      <c r="H551" s="56" t="s">
        <v>88</v>
      </c>
      <c r="I551" s="39">
        <f>SUM(I552:I558)</f>
        <v>0</v>
      </c>
      <c r="J551" s="46"/>
      <c r="K551" s="46"/>
      <c r="L551" s="39">
        <f>SUM(L552:L558)</f>
        <v>2.5745817999999998</v>
      </c>
      <c r="M551" s="57"/>
      <c r="AI551" s="46" t="s">
        <v>514</v>
      </c>
      <c r="AS551" s="39">
        <f>SUM(AJ552:AJ558)</f>
        <v>0</v>
      </c>
      <c r="AT551" s="39">
        <f>SUM(AK552:AK558)</f>
        <v>0</v>
      </c>
      <c r="AU551" s="39">
        <f>SUM(AL552:AL558)</f>
        <v>0</v>
      </c>
    </row>
    <row r="552" spans="1:76" ht="15" customHeight="1" x14ac:dyDescent="0.25">
      <c r="A552" s="58" t="s">
        <v>683</v>
      </c>
      <c r="B552" s="18" t="s">
        <v>514</v>
      </c>
      <c r="C552" s="18" t="s">
        <v>358</v>
      </c>
      <c r="D552" s="8" t="s">
        <v>359</v>
      </c>
      <c r="E552" s="8"/>
      <c r="F552" s="18" t="s">
        <v>360</v>
      </c>
      <c r="G552" s="59">
        <v>1.115</v>
      </c>
      <c r="H552" s="59">
        <v>0</v>
      </c>
      <c r="I552" s="59">
        <f>ROUND(G552*H552,2)</f>
        <v>0</v>
      </c>
      <c r="J552" s="59">
        <v>1.919</v>
      </c>
      <c r="K552" s="59">
        <v>1.919</v>
      </c>
      <c r="L552" s="59">
        <f>G552*K552</f>
        <v>2.1396850000000001</v>
      </c>
      <c r="M552" s="60" t="s">
        <v>115</v>
      </c>
      <c r="Z552" s="59">
        <f>ROUND(IF(AQ552="5",BJ552,0),2)</f>
        <v>0</v>
      </c>
      <c r="AB552" s="59">
        <f>ROUND(IF(AQ552="1",BH552,0),2)</f>
        <v>0</v>
      </c>
      <c r="AC552" s="59">
        <f>ROUND(IF(AQ552="1",BI552,0),2)</f>
        <v>0</v>
      </c>
      <c r="AD552" s="59">
        <f>ROUND(IF(AQ552="7",BH552,0),2)</f>
        <v>0</v>
      </c>
      <c r="AE552" s="59">
        <f>ROUND(IF(AQ552="7",BI552,0),2)</f>
        <v>0</v>
      </c>
      <c r="AF552" s="59">
        <f>ROUND(IF(AQ552="2",BH552,0),2)</f>
        <v>0</v>
      </c>
      <c r="AG552" s="59">
        <f>ROUND(IF(AQ552="2",BI552,0),2)</f>
        <v>0</v>
      </c>
      <c r="AH552" s="59">
        <f>ROUND(IF(AQ552="0",BJ552,0),2)</f>
        <v>0</v>
      </c>
      <c r="AI552" s="46" t="s">
        <v>514</v>
      </c>
      <c r="AJ552" s="59">
        <f>IF(AN552=0,I552,0)</f>
        <v>0</v>
      </c>
      <c r="AK552" s="59">
        <f>IF(AN552=12,I552,0)</f>
        <v>0</v>
      </c>
      <c r="AL552" s="59">
        <f>IF(AN552=21,I552,0)</f>
        <v>0</v>
      </c>
      <c r="AN552" s="59">
        <v>12</v>
      </c>
      <c r="AO552" s="59">
        <f>H552*0.822201844</f>
        <v>0</v>
      </c>
      <c r="AP552" s="59">
        <f>H552*(1-0.822201844)</f>
        <v>0</v>
      </c>
      <c r="AQ552" s="61" t="s">
        <v>111</v>
      </c>
      <c r="AV552" s="59">
        <f>ROUND(AW552+AX552,2)</f>
        <v>0</v>
      </c>
      <c r="AW552" s="59">
        <f>ROUND(G552*AO552,2)</f>
        <v>0</v>
      </c>
      <c r="AX552" s="59">
        <f>ROUND(G552*AP552,2)</f>
        <v>0</v>
      </c>
      <c r="AY552" s="61" t="s">
        <v>361</v>
      </c>
      <c r="AZ552" s="61" t="s">
        <v>516</v>
      </c>
      <c r="BA552" s="46" t="s">
        <v>517</v>
      </c>
      <c r="BC552" s="59">
        <f>AW552+AX552</f>
        <v>0</v>
      </c>
      <c r="BD552" s="59">
        <f>H552/(100-BE552)*100</f>
        <v>0</v>
      </c>
      <c r="BE552" s="59">
        <v>0</v>
      </c>
      <c r="BF552" s="59">
        <f>L552</f>
        <v>2.1396850000000001</v>
      </c>
      <c r="BH552" s="59">
        <f>G552*AO552</f>
        <v>0</v>
      </c>
      <c r="BI552" s="59">
        <f>G552*AP552</f>
        <v>0</v>
      </c>
      <c r="BJ552" s="59">
        <f>G552*H552</f>
        <v>0</v>
      </c>
      <c r="BK552" s="59"/>
      <c r="BL552" s="59">
        <v>63</v>
      </c>
      <c r="BW552" s="59">
        <v>12</v>
      </c>
      <c r="BX552" s="16" t="s">
        <v>359</v>
      </c>
    </row>
    <row r="553" spans="1:76" x14ac:dyDescent="0.25">
      <c r="A553" s="62"/>
      <c r="D553" s="63" t="s">
        <v>362</v>
      </c>
      <c r="E553" s="63"/>
      <c r="G553" s="64">
        <v>1.115</v>
      </c>
      <c r="M553" s="65"/>
    </row>
    <row r="554" spans="1:76" ht="15" customHeight="1" x14ac:dyDescent="0.25">
      <c r="A554" s="58" t="s">
        <v>684</v>
      </c>
      <c r="B554" s="18" t="s">
        <v>514</v>
      </c>
      <c r="C554" s="18" t="s">
        <v>363</v>
      </c>
      <c r="D554" s="8" t="s">
        <v>364</v>
      </c>
      <c r="E554" s="8"/>
      <c r="F554" s="18" t="s">
        <v>114</v>
      </c>
      <c r="G554" s="59">
        <v>22.3</v>
      </c>
      <c r="H554" s="59">
        <v>0</v>
      </c>
      <c r="I554" s="59">
        <f>ROUND(G554*H554,2)</f>
        <v>0</v>
      </c>
      <c r="J554" s="59">
        <v>1.5959999999999998E-2</v>
      </c>
      <c r="K554" s="59">
        <v>1.5959999999999998E-2</v>
      </c>
      <c r="L554" s="59">
        <f>G554*K554</f>
        <v>0.355908</v>
      </c>
      <c r="M554" s="60" t="s">
        <v>115</v>
      </c>
      <c r="Z554" s="59">
        <f>ROUND(IF(AQ554="5",BJ554,0),2)</f>
        <v>0</v>
      </c>
      <c r="AB554" s="59">
        <f>ROUND(IF(AQ554="1",BH554,0),2)</f>
        <v>0</v>
      </c>
      <c r="AC554" s="59">
        <f>ROUND(IF(AQ554="1",BI554,0),2)</f>
        <v>0</v>
      </c>
      <c r="AD554" s="59">
        <f>ROUND(IF(AQ554="7",BH554,0),2)</f>
        <v>0</v>
      </c>
      <c r="AE554" s="59">
        <f>ROUND(IF(AQ554="7",BI554,0),2)</f>
        <v>0</v>
      </c>
      <c r="AF554" s="59">
        <f>ROUND(IF(AQ554="2",BH554,0),2)</f>
        <v>0</v>
      </c>
      <c r="AG554" s="59">
        <f>ROUND(IF(AQ554="2",BI554,0),2)</f>
        <v>0</v>
      </c>
      <c r="AH554" s="59">
        <f>ROUND(IF(AQ554="0",BJ554,0),2)</f>
        <v>0</v>
      </c>
      <c r="AI554" s="46" t="s">
        <v>514</v>
      </c>
      <c r="AJ554" s="59">
        <f>IF(AN554=0,I554,0)</f>
        <v>0</v>
      </c>
      <c r="AK554" s="59">
        <f>IF(AN554=12,I554,0)</f>
        <v>0</v>
      </c>
      <c r="AL554" s="59">
        <f>IF(AN554=21,I554,0)</f>
        <v>0</v>
      </c>
      <c r="AN554" s="59">
        <v>12</v>
      </c>
      <c r="AO554" s="59">
        <f>H554*0.665801611</f>
        <v>0</v>
      </c>
      <c r="AP554" s="59">
        <f>H554*(1-0.665801611)</f>
        <v>0</v>
      </c>
      <c r="AQ554" s="61" t="s">
        <v>111</v>
      </c>
      <c r="AV554" s="59">
        <f>ROUND(AW554+AX554,2)</f>
        <v>0</v>
      </c>
      <c r="AW554" s="59">
        <f>ROUND(G554*AO554,2)</f>
        <v>0</v>
      </c>
      <c r="AX554" s="59">
        <f>ROUND(G554*AP554,2)</f>
        <v>0</v>
      </c>
      <c r="AY554" s="61" t="s">
        <v>361</v>
      </c>
      <c r="AZ554" s="61" t="s">
        <v>516</v>
      </c>
      <c r="BA554" s="46" t="s">
        <v>517</v>
      </c>
      <c r="BC554" s="59">
        <f>AW554+AX554</f>
        <v>0</v>
      </c>
      <c r="BD554" s="59">
        <f>H554/(100-BE554)*100</f>
        <v>0</v>
      </c>
      <c r="BE554" s="59">
        <v>0</v>
      </c>
      <c r="BF554" s="59">
        <f>L554</f>
        <v>0.355908</v>
      </c>
      <c r="BH554" s="59">
        <f>G554*AO554</f>
        <v>0</v>
      </c>
      <c r="BI554" s="59">
        <f>G554*AP554</f>
        <v>0</v>
      </c>
      <c r="BJ554" s="59">
        <f>G554*H554</f>
        <v>0</v>
      </c>
      <c r="BK554" s="59"/>
      <c r="BL554" s="59">
        <v>63</v>
      </c>
      <c r="BW554" s="59">
        <v>12</v>
      </c>
      <c r="BX554" s="16" t="s">
        <v>364</v>
      </c>
    </row>
    <row r="555" spans="1:76" x14ac:dyDescent="0.25">
      <c r="A555" s="62"/>
      <c r="D555" s="63" t="s">
        <v>365</v>
      </c>
      <c r="E555" s="63"/>
      <c r="G555" s="64">
        <v>22.3</v>
      </c>
      <c r="M555" s="65"/>
    </row>
    <row r="556" spans="1:76" ht="15" customHeight="1" x14ac:dyDescent="0.25">
      <c r="A556" s="58" t="s">
        <v>685</v>
      </c>
      <c r="B556" s="18" t="s">
        <v>514</v>
      </c>
      <c r="C556" s="18" t="s">
        <v>366</v>
      </c>
      <c r="D556" s="8" t="s">
        <v>367</v>
      </c>
      <c r="E556" s="8"/>
      <c r="F556" s="18" t="s">
        <v>114</v>
      </c>
      <c r="G556" s="59">
        <v>5.61</v>
      </c>
      <c r="H556" s="59">
        <v>0</v>
      </c>
      <c r="I556" s="59">
        <f>ROUND(G556*H556,2)</f>
        <v>0</v>
      </c>
      <c r="J556" s="59">
        <v>1.4080000000000001E-2</v>
      </c>
      <c r="K556" s="59">
        <v>1.4080000000000001E-2</v>
      </c>
      <c r="L556" s="59">
        <f>G556*K556</f>
        <v>7.8988800000000012E-2</v>
      </c>
      <c r="M556" s="60" t="s">
        <v>115</v>
      </c>
      <c r="Z556" s="59">
        <f>ROUND(IF(AQ556="5",BJ556,0),2)</f>
        <v>0</v>
      </c>
      <c r="AB556" s="59">
        <f>ROUND(IF(AQ556="1",BH556,0),2)</f>
        <v>0</v>
      </c>
      <c r="AC556" s="59">
        <f>ROUND(IF(AQ556="1",BI556,0),2)</f>
        <v>0</v>
      </c>
      <c r="AD556" s="59">
        <f>ROUND(IF(AQ556="7",BH556,0),2)</f>
        <v>0</v>
      </c>
      <c r="AE556" s="59">
        <f>ROUND(IF(AQ556="7",BI556,0),2)</f>
        <v>0</v>
      </c>
      <c r="AF556" s="59">
        <f>ROUND(IF(AQ556="2",BH556,0),2)</f>
        <v>0</v>
      </c>
      <c r="AG556" s="59">
        <f>ROUND(IF(AQ556="2",BI556,0),2)</f>
        <v>0</v>
      </c>
      <c r="AH556" s="59">
        <f>ROUND(IF(AQ556="0",BJ556,0),2)</f>
        <v>0</v>
      </c>
      <c r="AI556" s="46" t="s">
        <v>514</v>
      </c>
      <c r="AJ556" s="59">
        <f>IF(AN556=0,I556,0)</f>
        <v>0</v>
      </c>
      <c r="AK556" s="59">
        <f>IF(AN556=12,I556,0)</f>
        <v>0</v>
      </c>
      <c r="AL556" s="59">
        <f>IF(AN556=21,I556,0)</f>
        <v>0</v>
      </c>
      <c r="AN556" s="59">
        <v>12</v>
      </c>
      <c r="AO556" s="59">
        <f>H556*0.434931647</f>
        <v>0</v>
      </c>
      <c r="AP556" s="59">
        <f>H556*(1-0.434931647)</f>
        <v>0</v>
      </c>
      <c r="AQ556" s="61" t="s">
        <v>111</v>
      </c>
      <c r="AV556" s="59">
        <f>ROUND(AW556+AX556,2)</f>
        <v>0</v>
      </c>
      <c r="AW556" s="59">
        <f>ROUND(G556*AO556,2)</f>
        <v>0</v>
      </c>
      <c r="AX556" s="59">
        <f>ROUND(G556*AP556,2)</f>
        <v>0</v>
      </c>
      <c r="AY556" s="61" t="s">
        <v>361</v>
      </c>
      <c r="AZ556" s="61" t="s">
        <v>516</v>
      </c>
      <c r="BA556" s="46" t="s">
        <v>517</v>
      </c>
      <c r="BC556" s="59">
        <f>AW556+AX556</f>
        <v>0</v>
      </c>
      <c r="BD556" s="59">
        <f>H556/(100-BE556)*100</f>
        <v>0</v>
      </c>
      <c r="BE556" s="59">
        <v>0</v>
      </c>
      <c r="BF556" s="59">
        <f>L556</f>
        <v>7.8988800000000012E-2</v>
      </c>
      <c r="BH556" s="59">
        <f>G556*AO556</f>
        <v>0</v>
      </c>
      <c r="BI556" s="59">
        <f>G556*AP556</f>
        <v>0</v>
      </c>
      <c r="BJ556" s="59">
        <f>G556*H556</f>
        <v>0</v>
      </c>
      <c r="BK556" s="59"/>
      <c r="BL556" s="59">
        <v>63</v>
      </c>
      <c r="BW556" s="59">
        <v>12</v>
      </c>
      <c r="BX556" s="16" t="s">
        <v>367</v>
      </c>
    </row>
    <row r="557" spans="1:76" x14ac:dyDescent="0.25">
      <c r="A557" s="62"/>
      <c r="D557" s="63" t="s">
        <v>368</v>
      </c>
      <c r="E557" s="63"/>
      <c r="G557" s="64">
        <v>5.61</v>
      </c>
      <c r="M557" s="65"/>
    </row>
    <row r="558" spans="1:76" ht="15" customHeight="1" x14ac:dyDescent="0.25">
      <c r="A558" s="58" t="s">
        <v>686</v>
      </c>
      <c r="B558" s="18" t="s">
        <v>514</v>
      </c>
      <c r="C558" s="18" t="s">
        <v>369</v>
      </c>
      <c r="D558" s="8" t="s">
        <v>370</v>
      </c>
      <c r="E558" s="8"/>
      <c r="F558" s="18" t="s">
        <v>114</v>
      </c>
      <c r="G558" s="59">
        <v>5.61</v>
      </c>
      <c r="H558" s="59">
        <v>0</v>
      </c>
      <c r="I558" s="59">
        <f>ROUND(G558*H558,2)</f>
        <v>0</v>
      </c>
      <c r="J558" s="59">
        <v>0</v>
      </c>
      <c r="K558" s="59">
        <v>0</v>
      </c>
      <c r="L558" s="59">
        <f>G558*K558</f>
        <v>0</v>
      </c>
      <c r="M558" s="60" t="s">
        <v>115</v>
      </c>
      <c r="Z558" s="59">
        <f>ROUND(IF(AQ558="5",BJ558,0),2)</f>
        <v>0</v>
      </c>
      <c r="AB558" s="59">
        <f>ROUND(IF(AQ558="1",BH558,0),2)</f>
        <v>0</v>
      </c>
      <c r="AC558" s="59">
        <f>ROUND(IF(AQ558="1",BI558,0),2)</f>
        <v>0</v>
      </c>
      <c r="AD558" s="59">
        <f>ROUND(IF(AQ558="7",BH558,0),2)</f>
        <v>0</v>
      </c>
      <c r="AE558" s="59">
        <f>ROUND(IF(AQ558="7",BI558,0),2)</f>
        <v>0</v>
      </c>
      <c r="AF558" s="59">
        <f>ROUND(IF(AQ558="2",BH558,0),2)</f>
        <v>0</v>
      </c>
      <c r="AG558" s="59">
        <f>ROUND(IF(AQ558="2",BI558,0),2)</f>
        <v>0</v>
      </c>
      <c r="AH558" s="59">
        <f>ROUND(IF(AQ558="0",BJ558,0),2)</f>
        <v>0</v>
      </c>
      <c r="AI558" s="46" t="s">
        <v>514</v>
      </c>
      <c r="AJ558" s="59">
        <f>IF(AN558=0,I558,0)</f>
        <v>0</v>
      </c>
      <c r="AK558" s="59">
        <f>IF(AN558=12,I558,0)</f>
        <v>0</v>
      </c>
      <c r="AL558" s="59">
        <f>IF(AN558=21,I558,0)</f>
        <v>0</v>
      </c>
      <c r="AN558" s="59">
        <v>12</v>
      </c>
      <c r="AO558" s="59">
        <f>H558*0</f>
        <v>0</v>
      </c>
      <c r="AP558" s="59">
        <f>H558*(1-0)</f>
        <v>0</v>
      </c>
      <c r="AQ558" s="61" t="s">
        <v>111</v>
      </c>
      <c r="AV558" s="59">
        <f>ROUND(AW558+AX558,2)</f>
        <v>0</v>
      </c>
      <c r="AW558" s="59">
        <f>ROUND(G558*AO558,2)</f>
        <v>0</v>
      </c>
      <c r="AX558" s="59">
        <f>ROUND(G558*AP558,2)</f>
        <v>0</v>
      </c>
      <c r="AY558" s="61" t="s">
        <v>361</v>
      </c>
      <c r="AZ558" s="61" t="s">
        <v>516</v>
      </c>
      <c r="BA558" s="46" t="s">
        <v>517</v>
      </c>
      <c r="BC558" s="59">
        <f>AW558+AX558</f>
        <v>0</v>
      </c>
      <c r="BD558" s="59">
        <f>H558/(100-BE558)*100</f>
        <v>0</v>
      </c>
      <c r="BE558" s="59">
        <v>0</v>
      </c>
      <c r="BF558" s="59">
        <f>L558</f>
        <v>0</v>
      </c>
      <c r="BH558" s="59">
        <f>G558*AO558</f>
        <v>0</v>
      </c>
      <c r="BI558" s="59">
        <f>G558*AP558</f>
        <v>0</v>
      </c>
      <c r="BJ558" s="59">
        <f>G558*H558</f>
        <v>0</v>
      </c>
      <c r="BK558" s="59"/>
      <c r="BL558" s="59">
        <v>63</v>
      </c>
      <c r="BW558" s="59">
        <v>12</v>
      </c>
      <c r="BX558" s="16" t="s">
        <v>370</v>
      </c>
    </row>
    <row r="559" spans="1:76" x14ac:dyDescent="0.25">
      <c r="A559" s="62"/>
      <c r="D559" s="63" t="s">
        <v>371</v>
      </c>
      <c r="E559" s="63"/>
      <c r="G559" s="64">
        <v>5.61</v>
      </c>
      <c r="M559" s="65"/>
    </row>
    <row r="560" spans="1:76" ht="15" customHeight="1" x14ac:dyDescent="0.25">
      <c r="A560" s="54"/>
      <c r="B560" s="55" t="s">
        <v>514</v>
      </c>
      <c r="C560" s="55" t="s">
        <v>157</v>
      </c>
      <c r="D560" s="104" t="s">
        <v>158</v>
      </c>
      <c r="E560" s="104"/>
      <c r="F560" s="56" t="s">
        <v>88</v>
      </c>
      <c r="G560" s="56" t="s">
        <v>88</v>
      </c>
      <c r="H560" s="56" t="s">
        <v>88</v>
      </c>
      <c r="I560" s="39">
        <f>SUM(I561)</f>
        <v>0</v>
      </c>
      <c r="J560" s="46"/>
      <c r="K560" s="46"/>
      <c r="L560" s="39">
        <f>SUM(L561)</f>
        <v>0.15338399999999999</v>
      </c>
      <c r="M560" s="57"/>
      <c r="AI560" s="46" t="s">
        <v>514</v>
      </c>
      <c r="AS560" s="39">
        <f>SUM(AJ561)</f>
        <v>0</v>
      </c>
      <c r="AT560" s="39">
        <f>SUM(AK561)</f>
        <v>0</v>
      </c>
      <c r="AU560" s="39">
        <f>SUM(AL561)</f>
        <v>0</v>
      </c>
    </row>
    <row r="561" spans="1:76" ht="15" customHeight="1" x14ac:dyDescent="0.25">
      <c r="A561" s="58" t="s">
        <v>687</v>
      </c>
      <c r="B561" s="18" t="s">
        <v>514</v>
      </c>
      <c r="C561" s="18" t="s">
        <v>160</v>
      </c>
      <c r="D561" s="8" t="s">
        <v>161</v>
      </c>
      <c r="E561" s="8"/>
      <c r="F561" s="18" t="s">
        <v>140</v>
      </c>
      <c r="G561" s="59">
        <v>24.9</v>
      </c>
      <c r="H561" s="59">
        <v>0</v>
      </c>
      <c r="I561" s="59">
        <f>ROUND(G561*H561,2)</f>
        <v>0</v>
      </c>
      <c r="J561" s="59">
        <v>6.1599999999999997E-3</v>
      </c>
      <c r="K561" s="59">
        <v>6.1599999999999997E-3</v>
      </c>
      <c r="L561" s="59">
        <f>G561*K561</f>
        <v>0.15338399999999999</v>
      </c>
      <c r="M561" s="60" t="s">
        <v>115</v>
      </c>
      <c r="Z561" s="59">
        <f>ROUND(IF(AQ561="5",BJ561,0),2)</f>
        <v>0</v>
      </c>
      <c r="AB561" s="59">
        <f>ROUND(IF(AQ561="1",BH561,0),2)</f>
        <v>0</v>
      </c>
      <c r="AC561" s="59">
        <f>ROUND(IF(AQ561="1",BI561,0),2)</f>
        <v>0</v>
      </c>
      <c r="AD561" s="59">
        <f>ROUND(IF(AQ561="7",BH561,0),2)</f>
        <v>0</v>
      </c>
      <c r="AE561" s="59">
        <f>ROUND(IF(AQ561="7",BI561,0),2)</f>
        <v>0</v>
      </c>
      <c r="AF561" s="59">
        <f>ROUND(IF(AQ561="2",BH561,0),2)</f>
        <v>0</v>
      </c>
      <c r="AG561" s="59">
        <f>ROUND(IF(AQ561="2",BI561,0),2)</f>
        <v>0</v>
      </c>
      <c r="AH561" s="59">
        <f>ROUND(IF(AQ561="0",BJ561,0),2)</f>
        <v>0</v>
      </c>
      <c r="AI561" s="46" t="s">
        <v>514</v>
      </c>
      <c r="AJ561" s="59">
        <f>IF(AN561=0,I561,0)</f>
        <v>0</v>
      </c>
      <c r="AK561" s="59">
        <f>IF(AN561=12,I561,0)</f>
        <v>0</v>
      </c>
      <c r="AL561" s="59">
        <f>IF(AN561=21,I561,0)</f>
        <v>0</v>
      </c>
      <c r="AN561" s="59">
        <v>12</v>
      </c>
      <c r="AO561" s="59">
        <f>H561*0.526177858</f>
        <v>0</v>
      </c>
      <c r="AP561" s="59">
        <f>H561*(1-0.526177858)</f>
        <v>0</v>
      </c>
      <c r="AQ561" s="61" t="s">
        <v>111</v>
      </c>
      <c r="AV561" s="59">
        <f>ROUND(AW561+AX561,2)</f>
        <v>0</v>
      </c>
      <c r="AW561" s="59">
        <f>ROUND(G561*AO561,2)</f>
        <v>0</v>
      </c>
      <c r="AX561" s="59">
        <f>ROUND(G561*AP561,2)</f>
        <v>0</v>
      </c>
      <c r="AY561" s="61" t="s">
        <v>162</v>
      </c>
      <c r="AZ561" s="61" t="s">
        <v>516</v>
      </c>
      <c r="BA561" s="46" t="s">
        <v>517</v>
      </c>
      <c r="BC561" s="59">
        <f>AW561+AX561</f>
        <v>0</v>
      </c>
      <c r="BD561" s="59">
        <f>H561/(100-BE561)*100</f>
        <v>0</v>
      </c>
      <c r="BE561" s="59">
        <v>0</v>
      </c>
      <c r="BF561" s="59">
        <f>L561</f>
        <v>0.15338399999999999</v>
      </c>
      <c r="BH561" s="59">
        <f>G561*AO561</f>
        <v>0</v>
      </c>
      <c r="BI561" s="59">
        <f>G561*AP561</f>
        <v>0</v>
      </c>
      <c r="BJ561" s="59">
        <f>G561*H561</f>
        <v>0</v>
      </c>
      <c r="BK561" s="59"/>
      <c r="BL561" s="59">
        <v>64</v>
      </c>
      <c r="BW561" s="59">
        <v>12</v>
      </c>
      <c r="BX561" s="16" t="s">
        <v>161</v>
      </c>
    </row>
    <row r="562" spans="1:76" x14ac:dyDescent="0.25">
      <c r="A562" s="62"/>
      <c r="D562" s="63" t="s">
        <v>372</v>
      </c>
      <c r="E562" s="63"/>
      <c r="G562" s="64">
        <v>24.9</v>
      </c>
      <c r="M562" s="65"/>
    </row>
    <row r="563" spans="1:76" ht="15" customHeight="1" x14ac:dyDescent="0.25">
      <c r="A563" s="54"/>
      <c r="B563" s="55" t="s">
        <v>514</v>
      </c>
      <c r="C563" s="55" t="s">
        <v>373</v>
      </c>
      <c r="D563" s="104" t="s">
        <v>374</v>
      </c>
      <c r="E563" s="104"/>
      <c r="F563" s="56" t="s">
        <v>88</v>
      </c>
      <c r="G563" s="56" t="s">
        <v>88</v>
      </c>
      <c r="H563" s="56" t="s">
        <v>88</v>
      </c>
      <c r="I563" s="39">
        <f>SUM(I564:I568)</f>
        <v>0</v>
      </c>
      <c r="J563" s="46"/>
      <c r="K563" s="46"/>
      <c r="L563" s="39">
        <f>SUM(L564:L568)</f>
        <v>0.31602040000000003</v>
      </c>
      <c r="M563" s="57"/>
      <c r="AI563" s="46" t="s">
        <v>514</v>
      </c>
      <c r="AS563" s="39">
        <f>SUM(AJ564:AJ568)</f>
        <v>0</v>
      </c>
      <c r="AT563" s="39">
        <f>SUM(AK564:AK568)</f>
        <v>0</v>
      </c>
      <c r="AU563" s="39">
        <f>SUM(AL564:AL568)</f>
        <v>0</v>
      </c>
    </row>
    <row r="564" spans="1:76" ht="15" customHeight="1" x14ac:dyDescent="0.25">
      <c r="A564" s="58" t="s">
        <v>688</v>
      </c>
      <c r="B564" s="18" t="s">
        <v>514</v>
      </c>
      <c r="C564" s="18" t="s">
        <v>375</v>
      </c>
      <c r="D564" s="8" t="s">
        <v>376</v>
      </c>
      <c r="E564" s="8"/>
      <c r="F564" s="18" t="s">
        <v>114</v>
      </c>
      <c r="G564" s="59">
        <v>22.3</v>
      </c>
      <c r="H564" s="59">
        <v>0</v>
      </c>
      <c r="I564" s="59">
        <f>ROUND(G564*H564,2)</f>
        <v>0</v>
      </c>
      <c r="J564" s="59">
        <v>0</v>
      </c>
      <c r="K564" s="59">
        <v>9.7400000000000004E-3</v>
      </c>
      <c r="L564" s="59">
        <f>G564*K564</f>
        <v>0.21720200000000001</v>
      </c>
      <c r="M564" s="60" t="s">
        <v>115</v>
      </c>
      <c r="Z564" s="59">
        <f>ROUND(IF(AQ564="5",BJ564,0),2)</f>
        <v>0</v>
      </c>
      <c r="AB564" s="59">
        <f>ROUND(IF(AQ564="1",BH564,0),2)</f>
        <v>0</v>
      </c>
      <c r="AC564" s="59">
        <f>ROUND(IF(AQ564="1",BI564,0),2)</f>
        <v>0</v>
      </c>
      <c r="AD564" s="59">
        <f>ROUND(IF(AQ564="7",BH564,0),2)</f>
        <v>0</v>
      </c>
      <c r="AE564" s="59">
        <f>ROUND(IF(AQ564="7",BI564,0),2)</f>
        <v>0</v>
      </c>
      <c r="AF564" s="59">
        <f>ROUND(IF(AQ564="2",BH564,0),2)</f>
        <v>0</v>
      </c>
      <c r="AG564" s="59">
        <f>ROUND(IF(AQ564="2",BI564,0),2)</f>
        <v>0</v>
      </c>
      <c r="AH564" s="59">
        <f>ROUND(IF(AQ564="0",BJ564,0),2)</f>
        <v>0</v>
      </c>
      <c r="AI564" s="46" t="s">
        <v>514</v>
      </c>
      <c r="AJ564" s="59">
        <f>IF(AN564=0,I564,0)</f>
        <v>0</v>
      </c>
      <c r="AK564" s="59">
        <f>IF(AN564=12,I564,0)</f>
        <v>0</v>
      </c>
      <c r="AL564" s="59">
        <f>IF(AN564=21,I564,0)</f>
        <v>0</v>
      </c>
      <c r="AN564" s="59">
        <v>12</v>
      </c>
      <c r="AO564" s="59">
        <f>H564*0</f>
        <v>0</v>
      </c>
      <c r="AP564" s="59">
        <f>H564*(1-0)</f>
        <v>0</v>
      </c>
      <c r="AQ564" s="61" t="s">
        <v>150</v>
      </c>
      <c r="AV564" s="59">
        <f>ROUND(AW564+AX564,2)</f>
        <v>0</v>
      </c>
      <c r="AW564" s="59">
        <f>ROUND(G564*AO564,2)</f>
        <v>0</v>
      </c>
      <c r="AX564" s="59">
        <f>ROUND(G564*AP564,2)</f>
        <v>0</v>
      </c>
      <c r="AY564" s="61" t="s">
        <v>377</v>
      </c>
      <c r="AZ564" s="61" t="s">
        <v>518</v>
      </c>
      <c r="BA564" s="46" t="s">
        <v>517</v>
      </c>
      <c r="BC564" s="59">
        <f>AW564+AX564</f>
        <v>0</v>
      </c>
      <c r="BD564" s="59">
        <f>H564/(100-BE564)*100</f>
        <v>0</v>
      </c>
      <c r="BE564" s="59">
        <v>0</v>
      </c>
      <c r="BF564" s="59">
        <f>L564</f>
        <v>0.21720200000000001</v>
      </c>
      <c r="BH564" s="59">
        <f>G564*AO564</f>
        <v>0</v>
      </c>
      <c r="BI564" s="59">
        <f>G564*AP564</f>
        <v>0</v>
      </c>
      <c r="BJ564" s="59">
        <f>G564*H564</f>
        <v>0</v>
      </c>
      <c r="BK564" s="59"/>
      <c r="BL564" s="59">
        <v>711</v>
      </c>
      <c r="BW564" s="59">
        <v>12</v>
      </c>
      <c r="BX564" s="16" t="s">
        <v>376</v>
      </c>
    </row>
    <row r="565" spans="1:76" x14ac:dyDescent="0.25">
      <c r="A565" s="62"/>
      <c r="D565" s="63" t="s">
        <v>379</v>
      </c>
      <c r="E565" s="63"/>
      <c r="G565" s="64">
        <v>22.3</v>
      </c>
      <c r="M565" s="65"/>
    </row>
    <row r="566" spans="1:76" ht="15" customHeight="1" x14ac:dyDescent="0.25">
      <c r="A566" s="58" t="s">
        <v>689</v>
      </c>
      <c r="B566" s="18" t="s">
        <v>514</v>
      </c>
      <c r="C566" s="18" t="s">
        <v>380</v>
      </c>
      <c r="D566" s="8" t="s">
        <v>381</v>
      </c>
      <c r="E566" s="8"/>
      <c r="F566" s="18" t="s">
        <v>114</v>
      </c>
      <c r="G566" s="59">
        <v>24.37</v>
      </c>
      <c r="H566" s="59">
        <v>0</v>
      </c>
      <c r="I566" s="59">
        <f>ROUND(G566*H566,2)</f>
        <v>0</v>
      </c>
      <c r="J566" s="59">
        <v>3.47E-3</v>
      </c>
      <c r="K566" s="59">
        <v>3.47E-3</v>
      </c>
      <c r="L566" s="59">
        <f>G566*K566</f>
        <v>8.4563899999999997E-2</v>
      </c>
      <c r="M566" s="60" t="s">
        <v>115</v>
      </c>
      <c r="Z566" s="59">
        <f>ROUND(IF(AQ566="5",BJ566,0),2)</f>
        <v>0</v>
      </c>
      <c r="AB566" s="59">
        <f>ROUND(IF(AQ566="1",BH566,0),2)</f>
        <v>0</v>
      </c>
      <c r="AC566" s="59">
        <f>ROUND(IF(AQ566="1",BI566,0),2)</f>
        <v>0</v>
      </c>
      <c r="AD566" s="59">
        <f>ROUND(IF(AQ566="7",BH566,0),2)</f>
        <v>0</v>
      </c>
      <c r="AE566" s="59">
        <f>ROUND(IF(AQ566="7",BI566,0),2)</f>
        <v>0</v>
      </c>
      <c r="AF566" s="59">
        <f>ROUND(IF(AQ566="2",BH566,0),2)</f>
        <v>0</v>
      </c>
      <c r="AG566" s="59">
        <f>ROUND(IF(AQ566="2",BI566,0),2)</f>
        <v>0</v>
      </c>
      <c r="AH566" s="59">
        <f>ROUND(IF(AQ566="0",BJ566,0),2)</f>
        <v>0</v>
      </c>
      <c r="AI566" s="46" t="s">
        <v>514</v>
      </c>
      <c r="AJ566" s="59">
        <f>IF(AN566=0,I566,0)</f>
        <v>0</v>
      </c>
      <c r="AK566" s="59">
        <f>IF(AN566=12,I566,0)</f>
        <v>0</v>
      </c>
      <c r="AL566" s="59">
        <f>IF(AN566=21,I566,0)</f>
        <v>0</v>
      </c>
      <c r="AN566" s="59">
        <v>12</v>
      </c>
      <c r="AO566" s="59">
        <f>H566*0.729088049</f>
        <v>0</v>
      </c>
      <c r="AP566" s="59">
        <f>H566*(1-0.729088049)</f>
        <v>0</v>
      </c>
      <c r="AQ566" s="61" t="s">
        <v>150</v>
      </c>
      <c r="AV566" s="59">
        <f>ROUND(AW566+AX566,2)</f>
        <v>0</v>
      </c>
      <c r="AW566" s="59">
        <f>ROUND(G566*AO566,2)</f>
        <v>0</v>
      </c>
      <c r="AX566" s="59">
        <f>ROUND(G566*AP566,2)</f>
        <v>0</v>
      </c>
      <c r="AY566" s="61" t="s">
        <v>377</v>
      </c>
      <c r="AZ566" s="61" t="s">
        <v>518</v>
      </c>
      <c r="BA566" s="46" t="s">
        <v>517</v>
      </c>
      <c r="BC566" s="59">
        <f>AW566+AX566</f>
        <v>0</v>
      </c>
      <c r="BD566" s="59">
        <f>H566/(100-BE566)*100</f>
        <v>0</v>
      </c>
      <c r="BE566" s="59">
        <v>0</v>
      </c>
      <c r="BF566" s="59">
        <f>L566</f>
        <v>8.4563899999999997E-2</v>
      </c>
      <c r="BH566" s="59">
        <f>G566*AO566</f>
        <v>0</v>
      </c>
      <c r="BI566" s="59">
        <f>G566*AP566</f>
        <v>0</v>
      </c>
      <c r="BJ566" s="59">
        <f>G566*H566</f>
        <v>0</v>
      </c>
      <c r="BK566" s="59"/>
      <c r="BL566" s="59">
        <v>711</v>
      </c>
      <c r="BW566" s="59">
        <v>12</v>
      </c>
      <c r="BX566" s="16" t="s">
        <v>381</v>
      </c>
    </row>
    <row r="567" spans="1:76" x14ac:dyDescent="0.25">
      <c r="A567" s="62"/>
      <c r="D567" s="63" t="s">
        <v>382</v>
      </c>
      <c r="E567" s="63"/>
      <c r="G567" s="64">
        <v>24.37</v>
      </c>
      <c r="M567" s="65"/>
    </row>
    <row r="568" spans="1:76" ht="15" customHeight="1" x14ac:dyDescent="0.25">
      <c r="A568" s="58" t="s">
        <v>690</v>
      </c>
      <c r="B568" s="18" t="s">
        <v>514</v>
      </c>
      <c r="C568" s="18" t="s">
        <v>383</v>
      </c>
      <c r="D568" s="8" t="s">
        <v>384</v>
      </c>
      <c r="E568" s="8"/>
      <c r="F568" s="18" t="s">
        <v>140</v>
      </c>
      <c r="G568" s="59">
        <v>33.15</v>
      </c>
      <c r="H568" s="59">
        <v>0</v>
      </c>
      <c r="I568" s="59">
        <f>ROUND(G568*H568,2)</f>
        <v>0</v>
      </c>
      <c r="J568" s="59">
        <v>4.2999999999999999E-4</v>
      </c>
      <c r="K568" s="59">
        <v>4.2999999999999999E-4</v>
      </c>
      <c r="L568" s="59">
        <f>G568*K568</f>
        <v>1.42545E-2</v>
      </c>
      <c r="M568" s="60" t="s">
        <v>115</v>
      </c>
      <c r="Z568" s="59">
        <f>ROUND(IF(AQ568="5",BJ568,0),2)</f>
        <v>0</v>
      </c>
      <c r="AB568" s="59">
        <f>ROUND(IF(AQ568="1",BH568,0),2)</f>
        <v>0</v>
      </c>
      <c r="AC568" s="59">
        <f>ROUND(IF(AQ568="1",BI568,0),2)</f>
        <v>0</v>
      </c>
      <c r="AD568" s="59">
        <f>ROUND(IF(AQ568="7",BH568,0),2)</f>
        <v>0</v>
      </c>
      <c r="AE568" s="59">
        <f>ROUND(IF(AQ568="7",BI568,0),2)</f>
        <v>0</v>
      </c>
      <c r="AF568" s="59">
        <f>ROUND(IF(AQ568="2",BH568,0),2)</f>
        <v>0</v>
      </c>
      <c r="AG568" s="59">
        <f>ROUND(IF(AQ568="2",BI568,0),2)</f>
        <v>0</v>
      </c>
      <c r="AH568" s="59">
        <f>ROUND(IF(AQ568="0",BJ568,0),2)</f>
        <v>0</v>
      </c>
      <c r="AI568" s="46" t="s">
        <v>514</v>
      </c>
      <c r="AJ568" s="59">
        <f>IF(AN568=0,I568,0)</f>
        <v>0</v>
      </c>
      <c r="AK568" s="59">
        <f>IF(AN568=12,I568,0)</f>
        <v>0</v>
      </c>
      <c r="AL568" s="59">
        <f>IF(AN568=21,I568,0)</f>
        <v>0</v>
      </c>
      <c r="AN568" s="59">
        <v>12</v>
      </c>
      <c r="AO568" s="59">
        <f>H568*0.767483743</f>
        <v>0</v>
      </c>
      <c r="AP568" s="59">
        <f>H568*(1-0.767483743)</f>
        <v>0</v>
      </c>
      <c r="AQ568" s="61" t="s">
        <v>150</v>
      </c>
      <c r="AV568" s="59">
        <f>ROUND(AW568+AX568,2)</f>
        <v>0</v>
      </c>
      <c r="AW568" s="59">
        <f>ROUND(G568*AO568,2)</f>
        <v>0</v>
      </c>
      <c r="AX568" s="59">
        <f>ROUND(G568*AP568,2)</f>
        <v>0</v>
      </c>
      <c r="AY568" s="61" t="s">
        <v>377</v>
      </c>
      <c r="AZ568" s="61" t="s">
        <v>518</v>
      </c>
      <c r="BA568" s="46" t="s">
        <v>517</v>
      </c>
      <c r="BC568" s="59">
        <f>AW568+AX568</f>
        <v>0</v>
      </c>
      <c r="BD568" s="59">
        <f>H568/(100-BE568)*100</f>
        <v>0</v>
      </c>
      <c r="BE568" s="59">
        <v>0</v>
      </c>
      <c r="BF568" s="59">
        <f>L568</f>
        <v>1.42545E-2</v>
      </c>
      <c r="BH568" s="59">
        <f>G568*AO568</f>
        <v>0</v>
      </c>
      <c r="BI568" s="59">
        <f>G568*AP568</f>
        <v>0</v>
      </c>
      <c r="BJ568" s="59">
        <f>G568*H568</f>
        <v>0</v>
      </c>
      <c r="BK568" s="59"/>
      <c r="BL568" s="59">
        <v>711</v>
      </c>
      <c r="BW568" s="59">
        <v>12</v>
      </c>
      <c r="BX568" s="16" t="s">
        <v>384</v>
      </c>
    </row>
    <row r="569" spans="1:76" x14ac:dyDescent="0.25">
      <c r="A569" s="62"/>
      <c r="D569" s="63" t="s">
        <v>385</v>
      </c>
      <c r="E569" s="63"/>
      <c r="G569" s="64">
        <v>33.15</v>
      </c>
      <c r="M569" s="65"/>
    </row>
    <row r="570" spans="1:76" ht="15" customHeight="1" x14ac:dyDescent="0.25">
      <c r="A570" s="54"/>
      <c r="B570" s="55" t="s">
        <v>514</v>
      </c>
      <c r="C570" s="55" t="s">
        <v>165</v>
      </c>
      <c r="D570" s="104" t="s">
        <v>166</v>
      </c>
      <c r="E570" s="104"/>
      <c r="F570" s="56" t="s">
        <v>88</v>
      </c>
      <c r="G570" s="56" t="s">
        <v>88</v>
      </c>
      <c r="H570" s="56" t="s">
        <v>88</v>
      </c>
      <c r="I570" s="39">
        <f>SUM(I571:I577)</f>
        <v>0</v>
      </c>
      <c r="J570" s="46"/>
      <c r="K570" s="46"/>
      <c r="L570" s="39">
        <f>SUM(L571:L577)</f>
        <v>9.1239999999999988E-2</v>
      </c>
      <c r="M570" s="57"/>
      <c r="AI570" s="46" t="s">
        <v>514</v>
      </c>
      <c r="AS570" s="39">
        <f>SUM(AJ571:AJ577)</f>
        <v>0</v>
      </c>
      <c r="AT570" s="39">
        <f>SUM(AK571:AK577)</f>
        <v>0</v>
      </c>
      <c r="AU570" s="39">
        <f>SUM(AL571:AL577)</f>
        <v>0</v>
      </c>
    </row>
    <row r="571" spans="1:76" ht="15" customHeight="1" x14ac:dyDescent="0.25">
      <c r="A571" s="58" t="s">
        <v>691</v>
      </c>
      <c r="B571" s="18" t="s">
        <v>514</v>
      </c>
      <c r="C571" s="18" t="s">
        <v>168</v>
      </c>
      <c r="D571" s="8" t="s">
        <v>169</v>
      </c>
      <c r="E571" s="8"/>
      <c r="F571" s="18" t="s">
        <v>140</v>
      </c>
      <c r="G571" s="59">
        <v>6</v>
      </c>
      <c r="H571" s="59">
        <v>0</v>
      </c>
      <c r="I571" s="59">
        <f>ROUND(G571*H571,2)</f>
        <v>0</v>
      </c>
      <c r="J571" s="59">
        <v>0</v>
      </c>
      <c r="K571" s="59">
        <v>1.3500000000000001E-3</v>
      </c>
      <c r="L571" s="59">
        <f>G571*K571</f>
        <v>8.0999999999999996E-3</v>
      </c>
      <c r="M571" s="60" t="s">
        <v>115</v>
      </c>
      <c r="Z571" s="59">
        <f>ROUND(IF(AQ571="5",BJ571,0),2)</f>
        <v>0</v>
      </c>
      <c r="AB571" s="59">
        <f>ROUND(IF(AQ571="1",BH571,0),2)</f>
        <v>0</v>
      </c>
      <c r="AC571" s="59">
        <f>ROUND(IF(AQ571="1",BI571,0),2)</f>
        <v>0</v>
      </c>
      <c r="AD571" s="59">
        <f>ROUND(IF(AQ571="7",BH571,0),2)</f>
        <v>0</v>
      </c>
      <c r="AE571" s="59">
        <f>ROUND(IF(AQ571="7",BI571,0),2)</f>
        <v>0</v>
      </c>
      <c r="AF571" s="59">
        <f>ROUND(IF(AQ571="2",BH571,0),2)</f>
        <v>0</v>
      </c>
      <c r="AG571" s="59">
        <f>ROUND(IF(AQ571="2",BI571,0),2)</f>
        <v>0</v>
      </c>
      <c r="AH571" s="59">
        <f>ROUND(IF(AQ571="0",BJ571,0),2)</f>
        <v>0</v>
      </c>
      <c r="AI571" s="46" t="s">
        <v>514</v>
      </c>
      <c r="AJ571" s="59">
        <f>IF(AN571=0,I571,0)</f>
        <v>0</v>
      </c>
      <c r="AK571" s="59">
        <f>IF(AN571=12,I571,0)</f>
        <v>0</v>
      </c>
      <c r="AL571" s="59">
        <f>IF(AN571=21,I571,0)</f>
        <v>0</v>
      </c>
      <c r="AN571" s="59">
        <v>12</v>
      </c>
      <c r="AO571" s="59">
        <f>H571*0</f>
        <v>0</v>
      </c>
      <c r="AP571" s="59">
        <f>H571*(1-0)</f>
        <v>0</v>
      </c>
      <c r="AQ571" s="61" t="s">
        <v>150</v>
      </c>
      <c r="AV571" s="59">
        <f>ROUND(AW571+AX571,2)</f>
        <v>0</v>
      </c>
      <c r="AW571" s="59">
        <f>ROUND(G571*AO571,2)</f>
        <v>0</v>
      </c>
      <c r="AX571" s="59">
        <f>ROUND(G571*AP571,2)</f>
        <v>0</v>
      </c>
      <c r="AY571" s="61" t="s">
        <v>170</v>
      </c>
      <c r="AZ571" s="61" t="s">
        <v>519</v>
      </c>
      <c r="BA571" s="46" t="s">
        <v>517</v>
      </c>
      <c r="BC571" s="59">
        <f>AW571+AX571</f>
        <v>0</v>
      </c>
      <c r="BD571" s="59">
        <f>H571/(100-BE571)*100</f>
        <v>0</v>
      </c>
      <c r="BE571" s="59">
        <v>0</v>
      </c>
      <c r="BF571" s="59">
        <f>L571</f>
        <v>8.0999999999999996E-3</v>
      </c>
      <c r="BH571" s="59">
        <f>G571*AO571</f>
        <v>0</v>
      </c>
      <c r="BI571" s="59">
        <f>G571*AP571</f>
        <v>0</v>
      </c>
      <c r="BJ571" s="59">
        <f>G571*H571</f>
        <v>0</v>
      </c>
      <c r="BK571" s="59"/>
      <c r="BL571" s="59">
        <v>764</v>
      </c>
      <c r="BW571" s="59">
        <v>12</v>
      </c>
      <c r="BX571" s="16" t="s">
        <v>169</v>
      </c>
    </row>
    <row r="572" spans="1:76" x14ac:dyDescent="0.25">
      <c r="A572" s="62"/>
      <c r="D572" s="63" t="s">
        <v>145</v>
      </c>
      <c r="E572" s="63"/>
      <c r="G572" s="64">
        <v>6</v>
      </c>
      <c r="M572" s="65"/>
    </row>
    <row r="573" spans="1:76" ht="15" customHeight="1" x14ac:dyDescent="0.25">
      <c r="A573" s="58" t="s">
        <v>692</v>
      </c>
      <c r="B573" s="18" t="s">
        <v>514</v>
      </c>
      <c r="C573" s="18" t="s">
        <v>173</v>
      </c>
      <c r="D573" s="8" t="s">
        <v>174</v>
      </c>
      <c r="E573" s="8"/>
      <c r="F573" s="18" t="s">
        <v>140</v>
      </c>
      <c r="G573" s="59">
        <v>6</v>
      </c>
      <c r="H573" s="59">
        <v>0</v>
      </c>
      <c r="I573" s="59">
        <f>ROUND(G573*H573,2)</f>
        <v>0</v>
      </c>
      <c r="J573" s="59">
        <v>3.9500000000000004E-3</v>
      </c>
      <c r="K573" s="59">
        <v>3.9500000000000004E-3</v>
      </c>
      <c r="L573" s="59">
        <f>G573*K573</f>
        <v>2.3700000000000002E-2</v>
      </c>
      <c r="M573" s="60" t="s">
        <v>115</v>
      </c>
      <c r="Z573" s="59">
        <f>ROUND(IF(AQ573="5",BJ573,0),2)</f>
        <v>0</v>
      </c>
      <c r="AB573" s="59">
        <f>ROUND(IF(AQ573="1",BH573,0),2)</f>
        <v>0</v>
      </c>
      <c r="AC573" s="59">
        <f>ROUND(IF(AQ573="1",BI573,0),2)</f>
        <v>0</v>
      </c>
      <c r="AD573" s="59">
        <f>ROUND(IF(AQ573="7",BH573,0),2)</f>
        <v>0</v>
      </c>
      <c r="AE573" s="59">
        <f>ROUND(IF(AQ573="7",BI573,0),2)</f>
        <v>0</v>
      </c>
      <c r="AF573" s="59">
        <f>ROUND(IF(AQ573="2",BH573,0),2)</f>
        <v>0</v>
      </c>
      <c r="AG573" s="59">
        <f>ROUND(IF(AQ573="2",BI573,0),2)</f>
        <v>0</v>
      </c>
      <c r="AH573" s="59">
        <f>ROUND(IF(AQ573="0",BJ573,0),2)</f>
        <v>0</v>
      </c>
      <c r="AI573" s="46" t="s">
        <v>514</v>
      </c>
      <c r="AJ573" s="59">
        <f>IF(AN573=0,I573,0)</f>
        <v>0</v>
      </c>
      <c r="AK573" s="59">
        <f>IF(AN573=12,I573,0)</f>
        <v>0</v>
      </c>
      <c r="AL573" s="59">
        <f>IF(AN573=21,I573,0)</f>
        <v>0</v>
      </c>
      <c r="AN573" s="59">
        <v>12</v>
      </c>
      <c r="AO573" s="59">
        <f>H573*0.565634409</f>
        <v>0</v>
      </c>
      <c r="AP573" s="59">
        <f>H573*(1-0.565634409)</f>
        <v>0</v>
      </c>
      <c r="AQ573" s="61" t="s">
        <v>150</v>
      </c>
      <c r="AV573" s="59">
        <f>ROUND(AW573+AX573,2)</f>
        <v>0</v>
      </c>
      <c r="AW573" s="59">
        <f>ROUND(G573*AO573,2)</f>
        <v>0</v>
      </c>
      <c r="AX573" s="59">
        <f>ROUND(G573*AP573,2)</f>
        <v>0</v>
      </c>
      <c r="AY573" s="61" t="s">
        <v>170</v>
      </c>
      <c r="AZ573" s="61" t="s">
        <v>519</v>
      </c>
      <c r="BA573" s="46" t="s">
        <v>517</v>
      </c>
      <c r="BC573" s="59">
        <f>AW573+AX573</f>
        <v>0</v>
      </c>
      <c r="BD573" s="59">
        <f>H573/(100-BE573)*100</f>
        <v>0</v>
      </c>
      <c r="BE573" s="59">
        <v>0</v>
      </c>
      <c r="BF573" s="59">
        <f>L573</f>
        <v>2.3700000000000002E-2</v>
      </c>
      <c r="BH573" s="59">
        <f>G573*AO573</f>
        <v>0</v>
      </c>
      <c r="BI573" s="59">
        <f>G573*AP573</f>
        <v>0</v>
      </c>
      <c r="BJ573" s="59">
        <f>G573*H573</f>
        <v>0</v>
      </c>
      <c r="BK573" s="59"/>
      <c r="BL573" s="59">
        <v>764</v>
      </c>
      <c r="BW573" s="59">
        <v>12</v>
      </c>
      <c r="BX573" s="16" t="s">
        <v>174</v>
      </c>
    </row>
    <row r="574" spans="1:76" x14ac:dyDescent="0.25">
      <c r="A574" s="62"/>
      <c r="D574" s="63" t="s">
        <v>145</v>
      </c>
      <c r="E574" s="63"/>
      <c r="G574" s="64">
        <v>6</v>
      </c>
      <c r="M574" s="65"/>
    </row>
    <row r="575" spans="1:76" ht="15" customHeight="1" x14ac:dyDescent="0.25">
      <c r="A575" s="58" t="s">
        <v>693</v>
      </c>
      <c r="B575" s="18" t="s">
        <v>514</v>
      </c>
      <c r="C575" s="18" t="s">
        <v>177</v>
      </c>
      <c r="D575" s="8" t="s">
        <v>178</v>
      </c>
      <c r="E575" s="8"/>
      <c r="F575" s="18" t="s">
        <v>140</v>
      </c>
      <c r="G575" s="59">
        <v>24.9</v>
      </c>
      <c r="H575" s="59">
        <v>0</v>
      </c>
      <c r="I575" s="59">
        <f>ROUND(G575*H575,2)</f>
        <v>0</v>
      </c>
      <c r="J575" s="59">
        <v>1.4599999999999999E-3</v>
      </c>
      <c r="K575" s="59">
        <v>1.4599999999999999E-3</v>
      </c>
      <c r="L575" s="59">
        <f>G575*K575</f>
        <v>3.6353999999999997E-2</v>
      </c>
      <c r="M575" s="60" t="s">
        <v>115</v>
      </c>
      <c r="Z575" s="59">
        <f>ROUND(IF(AQ575="5",BJ575,0),2)</f>
        <v>0</v>
      </c>
      <c r="AB575" s="59">
        <f>ROUND(IF(AQ575="1",BH575,0),2)</f>
        <v>0</v>
      </c>
      <c r="AC575" s="59">
        <f>ROUND(IF(AQ575="1",BI575,0),2)</f>
        <v>0</v>
      </c>
      <c r="AD575" s="59">
        <f>ROUND(IF(AQ575="7",BH575,0),2)</f>
        <v>0</v>
      </c>
      <c r="AE575" s="59">
        <f>ROUND(IF(AQ575="7",BI575,0),2)</f>
        <v>0</v>
      </c>
      <c r="AF575" s="59">
        <f>ROUND(IF(AQ575="2",BH575,0),2)</f>
        <v>0</v>
      </c>
      <c r="AG575" s="59">
        <f>ROUND(IF(AQ575="2",BI575,0),2)</f>
        <v>0</v>
      </c>
      <c r="AH575" s="59">
        <f>ROUND(IF(AQ575="0",BJ575,0),2)</f>
        <v>0</v>
      </c>
      <c r="AI575" s="46" t="s">
        <v>514</v>
      </c>
      <c r="AJ575" s="59">
        <f>IF(AN575=0,I575,0)</f>
        <v>0</v>
      </c>
      <c r="AK575" s="59">
        <f>IF(AN575=12,I575,0)</f>
        <v>0</v>
      </c>
      <c r="AL575" s="59">
        <f>IF(AN575=21,I575,0)</f>
        <v>0</v>
      </c>
      <c r="AN575" s="59">
        <v>12</v>
      </c>
      <c r="AO575" s="59">
        <f>H575*0.113898183</f>
        <v>0</v>
      </c>
      <c r="AP575" s="59">
        <f>H575*(1-0.113898183)</f>
        <v>0</v>
      </c>
      <c r="AQ575" s="61" t="s">
        <v>150</v>
      </c>
      <c r="AV575" s="59">
        <f>ROUND(AW575+AX575,2)</f>
        <v>0</v>
      </c>
      <c r="AW575" s="59">
        <f>ROUND(G575*AO575,2)</f>
        <v>0</v>
      </c>
      <c r="AX575" s="59">
        <f>ROUND(G575*AP575,2)</f>
        <v>0</v>
      </c>
      <c r="AY575" s="61" t="s">
        <v>170</v>
      </c>
      <c r="AZ575" s="61" t="s">
        <v>519</v>
      </c>
      <c r="BA575" s="46" t="s">
        <v>517</v>
      </c>
      <c r="BC575" s="59">
        <f>AW575+AX575</f>
        <v>0</v>
      </c>
      <c r="BD575" s="59">
        <f>H575/(100-BE575)*100</f>
        <v>0</v>
      </c>
      <c r="BE575" s="59">
        <v>0</v>
      </c>
      <c r="BF575" s="59">
        <f>L575</f>
        <v>3.6353999999999997E-2</v>
      </c>
      <c r="BH575" s="59">
        <f>G575*AO575</f>
        <v>0</v>
      </c>
      <c r="BI575" s="59">
        <f>G575*AP575</f>
        <v>0</v>
      </c>
      <c r="BJ575" s="59">
        <f>G575*H575</f>
        <v>0</v>
      </c>
      <c r="BK575" s="59"/>
      <c r="BL575" s="59">
        <v>764</v>
      </c>
      <c r="BW575" s="59">
        <v>12</v>
      </c>
      <c r="BX575" s="16" t="s">
        <v>178</v>
      </c>
    </row>
    <row r="576" spans="1:76" x14ac:dyDescent="0.25">
      <c r="A576" s="62"/>
      <c r="D576" s="63" t="s">
        <v>520</v>
      </c>
      <c r="E576" s="63"/>
      <c r="G576" s="64">
        <v>24.9</v>
      </c>
      <c r="M576" s="65"/>
    </row>
    <row r="577" spans="1:76" ht="15" customHeight="1" x14ac:dyDescent="0.25">
      <c r="A577" s="58" t="s">
        <v>694</v>
      </c>
      <c r="B577" s="18" t="s">
        <v>514</v>
      </c>
      <c r="C577" s="18" t="s">
        <v>388</v>
      </c>
      <c r="D577" s="8" t="s">
        <v>389</v>
      </c>
      <c r="E577" s="8"/>
      <c r="F577" s="18" t="s">
        <v>140</v>
      </c>
      <c r="G577" s="59">
        <v>19.399999999999999</v>
      </c>
      <c r="H577" s="59">
        <v>0</v>
      </c>
      <c r="I577" s="59">
        <f>ROUND(G577*H577,2)</f>
        <v>0</v>
      </c>
      <c r="J577" s="59">
        <v>1.1900000000000001E-3</v>
      </c>
      <c r="K577" s="59">
        <v>1.1900000000000001E-3</v>
      </c>
      <c r="L577" s="59">
        <f>G577*K577</f>
        <v>2.3085999999999999E-2</v>
      </c>
      <c r="M577" s="60" t="s">
        <v>115</v>
      </c>
      <c r="Z577" s="59">
        <f>ROUND(IF(AQ577="5",BJ577,0),2)</f>
        <v>0</v>
      </c>
      <c r="AB577" s="59">
        <f>ROUND(IF(AQ577="1",BH577,0),2)</f>
        <v>0</v>
      </c>
      <c r="AC577" s="59">
        <f>ROUND(IF(AQ577="1",BI577,0),2)</f>
        <v>0</v>
      </c>
      <c r="AD577" s="59">
        <f>ROUND(IF(AQ577="7",BH577,0),2)</f>
        <v>0</v>
      </c>
      <c r="AE577" s="59">
        <f>ROUND(IF(AQ577="7",BI577,0),2)</f>
        <v>0</v>
      </c>
      <c r="AF577" s="59">
        <f>ROUND(IF(AQ577="2",BH577,0),2)</f>
        <v>0</v>
      </c>
      <c r="AG577" s="59">
        <f>ROUND(IF(AQ577="2",BI577,0),2)</f>
        <v>0</v>
      </c>
      <c r="AH577" s="59">
        <f>ROUND(IF(AQ577="0",BJ577,0),2)</f>
        <v>0</v>
      </c>
      <c r="AI577" s="46" t="s">
        <v>514</v>
      </c>
      <c r="AJ577" s="59">
        <f>IF(AN577=0,I577,0)</f>
        <v>0</v>
      </c>
      <c r="AK577" s="59">
        <f>IF(AN577=12,I577,0)</f>
        <v>0</v>
      </c>
      <c r="AL577" s="59">
        <f>IF(AN577=21,I577,0)</f>
        <v>0</v>
      </c>
      <c r="AN577" s="59">
        <v>12</v>
      </c>
      <c r="AO577" s="59">
        <f>H577*0.381899982</f>
        <v>0</v>
      </c>
      <c r="AP577" s="59">
        <f>H577*(1-0.381899982)</f>
        <v>0</v>
      </c>
      <c r="AQ577" s="61" t="s">
        <v>150</v>
      </c>
      <c r="AV577" s="59">
        <f>ROUND(AW577+AX577,2)</f>
        <v>0</v>
      </c>
      <c r="AW577" s="59">
        <f>ROUND(G577*AO577,2)</f>
        <v>0</v>
      </c>
      <c r="AX577" s="59">
        <f>ROUND(G577*AP577,2)</f>
        <v>0</v>
      </c>
      <c r="AY577" s="61" t="s">
        <v>170</v>
      </c>
      <c r="AZ577" s="61" t="s">
        <v>519</v>
      </c>
      <c r="BA577" s="46" t="s">
        <v>517</v>
      </c>
      <c r="BC577" s="59">
        <f>AW577+AX577</f>
        <v>0</v>
      </c>
      <c r="BD577" s="59">
        <f>H577/(100-BE577)*100</f>
        <v>0</v>
      </c>
      <c r="BE577" s="59">
        <v>0</v>
      </c>
      <c r="BF577" s="59">
        <f>L577</f>
        <v>2.3085999999999999E-2</v>
      </c>
      <c r="BH577" s="59">
        <f>G577*AO577</f>
        <v>0</v>
      </c>
      <c r="BI577" s="59">
        <f>G577*AP577</f>
        <v>0</v>
      </c>
      <c r="BJ577" s="59">
        <f>G577*H577</f>
        <v>0</v>
      </c>
      <c r="BK577" s="59"/>
      <c r="BL577" s="59">
        <v>764</v>
      </c>
      <c r="BW577" s="59">
        <v>12</v>
      </c>
      <c r="BX577" s="16" t="s">
        <v>389</v>
      </c>
    </row>
    <row r="578" spans="1:76" x14ac:dyDescent="0.25">
      <c r="A578" s="62"/>
      <c r="D578" s="63" t="s">
        <v>390</v>
      </c>
      <c r="E578" s="63"/>
      <c r="G578" s="64">
        <v>19.399999999999999</v>
      </c>
      <c r="M578" s="65"/>
    </row>
    <row r="579" spans="1:76" ht="15" customHeight="1" x14ac:dyDescent="0.25">
      <c r="A579" s="54"/>
      <c r="B579" s="55" t="s">
        <v>514</v>
      </c>
      <c r="C579" s="55" t="s">
        <v>181</v>
      </c>
      <c r="D579" s="104" t="s">
        <v>182</v>
      </c>
      <c r="E579" s="104"/>
      <c r="F579" s="56" t="s">
        <v>88</v>
      </c>
      <c r="G579" s="56" t="s">
        <v>88</v>
      </c>
      <c r="H579" s="56" t="s">
        <v>88</v>
      </c>
      <c r="I579" s="39">
        <f>SUM(I580:I592)</f>
        <v>0</v>
      </c>
      <c r="J579" s="46"/>
      <c r="K579" s="46"/>
      <c r="L579" s="39">
        <f>SUM(L580:L592)</f>
        <v>2.4318280000000003</v>
      </c>
      <c r="M579" s="57"/>
      <c r="AI579" s="46" t="s">
        <v>514</v>
      </c>
      <c r="AS579" s="39">
        <f>SUM(AJ580:AJ592)</f>
        <v>0</v>
      </c>
      <c r="AT579" s="39">
        <f>SUM(AK580:AK592)</f>
        <v>0</v>
      </c>
      <c r="AU579" s="39">
        <f>SUM(AL580:AL592)</f>
        <v>0</v>
      </c>
    </row>
    <row r="580" spans="1:76" ht="15" customHeight="1" x14ac:dyDescent="0.25">
      <c r="A580" s="58" t="s">
        <v>695</v>
      </c>
      <c r="B580" s="18" t="s">
        <v>514</v>
      </c>
      <c r="C580" s="18" t="s">
        <v>191</v>
      </c>
      <c r="D580" s="8" t="s">
        <v>192</v>
      </c>
      <c r="E580" s="8"/>
      <c r="F580" s="18" t="s">
        <v>114</v>
      </c>
      <c r="G580" s="59">
        <v>60</v>
      </c>
      <c r="H580" s="59">
        <v>0</v>
      </c>
      <c r="I580" s="59">
        <f>ROUND(G580*H580,2)</f>
        <v>0</v>
      </c>
      <c r="J580" s="59">
        <v>4.0370000000000003E-2</v>
      </c>
      <c r="K580" s="59">
        <v>4.0370000000000003E-2</v>
      </c>
      <c r="L580" s="59">
        <f>G580*K580</f>
        <v>2.4222000000000001</v>
      </c>
      <c r="M580" s="60" t="s">
        <v>115</v>
      </c>
      <c r="Z580" s="59">
        <f>ROUND(IF(AQ580="5",BJ580,0),2)</f>
        <v>0</v>
      </c>
      <c r="AB580" s="59">
        <f>ROUND(IF(AQ580="1",BH580,0),2)</f>
        <v>0</v>
      </c>
      <c r="AC580" s="59">
        <f>ROUND(IF(AQ580="1",BI580,0),2)</f>
        <v>0</v>
      </c>
      <c r="AD580" s="59">
        <f>ROUND(IF(AQ580="7",BH580,0),2)</f>
        <v>0</v>
      </c>
      <c r="AE580" s="59">
        <f>ROUND(IF(AQ580="7",BI580,0),2)</f>
        <v>0</v>
      </c>
      <c r="AF580" s="59">
        <f>ROUND(IF(AQ580="2",BH580,0),2)</f>
        <v>0</v>
      </c>
      <c r="AG580" s="59">
        <f>ROUND(IF(AQ580="2",BI580,0),2)</f>
        <v>0</v>
      </c>
      <c r="AH580" s="59">
        <f>ROUND(IF(AQ580="0",BJ580,0),2)</f>
        <v>0</v>
      </c>
      <c r="AI580" s="46" t="s">
        <v>514</v>
      </c>
      <c r="AJ580" s="59">
        <f>IF(AN580=0,I580,0)</f>
        <v>0</v>
      </c>
      <c r="AK580" s="59">
        <f>IF(AN580=12,I580,0)</f>
        <v>0</v>
      </c>
      <c r="AL580" s="59">
        <f>IF(AN580=21,I580,0)</f>
        <v>0</v>
      </c>
      <c r="AN580" s="59">
        <v>12</v>
      </c>
      <c r="AO580" s="59">
        <f>H580*0.920036753</f>
        <v>0</v>
      </c>
      <c r="AP580" s="59">
        <f>H580*(1-0.920036753)</f>
        <v>0</v>
      </c>
      <c r="AQ580" s="61" t="s">
        <v>150</v>
      </c>
      <c r="AV580" s="59">
        <f>ROUND(AW580+AX580,2)</f>
        <v>0</v>
      </c>
      <c r="AW580" s="59">
        <f>ROUND(G580*AO580,2)</f>
        <v>0</v>
      </c>
      <c r="AX580" s="59">
        <f>ROUND(G580*AP580,2)</f>
        <v>0</v>
      </c>
      <c r="AY580" s="61" t="s">
        <v>187</v>
      </c>
      <c r="AZ580" s="61" t="s">
        <v>519</v>
      </c>
      <c r="BA580" s="46" t="s">
        <v>517</v>
      </c>
      <c r="BC580" s="59">
        <f>AW580+AX580</f>
        <v>0</v>
      </c>
      <c r="BD580" s="59">
        <f>H580/(100-BE580)*100</f>
        <v>0</v>
      </c>
      <c r="BE580" s="59">
        <v>0</v>
      </c>
      <c r="BF580" s="59">
        <f>L580</f>
        <v>2.4222000000000001</v>
      </c>
      <c r="BH580" s="59">
        <f>G580*AO580</f>
        <v>0</v>
      </c>
      <c r="BI580" s="59">
        <f>G580*AP580</f>
        <v>0</v>
      </c>
      <c r="BJ580" s="59">
        <f>G580*H580</f>
        <v>0</v>
      </c>
      <c r="BK580" s="59"/>
      <c r="BL580" s="59">
        <v>766</v>
      </c>
      <c r="BW580" s="59">
        <v>12</v>
      </c>
      <c r="BX580" s="16" t="s">
        <v>192</v>
      </c>
    </row>
    <row r="581" spans="1:76" x14ac:dyDescent="0.25">
      <c r="A581" s="62"/>
      <c r="D581" s="63" t="s">
        <v>391</v>
      </c>
      <c r="E581" s="63"/>
      <c r="G581" s="64">
        <v>9</v>
      </c>
      <c r="M581" s="65"/>
    </row>
    <row r="582" spans="1:76" x14ac:dyDescent="0.25">
      <c r="A582" s="62"/>
      <c r="D582" s="63" t="s">
        <v>392</v>
      </c>
      <c r="E582" s="63"/>
      <c r="G582" s="64">
        <v>5.4</v>
      </c>
      <c r="M582" s="65"/>
    </row>
    <row r="583" spans="1:76" x14ac:dyDescent="0.25">
      <c r="A583" s="62"/>
      <c r="D583" s="63" t="s">
        <v>393</v>
      </c>
      <c r="E583" s="63"/>
      <c r="G583" s="64">
        <v>21.6</v>
      </c>
      <c r="M583" s="65"/>
    </row>
    <row r="584" spans="1:76" x14ac:dyDescent="0.25">
      <c r="A584" s="62"/>
      <c r="D584" s="63" t="s">
        <v>394</v>
      </c>
      <c r="E584" s="63"/>
      <c r="G584" s="64">
        <v>14.4</v>
      </c>
      <c r="M584" s="65"/>
    </row>
    <row r="585" spans="1:76" x14ac:dyDescent="0.25">
      <c r="A585" s="62"/>
      <c r="D585" s="63" t="s">
        <v>497</v>
      </c>
      <c r="E585" s="63"/>
      <c r="G585" s="64">
        <v>9.6</v>
      </c>
      <c r="M585" s="65"/>
    </row>
    <row r="586" spans="1:76" ht="15" customHeight="1" x14ac:dyDescent="0.25">
      <c r="A586" s="58" t="s">
        <v>696</v>
      </c>
      <c r="B586" s="18" t="s">
        <v>514</v>
      </c>
      <c r="C586" s="18" t="s">
        <v>206</v>
      </c>
      <c r="D586" s="8" t="s">
        <v>207</v>
      </c>
      <c r="E586" s="8"/>
      <c r="F586" s="18" t="s">
        <v>140</v>
      </c>
      <c r="G586" s="59">
        <v>136</v>
      </c>
      <c r="H586" s="59">
        <v>0</v>
      </c>
      <c r="I586" s="59">
        <f>ROUND(G586*H586,2)</f>
        <v>0</v>
      </c>
      <c r="J586" s="59">
        <v>4.0000000000000003E-5</v>
      </c>
      <c r="K586" s="59">
        <v>4.0000000000000003E-5</v>
      </c>
      <c r="L586" s="59">
        <f>G586*K586</f>
        <v>5.4400000000000004E-3</v>
      </c>
      <c r="M586" s="60" t="s">
        <v>115</v>
      </c>
      <c r="Z586" s="59">
        <f>ROUND(IF(AQ586="5",BJ586,0),2)</f>
        <v>0</v>
      </c>
      <c r="AB586" s="59">
        <f>ROUND(IF(AQ586="1",BH586,0),2)</f>
        <v>0</v>
      </c>
      <c r="AC586" s="59">
        <f>ROUND(IF(AQ586="1",BI586,0),2)</f>
        <v>0</v>
      </c>
      <c r="AD586" s="59">
        <f>ROUND(IF(AQ586="7",BH586,0),2)</f>
        <v>0</v>
      </c>
      <c r="AE586" s="59">
        <f>ROUND(IF(AQ586="7",BI586,0),2)</f>
        <v>0</v>
      </c>
      <c r="AF586" s="59">
        <f>ROUND(IF(AQ586="2",BH586,0),2)</f>
        <v>0</v>
      </c>
      <c r="AG586" s="59">
        <f>ROUND(IF(AQ586="2",BI586,0),2)</f>
        <v>0</v>
      </c>
      <c r="AH586" s="59">
        <f>ROUND(IF(AQ586="0",BJ586,0),2)</f>
        <v>0</v>
      </c>
      <c r="AI586" s="46" t="s">
        <v>514</v>
      </c>
      <c r="AJ586" s="59">
        <f>IF(AN586=0,I586,0)</f>
        <v>0</v>
      </c>
      <c r="AK586" s="59">
        <f>IF(AN586=12,I586,0)</f>
        <v>0</v>
      </c>
      <c r="AL586" s="59">
        <f>IF(AN586=21,I586,0)</f>
        <v>0</v>
      </c>
      <c r="AN586" s="59">
        <v>12</v>
      </c>
      <c r="AO586" s="59">
        <f>H586*0.412553191</f>
        <v>0</v>
      </c>
      <c r="AP586" s="59">
        <f>H586*(1-0.412553191)</f>
        <v>0</v>
      </c>
      <c r="AQ586" s="61" t="s">
        <v>150</v>
      </c>
      <c r="AV586" s="59">
        <f>ROUND(AW586+AX586,2)</f>
        <v>0</v>
      </c>
      <c r="AW586" s="59">
        <f>ROUND(G586*AO586,2)</f>
        <v>0</v>
      </c>
      <c r="AX586" s="59">
        <f>ROUND(G586*AP586,2)</f>
        <v>0</v>
      </c>
      <c r="AY586" s="61" t="s">
        <v>187</v>
      </c>
      <c r="AZ586" s="61" t="s">
        <v>519</v>
      </c>
      <c r="BA586" s="46" t="s">
        <v>517</v>
      </c>
      <c r="BC586" s="59">
        <f>AW586+AX586</f>
        <v>0</v>
      </c>
      <c r="BD586" s="59">
        <f>H586/(100-BE586)*100</f>
        <v>0</v>
      </c>
      <c r="BE586" s="59">
        <v>0</v>
      </c>
      <c r="BF586" s="59">
        <f>L586</f>
        <v>5.4400000000000004E-3</v>
      </c>
      <c r="BH586" s="59">
        <f>G586*AO586</f>
        <v>0</v>
      </c>
      <c r="BI586" s="59">
        <f>G586*AP586</f>
        <v>0</v>
      </c>
      <c r="BJ586" s="59">
        <f>G586*H586</f>
        <v>0</v>
      </c>
      <c r="BK586" s="59"/>
      <c r="BL586" s="59">
        <v>766</v>
      </c>
      <c r="BW586" s="59">
        <v>12</v>
      </c>
      <c r="BX586" s="16" t="s">
        <v>207</v>
      </c>
    </row>
    <row r="587" spans="1:76" x14ac:dyDescent="0.25">
      <c r="A587" s="62"/>
      <c r="D587" s="63" t="s">
        <v>498</v>
      </c>
      <c r="E587" s="63"/>
      <c r="G587" s="64">
        <v>136</v>
      </c>
      <c r="M587" s="65"/>
    </row>
    <row r="588" spans="1:76" ht="15" customHeight="1" x14ac:dyDescent="0.25">
      <c r="A588" s="58" t="s">
        <v>697</v>
      </c>
      <c r="B588" s="18" t="s">
        <v>514</v>
      </c>
      <c r="C588" s="18" t="s">
        <v>211</v>
      </c>
      <c r="D588" s="8" t="s">
        <v>212</v>
      </c>
      <c r="E588" s="8"/>
      <c r="F588" s="18" t="s">
        <v>140</v>
      </c>
      <c r="G588" s="59">
        <v>34.9</v>
      </c>
      <c r="H588" s="59">
        <v>0</v>
      </c>
      <c r="I588" s="59">
        <f>ROUND(G588*H588,2)</f>
        <v>0</v>
      </c>
      <c r="J588" s="59">
        <v>1.2E-4</v>
      </c>
      <c r="K588" s="59">
        <v>1.2E-4</v>
      </c>
      <c r="L588" s="59">
        <f>G588*K588</f>
        <v>4.1879999999999999E-3</v>
      </c>
      <c r="M588" s="60" t="s">
        <v>115</v>
      </c>
      <c r="Z588" s="59">
        <f>ROUND(IF(AQ588="5",BJ588,0),2)</f>
        <v>0</v>
      </c>
      <c r="AB588" s="59">
        <f>ROUND(IF(AQ588="1",BH588,0),2)</f>
        <v>0</v>
      </c>
      <c r="AC588" s="59">
        <f>ROUND(IF(AQ588="1",BI588,0),2)</f>
        <v>0</v>
      </c>
      <c r="AD588" s="59">
        <f>ROUND(IF(AQ588="7",BH588,0),2)</f>
        <v>0</v>
      </c>
      <c r="AE588" s="59">
        <f>ROUND(IF(AQ588="7",BI588,0),2)</f>
        <v>0</v>
      </c>
      <c r="AF588" s="59">
        <f>ROUND(IF(AQ588="2",BH588,0),2)</f>
        <v>0</v>
      </c>
      <c r="AG588" s="59">
        <f>ROUND(IF(AQ588="2",BI588,0),2)</f>
        <v>0</v>
      </c>
      <c r="AH588" s="59">
        <f>ROUND(IF(AQ588="0",BJ588,0),2)</f>
        <v>0</v>
      </c>
      <c r="AI588" s="46" t="s">
        <v>514</v>
      </c>
      <c r="AJ588" s="59">
        <f>IF(AN588=0,I588,0)</f>
        <v>0</v>
      </c>
      <c r="AK588" s="59">
        <f>IF(AN588=12,I588,0)</f>
        <v>0</v>
      </c>
      <c r="AL588" s="59">
        <f>IF(AN588=21,I588,0)</f>
        <v>0</v>
      </c>
      <c r="AN588" s="59">
        <v>12</v>
      </c>
      <c r="AO588" s="59">
        <f>H588*0.319457335</f>
        <v>0</v>
      </c>
      <c r="AP588" s="59">
        <f>H588*(1-0.319457335)</f>
        <v>0</v>
      </c>
      <c r="AQ588" s="61" t="s">
        <v>150</v>
      </c>
      <c r="AV588" s="59">
        <f>ROUND(AW588+AX588,2)</f>
        <v>0</v>
      </c>
      <c r="AW588" s="59">
        <f>ROUND(G588*AO588,2)</f>
        <v>0</v>
      </c>
      <c r="AX588" s="59">
        <f>ROUND(G588*AP588,2)</f>
        <v>0</v>
      </c>
      <c r="AY588" s="61" t="s">
        <v>187</v>
      </c>
      <c r="AZ588" s="61" t="s">
        <v>519</v>
      </c>
      <c r="BA588" s="46" t="s">
        <v>517</v>
      </c>
      <c r="BC588" s="59">
        <f>AW588+AX588</f>
        <v>0</v>
      </c>
      <c r="BD588" s="59">
        <f>H588/(100-BE588)*100</f>
        <v>0</v>
      </c>
      <c r="BE588" s="59">
        <v>0</v>
      </c>
      <c r="BF588" s="59">
        <f>L588</f>
        <v>4.1879999999999999E-3</v>
      </c>
      <c r="BH588" s="59">
        <f>G588*AO588</f>
        <v>0</v>
      </c>
      <c r="BI588" s="59">
        <f>G588*AP588</f>
        <v>0</v>
      </c>
      <c r="BJ588" s="59">
        <f>G588*H588</f>
        <v>0</v>
      </c>
      <c r="BK588" s="59"/>
      <c r="BL588" s="59">
        <v>766</v>
      </c>
      <c r="BW588" s="59">
        <v>12</v>
      </c>
      <c r="BX588" s="16" t="s">
        <v>212</v>
      </c>
    </row>
    <row r="589" spans="1:76" x14ac:dyDescent="0.25">
      <c r="A589" s="62"/>
      <c r="D589" s="63" t="s">
        <v>499</v>
      </c>
      <c r="E589" s="63"/>
      <c r="G589" s="64">
        <v>34.9</v>
      </c>
      <c r="M589" s="65"/>
    </row>
    <row r="590" spans="1:76" ht="15" customHeight="1" x14ac:dyDescent="0.25">
      <c r="A590" s="58" t="s">
        <v>698</v>
      </c>
      <c r="B590" s="18" t="s">
        <v>514</v>
      </c>
      <c r="C590" s="18" t="s">
        <v>216</v>
      </c>
      <c r="D590" s="8" t="s">
        <v>217</v>
      </c>
      <c r="E590" s="8"/>
      <c r="F590" s="18" t="s">
        <v>218</v>
      </c>
      <c r="G590" s="59">
        <v>12</v>
      </c>
      <c r="H590" s="59">
        <v>0</v>
      </c>
      <c r="I590" s="59">
        <f>ROUND(G590*H590,2)</f>
        <v>0</v>
      </c>
      <c r="J590" s="59">
        <v>0</v>
      </c>
      <c r="K590" s="59">
        <v>0</v>
      </c>
      <c r="L590" s="59">
        <f>G590*K590</f>
        <v>0</v>
      </c>
      <c r="M590" s="60"/>
      <c r="Z590" s="59">
        <f>ROUND(IF(AQ590="5",BJ590,0),2)</f>
        <v>0</v>
      </c>
      <c r="AB590" s="59">
        <f>ROUND(IF(AQ590="1",BH590,0),2)</f>
        <v>0</v>
      </c>
      <c r="AC590" s="59">
        <f>ROUND(IF(AQ590="1",BI590,0),2)</f>
        <v>0</v>
      </c>
      <c r="AD590" s="59">
        <f>ROUND(IF(AQ590="7",BH590,0),2)</f>
        <v>0</v>
      </c>
      <c r="AE590" s="59">
        <f>ROUND(IF(AQ590="7",BI590,0),2)</f>
        <v>0</v>
      </c>
      <c r="AF590" s="59">
        <f>ROUND(IF(AQ590="2",BH590,0),2)</f>
        <v>0</v>
      </c>
      <c r="AG590" s="59">
        <f>ROUND(IF(AQ590="2",BI590,0),2)</f>
        <v>0</v>
      </c>
      <c r="AH590" s="59">
        <f>ROUND(IF(AQ590="0",BJ590,0),2)</f>
        <v>0</v>
      </c>
      <c r="AI590" s="46" t="s">
        <v>514</v>
      </c>
      <c r="AJ590" s="59">
        <f>IF(AN590=0,I590,0)</f>
        <v>0</v>
      </c>
      <c r="AK590" s="59">
        <f>IF(AN590=12,I590,0)</f>
        <v>0</v>
      </c>
      <c r="AL590" s="59">
        <f>IF(AN590=21,I590,0)</f>
        <v>0</v>
      </c>
      <c r="AN590" s="59">
        <v>12</v>
      </c>
      <c r="AO590" s="59">
        <f>H590*0</f>
        <v>0</v>
      </c>
      <c r="AP590" s="59">
        <f>H590*(1-0)</f>
        <v>0</v>
      </c>
      <c r="AQ590" s="61" t="s">
        <v>150</v>
      </c>
      <c r="AV590" s="59">
        <f>ROUND(AW590+AX590,2)</f>
        <v>0</v>
      </c>
      <c r="AW590" s="59">
        <f>ROUND(G590*AO590,2)</f>
        <v>0</v>
      </c>
      <c r="AX590" s="59">
        <f>ROUND(G590*AP590,2)</f>
        <v>0</v>
      </c>
      <c r="AY590" s="61" t="s">
        <v>187</v>
      </c>
      <c r="AZ590" s="61" t="s">
        <v>519</v>
      </c>
      <c r="BA590" s="46" t="s">
        <v>517</v>
      </c>
      <c r="BC590" s="59">
        <f>AW590+AX590</f>
        <v>0</v>
      </c>
      <c r="BD590" s="59">
        <f>H590/(100-BE590)*100</f>
        <v>0</v>
      </c>
      <c r="BE590" s="59">
        <v>0</v>
      </c>
      <c r="BF590" s="59">
        <f>L590</f>
        <v>0</v>
      </c>
      <c r="BH590" s="59">
        <f>G590*AO590</f>
        <v>0</v>
      </c>
      <c r="BI590" s="59">
        <f>G590*AP590</f>
        <v>0</v>
      </c>
      <c r="BJ590" s="59">
        <f>G590*H590</f>
        <v>0</v>
      </c>
      <c r="BK590" s="59"/>
      <c r="BL590" s="59">
        <v>766</v>
      </c>
      <c r="BW590" s="59">
        <v>12</v>
      </c>
      <c r="BX590" s="16" t="s">
        <v>217</v>
      </c>
    </row>
    <row r="591" spans="1:76" x14ac:dyDescent="0.25">
      <c r="A591" s="62"/>
      <c r="D591" s="63" t="s">
        <v>176</v>
      </c>
      <c r="E591" s="63"/>
      <c r="G591" s="64">
        <v>12</v>
      </c>
      <c r="M591" s="65"/>
    </row>
    <row r="592" spans="1:76" ht="15" customHeight="1" x14ac:dyDescent="0.25">
      <c r="A592" s="58" t="s">
        <v>699</v>
      </c>
      <c r="B592" s="18" t="s">
        <v>514</v>
      </c>
      <c r="C592" s="18" t="s">
        <v>222</v>
      </c>
      <c r="D592" s="8" t="s">
        <v>223</v>
      </c>
      <c r="E592" s="8"/>
      <c r="F592" s="18" t="s">
        <v>224</v>
      </c>
      <c r="G592" s="59">
        <v>1.859</v>
      </c>
      <c r="H592" s="59">
        <v>0</v>
      </c>
      <c r="I592" s="59">
        <f>ROUND(G592*H592,2)</f>
        <v>0</v>
      </c>
      <c r="J592" s="59">
        <v>0</v>
      </c>
      <c r="K592" s="59">
        <v>0</v>
      </c>
      <c r="L592" s="59">
        <f>G592*K592</f>
        <v>0</v>
      </c>
      <c r="M592" s="60" t="s">
        <v>115</v>
      </c>
      <c r="Z592" s="59">
        <f>ROUND(IF(AQ592="5",BJ592,0),2)</f>
        <v>0</v>
      </c>
      <c r="AB592" s="59">
        <f>ROUND(IF(AQ592="1",BH592,0),2)</f>
        <v>0</v>
      </c>
      <c r="AC592" s="59">
        <f>ROUND(IF(AQ592="1",BI592,0),2)</f>
        <v>0</v>
      </c>
      <c r="AD592" s="59">
        <f>ROUND(IF(AQ592="7",BH592,0),2)</f>
        <v>0</v>
      </c>
      <c r="AE592" s="59">
        <f>ROUND(IF(AQ592="7",BI592,0),2)</f>
        <v>0</v>
      </c>
      <c r="AF592" s="59">
        <f>ROUND(IF(AQ592="2",BH592,0),2)</f>
        <v>0</v>
      </c>
      <c r="AG592" s="59">
        <f>ROUND(IF(AQ592="2",BI592,0),2)</f>
        <v>0</v>
      </c>
      <c r="AH592" s="59">
        <f>ROUND(IF(AQ592="0",BJ592,0),2)</f>
        <v>0</v>
      </c>
      <c r="AI592" s="46" t="s">
        <v>514</v>
      </c>
      <c r="AJ592" s="59">
        <f>IF(AN592=0,I592,0)</f>
        <v>0</v>
      </c>
      <c r="AK592" s="59">
        <f>IF(AN592=12,I592,0)</f>
        <v>0</v>
      </c>
      <c r="AL592" s="59">
        <f>IF(AN592=21,I592,0)</f>
        <v>0</v>
      </c>
      <c r="AN592" s="59">
        <v>12</v>
      </c>
      <c r="AO592" s="59">
        <f>H592*0</f>
        <v>0</v>
      </c>
      <c r="AP592" s="59">
        <f>H592*(1-0)</f>
        <v>0</v>
      </c>
      <c r="AQ592" s="61" t="s">
        <v>137</v>
      </c>
      <c r="AV592" s="59">
        <f>ROUND(AW592+AX592,2)</f>
        <v>0</v>
      </c>
      <c r="AW592" s="59">
        <f>ROUND(G592*AO592,2)</f>
        <v>0</v>
      </c>
      <c r="AX592" s="59">
        <f>ROUND(G592*AP592,2)</f>
        <v>0</v>
      </c>
      <c r="AY592" s="61" t="s">
        <v>187</v>
      </c>
      <c r="AZ592" s="61" t="s">
        <v>519</v>
      </c>
      <c r="BA592" s="46" t="s">
        <v>517</v>
      </c>
      <c r="BC592" s="59">
        <f>AW592+AX592</f>
        <v>0</v>
      </c>
      <c r="BD592" s="59">
        <f>H592/(100-BE592)*100</f>
        <v>0</v>
      </c>
      <c r="BE592" s="59">
        <v>0</v>
      </c>
      <c r="BF592" s="59">
        <f>L592</f>
        <v>0</v>
      </c>
      <c r="BH592" s="59">
        <f>G592*AO592</f>
        <v>0</v>
      </c>
      <c r="BI592" s="59">
        <f>G592*AP592</f>
        <v>0</v>
      </c>
      <c r="BJ592" s="59">
        <f>G592*H592</f>
        <v>0</v>
      </c>
      <c r="BK592" s="59"/>
      <c r="BL592" s="59">
        <v>766</v>
      </c>
      <c r="BW592" s="59">
        <v>12</v>
      </c>
      <c r="BX592" s="16" t="s">
        <v>223</v>
      </c>
    </row>
    <row r="593" spans="1:76" ht="15" customHeight="1" x14ac:dyDescent="0.25">
      <c r="A593" s="54"/>
      <c r="B593" s="55" t="s">
        <v>514</v>
      </c>
      <c r="C593" s="55" t="s">
        <v>397</v>
      </c>
      <c r="D593" s="104" t="s">
        <v>398</v>
      </c>
      <c r="E593" s="104"/>
      <c r="F593" s="56" t="s">
        <v>88</v>
      </c>
      <c r="G593" s="56" t="s">
        <v>88</v>
      </c>
      <c r="H593" s="56" t="s">
        <v>88</v>
      </c>
      <c r="I593" s="39">
        <f>SUM(I594)</f>
        <v>0</v>
      </c>
      <c r="J593" s="46"/>
      <c r="K593" s="46"/>
      <c r="L593" s="39">
        <f>SUM(L594)</f>
        <v>0.261324</v>
      </c>
      <c r="M593" s="57"/>
      <c r="AI593" s="46" t="s">
        <v>514</v>
      </c>
      <c r="AS593" s="39">
        <f>SUM(AJ594)</f>
        <v>0</v>
      </c>
      <c r="AT593" s="39">
        <f>SUM(AK594)</f>
        <v>0</v>
      </c>
      <c r="AU593" s="39">
        <f>SUM(AL594)</f>
        <v>0</v>
      </c>
    </row>
    <row r="594" spans="1:76" ht="15" customHeight="1" x14ac:dyDescent="0.25">
      <c r="A594" s="58" t="s">
        <v>700</v>
      </c>
      <c r="B594" s="18" t="s">
        <v>514</v>
      </c>
      <c r="C594" s="18" t="s">
        <v>399</v>
      </c>
      <c r="D594" s="8" t="s">
        <v>400</v>
      </c>
      <c r="E594" s="8"/>
      <c r="F594" s="18" t="s">
        <v>114</v>
      </c>
      <c r="G594" s="59">
        <v>24.4</v>
      </c>
      <c r="H594" s="59">
        <v>0</v>
      </c>
      <c r="I594" s="59">
        <f>ROUND(G594*H594,2)</f>
        <v>0</v>
      </c>
      <c r="J594" s="59">
        <v>1.0710000000000001E-2</v>
      </c>
      <c r="K594" s="59">
        <v>1.0710000000000001E-2</v>
      </c>
      <c r="L594" s="59">
        <f>G594*K594</f>
        <v>0.261324</v>
      </c>
      <c r="M594" s="60" t="s">
        <v>115</v>
      </c>
      <c r="Z594" s="59">
        <f>ROUND(IF(AQ594="5",BJ594,0),2)</f>
        <v>0</v>
      </c>
      <c r="AB594" s="59">
        <f>ROUND(IF(AQ594="1",BH594,0),2)</f>
        <v>0</v>
      </c>
      <c r="AC594" s="59">
        <f>ROUND(IF(AQ594="1",BI594,0),2)</f>
        <v>0</v>
      </c>
      <c r="AD594" s="59">
        <f>ROUND(IF(AQ594="7",BH594,0),2)</f>
        <v>0</v>
      </c>
      <c r="AE594" s="59">
        <f>ROUND(IF(AQ594="7",BI594,0),2)</f>
        <v>0</v>
      </c>
      <c r="AF594" s="59">
        <f>ROUND(IF(AQ594="2",BH594,0),2)</f>
        <v>0</v>
      </c>
      <c r="AG594" s="59">
        <f>ROUND(IF(AQ594="2",BI594,0),2)</f>
        <v>0</v>
      </c>
      <c r="AH594" s="59">
        <f>ROUND(IF(AQ594="0",BJ594,0),2)</f>
        <v>0</v>
      </c>
      <c r="AI594" s="46" t="s">
        <v>514</v>
      </c>
      <c r="AJ594" s="59">
        <f>IF(AN594=0,I594,0)</f>
        <v>0</v>
      </c>
      <c r="AK594" s="59">
        <f>IF(AN594=12,I594,0)</f>
        <v>0</v>
      </c>
      <c r="AL594" s="59">
        <f>IF(AN594=21,I594,0)</f>
        <v>0</v>
      </c>
      <c r="AN594" s="59">
        <v>12</v>
      </c>
      <c r="AO594" s="59">
        <f>H594*0.791824982</f>
        <v>0</v>
      </c>
      <c r="AP594" s="59">
        <f>H594*(1-0.791824982)</f>
        <v>0</v>
      </c>
      <c r="AQ594" s="61" t="s">
        <v>150</v>
      </c>
      <c r="AV594" s="59">
        <f>ROUND(AW594+AX594,2)</f>
        <v>0</v>
      </c>
      <c r="AW594" s="59">
        <f>ROUND(G594*AO594,2)</f>
        <v>0</v>
      </c>
      <c r="AX594" s="59">
        <f>ROUND(G594*AP594,2)</f>
        <v>0</v>
      </c>
      <c r="AY594" s="61" t="s">
        <v>401</v>
      </c>
      <c r="AZ594" s="61" t="s">
        <v>521</v>
      </c>
      <c r="BA594" s="46" t="s">
        <v>517</v>
      </c>
      <c r="BC594" s="59">
        <f>AW594+AX594</f>
        <v>0</v>
      </c>
      <c r="BD594" s="59">
        <f>H594/(100-BE594)*100</f>
        <v>0</v>
      </c>
      <c r="BE594" s="59">
        <v>0</v>
      </c>
      <c r="BF594" s="59">
        <f>L594</f>
        <v>0.261324</v>
      </c>
      <c r="BH594" s="59">
        <f>G594*AO594</f>
        <v>0</v>
      </c>
      <c r="BI594" s="59">
        <f>G594*AP594</f>
        <v>0</v>
      </c>
      <c r="BJ594" s="59">
        <f>G594*H594</f>
        <v>0</v>
      </c>
      <c r="BK594" s="59"/>
      <c r="BL594" s="59">
        <v>777</v>
      </c>
      <c r="BW594" s="59">
        <v>12</v>
      </c>
      <c r="BX594" s="16" t="s">
        <v>400</v>
      </c>
    </row>
    <row r="595" spans="1:76" x14ac:dyDescent="0.25">
      <c r="A595" s="62"/>
      <c r="D595" s="63" t="s">
        <v>403</v>
      </c>
      <c r="E595" s="63"/>
      <c r="G595" s="64">
        <v>24.4</v>
      </c>
      <c r="M595" s="65"/>
    </row>
    <row r="596" spans="1:76" ht="15" customHeight="1" x14ac:dyDescent="0.25">
      <c r="A596" s="54"/>
      <c r="B596" s="55" t="s">
        <v>514</v>
      </c>
      <c r="C596" s="55" t="s">
        <v>225</v>
      </c>
      <c r="D596" s="104" t="s">
        <v>226</v>
      </c>
      <c r="E596" s="104"/>
      <c r="F596" s="56" t="s">
        <v>88</v>
      </c>
      <c r="G596" s="56" t="s">
        <v>88</v>
      </c>
      <c r="H596" s="56" t="s">
        <v>88</v>
      </c>
      <c r="I596" s="39">
        <f>SUM(I597:I605)</f>
        <v>0</v>
      </c>
      <c r="J596" s="46"/>
      <c r="K596" s="46"/>
      <c r="L596" s="39">
        <f>SUM(L597:L605)</f>
        <v>1.6551630000000001E-2</v>
      </c>
      <c r="M596" s="57"/>
      <c r="AI596" s="46" t="s">
        <v>514</v>
      </c>
      <c r="AS596" s="39">
        <f>SUM(AJ597:AJ605)</f>
        <v>0</v>
      </c>
      <c r="AT596" s="39">
        <f>SUM(AK597:AK605)</f>
        <v>0</v>
      </c>
      <c r="AU596" s="39">
        <f>SUM(AL597:AL605)</f>
        <v>0</v>
      </c>
    </row>
    <row r="597" spans="1:76" ht="15" customHeight="1" x14ac:dyDescent="0.25">
      <c r="A597" s="58" t="s">
        <v>701</v>
      </c>
      <c r="B597" s="18" t="s">
        <v>514</v>
      </c>
      <c r="C597" s="18" t="s">
        <v>228</v>
      </c>
      <c r="D597" s="8" t="s">
        <v>229</v>
      </c>
      <c r="E597" s="8"/>
      <c r="F597" s="18" t="s">
        <v>114</v>
      </c>
      <c r="G597" s="59">
        <v>3.077</v>
      </c>
      <c r="H597" s="59">
        <v>0</v>
      </c>
      <c r="I597" s="59">
        <f>ROUND(G597*H597,2)</f>
        <v>0</v>
      </c>
      <c r="J597" s="59">
        <v>2.9E-4</v>
      </c>
      <c r="K597" s="59">
        <v>2.9E-4</v>
      </c>
      <c r="L597" s="59">
        <f>G597*K597</f>
        <v>8.9232999999999999E-4</v>
      </c>
      <c r="M597" s="60" t="s">
        <v>115</v>
      </c>
      <c r="Z597" s="59">
        <f>ROUND(IF(AQ597="5",BJ597,0),2)</f>
        <v>0</v>
      </c>
      <c r="AB597" s="59">
        <f>ROUND(IF(AQ597="1",BH597,0),2)</f>
        <v>0</v>
      </c>
      <c r="AC597" s="59">
        <f>ROUND(IF(AQ597="1",BI597,0),2)</f>
        <v>0</v>
      </c>
      <c r="AD597" s="59">
        <f>ROUND(IF(AQ597="7",BH597,0),2)</f>
        <v>0</v>
      </c>
      <c r="AE597" s="59">
        <f>ROUND(IF(AQ597="7",BI597,0),2)</f>
        <v>0</v>
      </c>
      <c r="AF597" s="59">
        <f>ROUND(IF(AQ597="2",BH597,0),2)</f>
        <v>0</v>
      </c>
      <c r="AG597" s="59">
        <f>ROUND(IF(AQ597="2",BI597,0),2)</f>
        <v>0</v>
      </c>
      <c r="AH597" s="59">
        <f>ROUND(IF(AQ597="0",BJ597,0),2)</f>
        <v>0</v>
      </c>
      <c r="AI597" s="46" t="s">
        <v>514</v>
      </c>
      <c r="AJ597" s="59">
        <f>IF(AN597=0,I597,0)</f>
        <v>0</v>
      </c>
      <c r="AK597" s="59">
        <f>IF(AN597=12,I597,0)</f>
        <v>0</v>
      </c>
      <c r="AL597" s="59">
        <f>IF(AN597=21,I597,0)</f>
        <v>0</v>
      </c>
      <c r="AN597" s="59">
        <v>12</v>
      </c>
      <c r="AO597" s="59">
        <f>H597*0.178146593</f>
        <v>0</v>
      </c>
      <c r="AP597" s="59">
        <f>H597*(1-0.178146593)</f>
        <v>0</v>
      </c>
      <c r="AQ597" s="61" t="s">
        <v>150</v>
      </c>
      <c r="AV597" s="59">
        <f>ROUND(AW597+AX597,2)</f>
        <v>0</v>
      </c>
      <c r="AW597" s="59">
        <f>ROUND(G597*AO597,2)</f>
        <v>0</v>
      </c>
      <c r="AX597" s="59">
        <f>ROUND(G597*AP597,2)</f>
        <v>0</v>
      </c>
      <c r="AY597" s="61" t="s">
        <v>230</v>
      </c>
      <c r="AZ597" s="61" t="s">
        <v>522</v>
      </c>
      <c r="BA597" s="46" t="s">
        <v>517</v>
      </c>
      <c r="BC597" s="59">
        <f>AW597+AX597</f>
        <v>0</v>
      </c>
      <c r="BD597" s="59">
        <f>H597/(100-BE597)*100</f>
        <v>0</v>
      </c>
      <c r="BE597" s="59">
        <v>0</v>
      </c>
      <c r="BF597" s="59">
        <f>L597</f>
        <v>8.9232999999999999E-4</v>
      </c>
      <c r="BH597" s="59">
        <f>G597*AO597</f>
        <v>0</v>
      </c>
      <c r="BI597" s="59">
        <f>G597*AP597</f>
        <v>0</v>
      </c>
      <c r="BJ597" s="59">
        <f>G597*H597</f>
        <v>0</v>
      </c>
      <c r="BK597" s="59"/>
      <c r="BL597" s="59">
        <v>783</v>
      </c>
      <c r="BW597" s="59">
        <v>12</v>
      </c>
      <c r="BX597" s="16" t="s">
        <v>229</v>
      </c>
    </row>
    <row r="598" spans="1:76" x14ac:dyDescent="0.25">
      <c r="A598" s="62"/>
      <c r="D598" s="63" t="s">
        <v>233</v>
      </c>
      <c r="E598" s="63"/>
      <c r="G598" s="64">
        <v>3.077</v>
      </c>
      <c r="M598" s="65"/>
    </row>
    <row r="599" spans="1:76" ht="15" customHeight="1" x14ac:dyDescent="0.25">
      <c r="A599" s="58" t="s">
        <v>702</v>
      </c>
      <c r="B599" s="18" t="s">
        <v>514</v>
      </c>
      <c r="C599" s="18" t="s">
        <v>235</v>
      </c>
      <c r="D599" s="8" t="s">
        <v>236</v>
      </c>
      <c r="E599" s="8"/>
      <c r="F599" s="18" t="s">
        <v>114</v>
      </c>
      <c r="G599" s="59">
        <v>8.75</v>
      </c>
      <c r="H599" s="59">
        <v>0</v>
      </c>
      <c r="I599" s="59">
        <f>ROUND(G599*H599,2)</f>
        <v>0</v>
      </c>
      <c r="J599" s="59">
        <v>2.7E-4</v>
      </c>
      <c r="K599" s="59">
        <v>2.7E-4</v>
      </c>
      <c r="L599" s="59">
        <f>G599*K599</f>
        <v>2.3625E-3</v>
      </c>
      <c r="M599" s="60" t="s">
        <v>115</v>
      </c>
      <c r="Z599" s="59">
        <f>ROUND(IF(AQ599="5",BJ599,0),2)</f>
        <v>0</v>
      </c>
      <c r="AB599" s="59">
        <f>ROUND(IF(AQ599="1",BH599,0),2)</f>
        <v>0</v>
      </c>
      <c r="AC599" s="59">
        <f>ROUND(IF(AQ599="1",BI599,0),2)</f>
        <v>0</v>
      </c>
      <c r="AD599" s="59">
        <f>ROUND(IF(AQ599="7",BH599,0),2)</f>
        <v>0</v>
      </c>
      <c r="AE599" s="59">
        <f>ROUND(IF(AQ599="7",BI599,0),2)</f>
        <v>0</v>
      </c>
      <c r="AF599" s="59">
        <f>ROUND(IF(AQ599="2",BH599,0),2)</f>
        <v>0</v>
      </c>
      <c r="AG599" s="59">
        <f>ROUND(IF(AQ599="2",BI599,0),2)</f>
        <v>0</v>
      </c>
      <c r="AH599" s="59">
        <f>ROUND(IF(AQ599="0",BJ599,0),2)</f>
        <v>0</v>
      </c>
      <c r="AI599" s="46" t="s">
        <v>514</v>
      </c>
      <c r="AJ599" s="59">
        <f>IF(AN599=0,I599,0)</f>
        <v>0</v>
      </c>
      <c r="AK599" s="59">
        <f>IF(AN599=12,I599,0)</f>
        <v>0</v>
      </c>
      <c r="AL599" s="59">
        <f>IF(AN599=21,I599,0)</f>
        <v>0</v>
      </c>
      <c r="AN599" s="59">
        <v>12</v>
      </c>
      <c r="AO599" s="59">
        <f>H599*0.140415743</f>
        <v>0</v>
      </c>
      <c r="AP599" s="59">
        <f>H599*(1-0.140415743)</f>
        <v>0</v>
      </c>
      <c r="AQ599" s="61" t="s">
        <v>150</v>
      </c>
      <c r="AV599" s="59">
        <f>ROUND(AW599+AX599,2)</f>
        <v>0</v>
      </c>
      <c r="AW599" s="59">
        <f>ROUND(G599*AO599,2)</f>
        <v>0</v>
      </c>
      <c r="AX599" s="59">
        <f>ROUND(G599*AP599,2)</f>
        <v>0</v>
      </c>
      <c r="AY599" s="61" t="s">
        <v>230</v>
      </c>
      <c r="AZ599" s="61" t="s">
        <v>522</v>
      </c>
      <c r="BA599" s="46" t="s">
        <v>517</v>
      </c>
      <c r="BC599" s="59">
        <f>AW599+AX599</f>
        <v>0</v>
      </c>
      <c r="BD599" s="59">
        <f>H599/(100-BE599)*100</f>
        <v>0</v>
      </c>
      <c r="BE599" s="59">
        <v>0</v>
      </c>
      <c r="BF599" s="59">
        <f>L599</f>
        <v>2.3625E-3</v>
      </c>
      <c r="BH599" s="59">
        <f>G599*AO599</f>
        <v>0</v>
      </c>
      <c r="BI599" s="59">
        <f>G599*AP599</f>
        <v>0</v>
      </c>
      <c r="BJ599" s="59">
        <f>G599*H599</f>
        <v>0</v>
      </c>
      <c r="BK599" s="59"/>
      <c r="BL599" s="59">
        <v>783</v>
      </c>
      <c r="BW599" s="59">
        <v>12</v>
      </c>
      <c r="BX599" s="16" t="s">
        <v>236</v>
      </c>
    </row>
    <row r="600" spans="1:76" x14ac:dyDescent="0.25">
      <c r="A600" s="62"/>
      <c r="D600" s="63" t="s">
        <v>406</v>
      </c>
      <c r="E600" s="63"/>
      <c r="G600" s="64">
        <v>8.75</v>
      </c>
      <c r="M600" s="65"/>
    </row>
    <row r="601" spans="1:76" ht="15" customHeight="1" x14ac:dyDescent="0.25">
      <c r="A601" s="58" t="s">
        <v>703</v>
      </c>
      <c r="B601" s="18" t="s">
        <v>514</v>
      </c>
      <c r="C601" s="18" t="s">
        <v>407</v>
      </c>
      <c r="D601" s="8" t="s">
        <v>408</v>
      </c>
      <c r="E601" s="8"/>
      <c r="F601" s="18" t="s">
        <v>114</v>
      </c>
      <c r="G601" s="59">
        <v>30.22</v>
      </c>
      <c r="H601" s="59">
        <v>0</v>
      </c>
      <c r="I601" s="59">
        <f>ROUND(G601*H601,2)</f>
        <v>0</v>
      </c>
      <c r="J601" s="59">
        <v>3.6000000000000002E-4</v>
      </c>
      <c r="K601" s="59">
        <v>3.6000000000000002E-4</v>
      </c>
      <c r="L601" s="59">
        <f>G601*K601</f>
        <v>1.08792E-2</v>
      </c>
      <c r="M601" s="60" t="s">
        <v>115</v>
      </c>
      <c r="Z601" s="59">
        <f>ROUND(IF(AQ601="5",BJ601,0),2)</f>
        <v>0</v>
      </c>
      <c r="AB601" s="59">
        <f>ROUND(IF(AQ601="1",BH601,0),2)</f>
        <v>0</v>
      </c>
      <c r="AC601" s="59">
        <f>ROUND(IF(AQ601="1",BI601,0),2)</f>
        <v>0</v>
      </c>
      <c r="AD601" s="59">
        <f>ROUND(IF(AQ601="7",BH601,0),2)</f>
        <v>0</v>
      </c>
      <c r="AE601" s="59">
        <f>ROUND(IF(AQ601="7",BI601,0),2)</f>
        <v>0</v>
      </c>
      <c r="AF601" s="59">
        <f>ROUND(IF(AQ601="2",BH601,0),2)</f>
        <v>0</v>
      </c>
      <c r="AG601" s="59">
        <f>ROUND(IF(AQ601="2",BI601,0),2)</f>
        <v>0</v>
      </c>
      <c r="AH601" s="59">
        <f>ROUND(IF(AQ601="0",BJ601,0),2)</f>
        <v>0</v>
      </c>
      <c r="AI601" s="46" t="s">
        <v>514</v>
      </c>
      <c r="AJ601" s="59">
        <f>IF(AN601=0,I601,0)</f>
        <v>0</v>
      </c>
      <c r="AK601" s="59">
        <f>IF(AN601=12,I601,0)</f>
        <v>0</v>
      </c>
      <c r="AL601" s="59">
        <f>IF(AN601=21,I601,0)</f>
        <v>0</v>
      </c>
      <c r="AN601" s="59">
        <v>12</v>
      </c>
      <c r="AO601" s="59">
        <f>H601*0.23711537</f>
        <v>0</v>
      </c>
      <c r="AP601" s="59">
        <f>H601*(1-0.23711537)</f>
        <v>0</v>
      </c>
      <c r="AQ601" s="61" t="s">
        <v>150</v>
      </c>
      <c r="AV601" s="59">
        <f>ROUND(AW601+AX601,2)</f>
        <v>0</v>
      </c>
      <c r="AW601" s="59">
        <f>ROUND(G601*AO601,2)</f>
        <v>0</v>
      </c>
      <c r="AX601" s="59">
        <f>ROUND(G601*AP601,2)</f>
        <v>0</v>
      </c>
      <c r="AY601" s="61" t="s">
        <v>230</v>
      </c>
      <c r="AZ601" s="61" t="s">
        <v>522</v>
      </c>
      <c r="BA601" s="46" t="s">
        <v>517</v>
      </c>
      <c r="BC601" s="59">
        <f>AW601+AX601</f>
        <v>0</v>
      </c>
      <c r="BD601" s="59">
        <f>H601/(100-BE601)*100</f>
        <v>0</v>
      </c>
      <c r="BE601" s="59">
        <v>0</v>
      </c>
      <c r="BF601" s="59">
        <f>L601</f>
        <v>1.08792E-2</v>
      </c>
      <c r="BH601" s="59">
        <f>G601*AO601</f>
        <v>0</v>
      </c>
      <c r="BI601" s="59">
        <f>G601*AP601</f>
        <v>0</v>
      </c>
      <c r="BJ601" s="59">
        <f>G601*H601</f>
        <v>0</v>
      </c>
      <c r="BK601" s="59"/>
      <c r="BL601" s="59">
        <v>783</v>
      </c>
      <c r="BW601" s="59">
        <v>12</v>
      </c>
      <c r="BX601" s="16" t="s">
        <v>408</v>
      </c>
    </row>
    <row r="602" spans="1:76" x14ac:dyDescent="0.25">
      <c r="A602" s="62"/>
      <c r="D602" s="63" t="s">
        <v>410</v>
      </c>
      <c r="E602" s="63"/>
      <c r="G602" s="64">
        <v>30.22</v>
      </c>
      <c r="M602" s="65"/>
    </row>
    <row r="603" spans="1:76" ht="15" customHeight="1" x14ac:dyDescent="0.25">
      <c r="A603" s="58" t="s">
        <v>704</v>
      </c>
      <c r="B603" s="18" t="s">
        <v>514</v>
      </c>
      <c r="C603" s="18" t="s">
        <v>411</v>
      </c>
      <c r="D603" s="8" t="s">
        <v>412</v>
      </c>
      <c r="E603" s="8"/>
      <c r="F603" s="18" t="s">
        <v>114</v>
      </c>
      <c r="G603" s="59">
        <v>30.22</v>
      </c>
      <c r="H603" s="59">
        <v>0</v>
      </c>
      <c r="I603" s="59">
        <f>ROUND(G603*H603,2)</f>
        <v>0</v>
      </c>
      <c r="J603" s="59">
        <v>1.0000000000000001E-5</v>
      </c>
      <c r="K603" s="59">
        <v>1.0000000000000001E-5</v>
      </c>
      <c r="L603" s="59">
        <f>G603*K603</f>
        <v>3.0220000000000003E-4</v>
      </c>
      <c r="M603" s="60" t="s">
        <v>115</v>
      </c>
      <c r="Z603" s="59">
        <f>ROUND(IF(AQ603="5",BJ603,0),2)</f>
        <v>0</v>
      </c>
      <c r="AB603" s="59">
        <f>ROUND(IF(AQ603="1",BH603,0),2)</f>
        <v>0</v>
      </c>
      <c r="AC603" s="59">
        <f>ROUND(IF(AQ603="1",BI603,0),2)</f>
        <v>0</v>
      </c>
      <c r="AD603" s="59">
        <f>ROUND(IF(AQ603="7",BH603,0),2)</f>
        <v>0</v>
      </c>
      <c r="AE603" s="59">
        <f>ROUND(IF(AQ603="7",BI603,0),2)</f>
        <v>0</v>
      </c>
      <c r="AF603" s="59">
        <f>ROUND(IF(AQ603="2",BH603,0),2)</f>
        <v>0</v>
      </c>
      <c r="AG603" s="59">
        <f>ROUND(IF(AQ603="2",BI603,0),2)</f>
        <v>0</v>
      </c>
      <c r="AH603" s="59">
        <f>ROUND(IF(AQ603="0",BJ603,0),2)</f>
        <v>0</v>
      </c>
      <c r="AI603" s="46" t="s">
        <v>514</v>
      </c>
      <c r="AJ603" s="59">
        <f>IF(AN603=0,I603,0)</f>
        <v>0</v>
      </c>
      <c r="AK603" s="59">
        <f>IF(AN603=12,I603,0)</f>
        <v>0</v>
      </c>
      <c r="AL603" s="59">
        <f>IF(AN603=21,I603,0)</f>
        <v>0</v>
      </c>
      <c r="AN603" s="59">
        <v>12</v>
      </c>
      <c r="AO603" s="59">
        <f>H603*0.06128009</f>
        <v>0</v>
      </c>
      <c r="AP603" s="59">
        <f>H603*(1-0.06128009)</f>
        <v>0</v>
      </c>
      <c r="AQ603" s="61" t="s">
        <v>150</v>
      </c>
      <c r="AV603" s="59">
        <f>ROUND(AW603+AX603,2)</f>
        <v>0</v>
      </c>
      <c r="AW603" s="59">
        <f>ROUND(G603*AO603,2)</f>
        <v>0</v>
      </c>
      <c r="AX603" s="59">
        <f>ROUND(G603*AP603,2)</f>
        <v>0</v>
      </c>
      <c r="AY603" s="61" t="s">
        <v>230</v>
      </c>
      <c r="AZ603" s="61" t="s">
        <v>522</v>
      </c>
      <c r="BA603" s="46" t="s">
        <v>517</v>
      </c>
      <c r="BC603" s="59">
        <f>AW603+AX603</f>
        <v>0</v>
      </c>
      <c r="BD603" s="59">
        <f>H603/(100-BE603)*100</f>
        <v>0</v>
      </c>
      <c r="BE603" s="59">
        <v>0</v>
      </c>
      <c r="BF603" s="59">
        <f>L603</f>
        <v>3.0220000000000003E-4</v>
      </c>
      <c r="BH603" s="59">
        <f>G603*AO603</f>
        <v>0</v>
      </c>
      <c r="BI603" s="59">
        <f>G603*AP603</f>
        <v>0</v>
      </c>
      <c r="BJ603" s="59">
        <f>G603*H603</f>
        <v>0</v>
      </c>
      <c r="BK603" s="59"/>
      <c r="BL603" s="59">
        <v>783</v>
      </c>
      <c r="BW603" s="59">
        <v>12</v>
      </c>
      <c r="BX603" s="16" t="s">
        <v>412</v>
      </c>
    </row>
    <row r="604" spans="1:76" x14ac:dyDescent="0.25">
      <c r="A604" s="62"/>
      <c r="D604" s="63" t="s">
        <v>410</v>
      </c>
      <c r="E604" s="63"/>
      <c r="G604" s="64">
        <v>30.22</v>
      </c>
      <c r="M604" s="65"/>
    </row>
    <row r="605" spans="1:76" ht="15" customHeight="1" x14ac:dyDescent="0.25">
      <c r="A605" s="58" t="s">
        <v>705</v>
      </c>
      <c r="B605" s="18" t="s">
        <v>514</v>
      </c>
      <c r="C605" s="18" t="s">
        <v>414</v>
      </c>
      <c r="D605" s="8" t="s">
        <v>412</v>
      </c>
      <c r="E605" s="8"/>
      <c r="F605" s="18" t="s">
        <v>114</v>
      </c>
      <c r="G605" s="59">
        <v>30.22</v>
      </c>
      <c r="H605" s="59">
        <v>0</v>
      </c>
      <c r="I605" s="59">
        <f>ROUND(G605*H605,2)</f>
        <v>0</v>
      </c>
      <c r="J605" s="59">
        <v>6.9999999999999994E-5</v>
      </c>
      <c r="K605" s="59">
        <v>6.9999999999999994E-5</v>
      </c>
      <c r="L605" s="59">
        <f>G605*K605</f>
        <v>2.1153999999999999E-3</v>
      </c>
      <c r="M605" s="60" t="s">
        <v>115</v>
      </c>
      <c r="Z605" s="59">
        <f>ROUND(IF(AQ605="5",BJ605,0),2)</f>
        <v>0</v>
      </c>
      <c r="AB605" s="59">
        <f>ROUND(IF(AQ605="1",BH605,0),2)</f>
        <v>0</v>
      </c>
      <c r="AC605" s="59">
        <f>ROUND(IF(AQ605="1",BI605,0),2)</f>
        <v>0</v>
      </c>
      <c r="AD605" s="59">
        <f>ROUND(IF(AQ605="7",BH605,0),2)</f>
        <v>0</v>
      </c>
      <c r="AE605" s="59">
        <f>ROUND(IF(AQ605="7",BI605,0),2)</f>
        <v>0</v>
      </c>
      <c r="AF605" s="59">
        <f>ROUND(IF(AQ605="2",BH605,0),2)</f>
        <v>0</v>
      </c>
      <c r="AG605" s="59">
        <f>ROUND(IF(AQ605="2",BI605,0),2)</f>
        <v>0</v>
      </c>
      <c r="AH605" s="59">
        <f>ROUND(IF(AQ605="0",BJ605,0),2)</f>
        <v>0</v>
      </c>
      <c r="AI605" s="46" t="s">
        <v>514</v>
      </c>
      <c r="AJ605" s="59">
        <f>IF(AN605=0,I605,0)</f>
        <v>0</v>
      </c>
      <c r="AK605" s="59">
        <f>IF(AN605=12,I605,0)</f>
        <v>0</v>
      </c>
      <c r="AL605" s="59">
        <f>IF(AN605=21,I605,0)</f>
        <v>0</v>
      </c>
      <c r="AN605" s="59">
        <v>12</v>
      </c>
      <c r="AO605" s="59">
        <f>H605*0.091915035</f>
        <v>0</v>
      </c>
      <c r="AP605" s="59">
        <f>H605*(1-0.091915035)</f>
        <v>0</v>
      </c>
      <c r="AQ605" s="61" t="s">
        <v>150</v>
      </c>
      <c r="AV605" s="59">
        <f>ROUND(AW605+AX605,2)</f>
        <v>0</v>
      </c>
      <c r="AW605" s="59">
        <f>ROUND(G605*AO605,2)</f>
        <v>0</v>
      </c>
      <c r="AX605" s="59">
        <f>ROUND(G605*AP605,2)</f>
        <v>0</v>
      </c>
      <c r="AY605" s="61" t="s">
        <v>230</v>
      </c>
      <c r="AZ605" s="61" t="s">
        <v>522</v>
      </c>
      <c r="BA605" s="46" t="s">
        <v>517</v>
      </c>
      <c r="BC605" s="59">
        <f>AW605+AX605</f>
        <v>0</v>
      </c>
      <c r="BD605" s="59">
        <f>H605/(100-BE605)*100</f>
        <v>0</v>
      </c>
      <c r="BE605" s="59">
        <v>0</v>
      </c>
      <c r="BF605" s="59">
        <f>L605</f>
        <v>2.1153999999999999E-3</v>
      </c>
      <c r="BH605" s="59">
        <f>G605*AO605</f>
        <v>0</v>
      </c>
      <c r="BI605" s="59">
        <f>G605*AP605</f>
        <v>0</v>
      </c>
      <c r="BJ605" s="59">
        <f>G605*H605</f>
        <v>0</v>
      </c>
      <c r="BK605" s="59"/>
      <c r="BL605" s="59">
        <v>783</v>
      </c>
      <c r="BW605" s="59">
        <v>12</v>
      </c>
      <c r="BX605" s="16" t="s">
        <v>412</v>
      </c>
    </row>
    <row r="606" spans="1:76" x14ac:dyDescent="0.25">
      <c r="A606" s="62"/>
      <c r="D606" s="63" t="s">
        <v>410</v>
      </c>
      <c r="E606" s="63"/>
      <c r="G606" s="64">
        <v>30.22</v>
      </c>
      <c r="M606" s="65"/>
    </row>
    <row r="607" spans="1:76" ht="15" customHeight="1" x14ac:dyDescent="0.25">
      <c r="A607" s="54"/>
      <c r="B607" s="55" t="s">
        <v>514</v>
      </c>
      <c r="C607" s="55" t="s">
        <v>239</v>
      </c>
      <c r="D607" s="104" t="s">
        <v>240</v>
      </c>
      <c r="E607" s="104"/>
      <c r="F607" s="56" t="s">
        <v>88</v>
      </c>
      <c r="G607" s="56" t="s">
        <v>88</v>
      </c>
      <c r="H607" s="56" t="s">
        <v>88</v>
      </c>
      <c r="I607" s="39">
        <f>SUM(I608:I612)</f>
        <v>0</v>
      </c>
      <c r="J607" s="46"/>
      <c r="K607" s="46"/>
      <c r="L607" s="39">
        <f>SUM(L608:L612)</f>
        <v>0.11591559999999999</v>
      </c>
      <c r="M607" s="57"/>
      <c r="AI607" s="46" t="s">
        <v>514</v>
      </c>
      <c r="AS607" s="39">
        <f>SUM(AJ608:AJ612)</f>
        <v>0</v>
      </c>
      <c r="AT607" s="39">
        <f>SUM(AK608:AK612)</f>
        <v>0</v>
      </c>
      <c r="AU607" s="39">
        <f>SUM(AL608:AL612)</f>
        <v>0</v>
      </c>
    </row>
    <row r="608" spans="1:76" ht="15" customHeight="1" x14ac:dyDescent="0.25">
      <c r="A608" s="58" t="s">
        <v>706</v>
      </c>
      <c r="B608" s="18" t="s">
        <v>514</v>
      </c>
      <c r="C608" s="18" t="s">
        <v>242</v>
      </c>
      <c r="D608" s="8" t="s">
        <v>243</v>
      </c>
      <c r="E608" s="8"/>
      <c r="F608" s="18" t="s">
        <v>114</v>
      </c>
      <c r="G608" s="59">
        <v>256.68</v>
      </c>
      <c r="H608" s="59">
        <v>0</v>
      </c>
      <c r="I608" s="59">
        <f>ROUND(G608*H608,2)</f>
        <v>0</v>
      </c>
      <c r="J608" s="59">
        <v>3.5E-4</v>
      </c>
      <c r="K608" s="59">
        <v>3.5E-4</v>
      </c>
      <c r="L608" s="59">
        <f>G608*K608</f>
        <v>8.9838000000000001E-2</v>
      </c>
      <c r="M608" s="60" t="s">
        <v>115</v>
      </c>
      <c r="Z608" s="59">
        <f>ROUND(IF(AQ608="5",BJ608,0),2)</f>
        <v>0</v>
      </c>
      <c r="AB608" s="59">
        <f>ROUND(IF(AQ608="1",BH608,0),2)</f>
        <v>0</v>
      </c>
      <c r="AC608" s="59">
        <f>ROUND(IF(AQ608="1",BI608,0),2)</f>
        <v>0</v>
      </c>
      <c r="AD608" s="59">
        <f>ROUND(IF(AQ608="7",BH608,0),2)</f>
        <v>0</v>
      </c>
      <c r="AE608" s="59">
        <f>ROUND(IF(AQ608="7",BI608,0),2)</f>
        <v>0</v>
      </c>
      <c r="AF608" s="59">
        <f>ROUND(IF(AQ608="2",BH608,0),2)</f>
        <v>0</v>
      </c>
      <c r="AG608" s="59">
        <f>ROUND(IF(AQ608="2",BI608,0),2)</f>
        <v>0</v>
      </c>
      <c r="AH608" s="59">
        <f>ROUND(IF(AQ608="0",BJ608,0),2)</f>
        <v>0</v>
      </c>
      <c r="AI608" s="46" t="s">
        <v>514</v>
      </c>
      <c r="AJ608" s="59">
        <f>IF(AN608=0,I608,0)</f>
        <v>0</v>
      </c>
      <c r="AK608" s="59">
        <f>IF(AN608=12,I608,0)</f>
        <v>0</v>
      </c>
      <c r="AL608" s="59">
        <f>IF(AN608=21,I608,0)</f>
        <v>0</v>
      </c>
      <c r="AN608" s="59">
        <v>12</v>
      </c>
      <c r="AO608" s="59">
        <f>H608*0.577223798</f>
        <v>0</v>
      </c>
      <c r="AP608" s="59">
        <f>H608*(1-0.577223798)</f>
        <v>0</v>
      </c>
      <c r="AQ608" s="61" t="s">
        <v>150</v>
      </c>
      <c r="AV608" s="59">
        <f>ROUND(AW608+AX608,2)</f>
        <v>0</v>
      </c>
      <c r="AW608" s="59">
        <f>ROUND(G608*AO608,2)</f>
        <v>0</v>
      </c>
      <c r="AX608" s="59">
        <f>ROUND(G608*AP608,2)</f>
        <v>0</v>
      </c>
      <c r="AY608" s="61" t="s">
        <v>244</v>
      </c>
      <c r="AZ608" s="61" t="s">
        <v>522</v>
      </c>
      <c r="BA608" s="46" t="s">
        <v>517</v>
      </c>
      <c r="BC608" s="59">
        <f>AW608+AX608</f>
        <v>0</v>
      </c>
      <c r="BD608" s="59">
        <f>H608/(100-BE608)*100</f>
        <v>0</v>
      </c>
      <c r="BE608" s="59">
        <v>0</v>
      </c>
      <c r="BF608" s="59">
        <f>L608</f>
        <v>8.9838000000000001E-2</v>
      </c>
      <c r="BH608" s="59">
        <f>G608*AO608</f>
        <v>0</v>
      </c>
      <c r="BI608" s="59">
        <f>G608*AP608</f>
        <v>0</v>
      </c>
      <c r="BJ608" s="59">
        <f>G608*H608</f>
        <v>0</v>
      </c>
      <c r="BK608" s="59"/>
      <c r="BL608" s="59">
        <v>784</v>
      </c>
      <c r="BW608" s="59">
        <v>12</v>
      </c>
      <c r="BX608" s="16" t="s">
        <v>243</v>
      </c>
    </row>
    <row r="609" spans="1:76" x14ac:dyDescent="0.25">
      <c r="A609" s="62"/>
      <c r="D609" s="63" t="s">
        <v>416</v>
      </c>
      <c r="E609" s="63"/>
      <c r="G609" s="64">
        <v>256.68</v>
      </c>
      <c r="M609" s="65"/>
    </row>
    <row r="610" spans="1:76" ht="15" customHeight="1" x14ac:dyDescent="0.25">
      <c r="A610" s="58" t="s">
        <v>707</v>
      </c>
      <c r="B610" s="18" t="s">
        <v>514</v>
      </c>
      <c r="C610" s="18" t="s">
        <v>249</v>
      </c>
      <c r="D610" s="8" t="s">
        <v>250</v>
      </c>
      <c r="E610" s="8"/>
      <c r="F610" s="18" t="s">
        <v>114</v>
      </c>
      <c r="G610" s="59">
        <v>27.2</v>
      </c>
      <c r="H610" s="59">
        <v>0</v>
      </c>
      <c r="I610" s="59">
        <f>ROUND(G610*H610,2)</f>
        <v>0</v>
      </c>
      <c r="J610" s="59">
        <v>7.6999999999999996E-4</v>
      </c>
      <c r="K610" s="59">
        <v>7.6999999999999996E-4</v>
      </c>
      <c r="L610" s="59">
        <f>G610*K610</f>
        <v>2.0943999999999997E-2</v>
      </c>
      <c r="M610" s="60" t="s">
        <v>115</v>
      </c>
      <c r="Z610" s="59">
        <f>ROUND(IF(AQ610="5",BJ610,0),2)</f>
        <v>0</v>
      </c>
      <c r="AB610" s="59">
        <f>ROUND(IF(AQ610="1",BH610,0),2)</f>
        <v>0</v>
      </c>
      <c r="AC610" s="59">
        <f>ROUND(IF(AQ610="1",BI610,0),2)</f>
        <v>0</v>
      </c>
      <c r="AD610" s="59">
        <f>ROUND(IF(AQ610="7",BH610,0),2)</f>
        <v>0</v>
      </c>
      <c r="AE610" s="59">
        <f>ROUND(IF(AQ610="7",BI610,0),2)</f>
        <v>0</v>
      </c>
      <c r="AF610" s="59">
        <f>ROUND(IF(AQ610="2",BH610,0),2)</f>
        <v>0</v>
      </c>
      <c r="AG610" s="59">
        <f>ROUND(IF(AQ610="2",BI610,0),2)</f>
        <v>0</v>
      </c>
      <c r="AH610" s="59">
        <f>ROUND(IF(AQ610="0",BJ610,0),2)</f>
        <v>0</v>
      </c>
      <c r="AI610" s="46" t="s">
        <v>514</v>
      </c>
      <c r="AJ610" s="59">
        <f>IF(AN610=0,I610,0)</f>
        <v>0</v>
      </c>
      <c r="AK610" s="59">
        <f>IF(AN610=12,I610,0)</f>
        <v>0</v>
      </c>
      <c r="AL610" s="59">
        <f>IF(AN610=21,I610,0)</f>
        <v>0</v>
      </c>
      <c r="AN610" s="59">
        <v>12</v>
      </c>
      <c r="AO610" s="59">
        <f>H610*0.248888305</f>
        <v>0</v>
      </c>
      <c r="AP610" s="59">
        <f>H610*(1-0.248888305)</f>
        <v>0</v>
      </c>
      <c r="AQ610" s="61" t="s">
        <v>150</v>
      </c>
      <c r="AV610" s="59">
        <f>ROUND(AW610+AX610,2)</f>
        <v>0</v>
      </c>
      <c r="AW610" s="59">
        <f>ROUND(G610*AO610,2)</f>
        <v>0</v>
      </c>
      <c r="AX610" s="59">
        <f>ROUND(G610*AP610,2)</f>
        <v>0</v>
      </c>
      <c r="AY610" s="61" t="s">
        <v>244</v>
      </c>
      <c r="AZ610" s="61" t="s">
        <v>522</v>
      </c>
      <c r="BA610" s="46" t="s">
        <v>517</v>
      </c>
      <c r="BC610" s="59">
        <f>AW610+AX610</f>
        <v>0</v>
      </c>
      <c r="BD610" s="59">
        <f>H610/(100-BE610)*100</f>
        <v>0</v>
      </c>
      <c r="BE610" s="59">
        <v>0</v>
      </c>
      <c r="BF610" s="59">
        <f>L610</f>
        <v>2.0943999999999997E-2</v>
      </c>
      <c r="BH610" s="59">
        <f>G610*AO610</f>
        <v>0</v>
      </c>
      <c r="BI610" s="59">
        <f>G610*AP610</f>
        <v>0</v>
      </c>
      <c r="BJ610" s="59">
        <f>G610*H610</f>
        <v>0</v>
      </c>
      <c r="BK610" s="59"/>
      <c r="BL610" s="59">
        <v>784</v>
      </c>
      <c r="BW610" s="59">
        <v>12</v>
      </c>
      <c r="BX610" s="16" t="s">
        <v>250</v>
      </c>
    </row>
    <row r="611" spans="1:76" x14ac:dyDescent="0.25">
      <c r="A611" s="62"/>
      <c r="D611" s="63" t="s">
        <v>502</v>
      </c>
      <c r="E611" s="63"/>
      <c r="G611" s="64">
        <v>27.2</v>
      </c>
      <c r="M611" s="65"/>
    </row>
    <row r="612" spans="1:76" ht="15" customHeight="1" x14ac:dyDescent="0.25">
      <c r="A612" s="58" t="s">
        <v>708</v>
      </c>
      <c r="B612" s="18" t="s">
        <v>514</v>
      </c>
      <c r="C612" s="18" t="s">
        <v>254</v>
      </c>
      <c r="D612" s="8" t="s">
        <v>255</v>
      </c>
      <c r="E612" s="8"/>
      <c r="F612" s="18" t="s">
        <v>114</v>
      </c>
      <c r="G612" s="59">
        <v>513.36</v>
      </c>
      <c r="H612" s="59">
        <v>0</v>
      </c>
      <c r="I612" s="59">
        <f>ROUND(G612*H612,2)</f>
        <v>0</v>
      </c>
      <c r="J612" s="59">
        <v>1.0000000000000001E-5</v>
      </c>
      <c r="K612" s="59">
        <v>1.0000000000000001E-5</v>
      </c>
      <c r="L612" s="59">
        <f>G612*K612</f>
        <v>5.1336000000000003E-3</v>
      </c>
      <c r="M612" s="60" t="s">
        <v>115</v>
      </c>
      <c r="Z612" s="59">
        <f>ROUND(IF(AQ612="5",BJ612,0),2)</f>
        <v>0</v>
      </c>
      <c r="AB612" s="59">
        <f>ROUND(IF(AQ612="1",BH612,0),2)</f>
        <v>0</v>
      </c>
      <c r="AC612" s="59">
        <f>ROUND(IF(AQ612="1",BI612,0),2)</f>
        <v>0</v>
      </c>
      <c r="AD612" s="59">
        <f>ROUND(IF(AQ612="7",BH612,0),2)</f>
        <v>0</v>
      </c>
      <c r="AE612" s="59">
        <f>ROUND(IF(AQ612="7",BI612,0),2)</f>
        <v>0</v>
      </c>
      <c r="AF612" s="59">
        <f>ROUND(IF(AQ612="2",BH612,0),2)</f>
        <v>0</v>
      </c>
      <c r="AG612" s="59">
        <f>ROUND(IF(AQ612="2",BI612,0),2)</f>
        <v>0</v>
      </c>
      <c r="AH612" s="59">
        <f>ROUND(IF(AQ612="0",BJ612,0),2)</f>
        <v>0</v>
      </c>
      <c r="AI612" s="46" t="s">
        <v>514</v>
      </c>
      <c r="AJ612" s="59">
        <f>IF(AN612=0,I612,0)</f>
        <v>0</v>
      </c>
      <c r="AK612" s="59">
        <f>IF(AN612=12,I612,0)</f>
        <v>0</v>
      </c>
      <c r="AL612" s="59">
        <f>IF(AN612=21,I612,0)</f>
        <v>0</v>
      </c>
      <c r="AN612" s="59">
        <v>12</v>
      </c>
      <c r="AO612" s="59">
        <f>H612*0.236832231</f>
        <v>0</v>
      </c>
      <c r="AP612" s="59">
        <f>H612*(1-0.236832231)</f>
        <v>0</v>
      </c>
      <c r="AQ612" s="61" t="s">
        <v>150</v>
      </c>
      <c r="AV612" s="59">
        <f>ROUND(AW612+AX612,2)</f>
        <v>0</v>
      </c>
      <c r="AW612" s="59">
        <f>ROUND(G612*AO612,2)</f>
        <v>0</v>
      </c>
      <c r="AX612" s="59">
        <f>ROUND(G612*AP612,2)</f>
        <v>0</v>
      </c>
      <c r="AY612" s="61" t="s">
        <v>244</v>
      </c>
      <c r="AZ612" s="61" t="s">
        <v>522</v>
      </c>
      <c r="BA612" s="46" t="s">
        <v>517</v>
      </c>
      <c r="BC612" s="59">
        <f>AW612+AX612</f>
        <v>0</v>
      </c>
      <c r="BD612" s="59">
        <f>H612/(100-BE612)*100</f>
        <v>0</v>
      </c>
      <c r="BE612" s="59">
        <v>0</v>
      </c>
      <c r="BF612" s="59">
        <f>L612</f>
        <v>5.1336000000000003E-3</v>
      </c>
      <c r="BH612" s="59">
        <f>G612*AO612</f>
        <v>0</v>
      </c>
      <c r="BI612" s="59">
        <f>G612*AP612</f>
        <v>0</v>
      </c>
      <c r="BJ612" s="59">
        <f>G612*H612</f>
        <v>0</v>
      </c>
      <c r="BK612" s="59"/>
      <c r="BL612" s="59">
        <v>784</v>
      </c>
      <c r="BW612" s="59">
        <v>12</v>
      </c>
      <c r="BX612" s="16" t="s">
        <v>255</v>
      </c>
    </row>
    <row r="613" spans="1:76" x14ac:dyDescent="0.25">
      <c r="A613" s="62"/>
      <c r="D613" s="63" t="s">
        <v>418</v>
      </c>
      <c r="E613" s="63"/>
      <c r="G613" s="64">
        <v>513.36</v>
      </c>
      <c r="M613" s="65"/>
    </row>
    <row r="614" spans="1:76" ht="15" customHeight="1" x14ac:dyDescent="0.25">
      <c r="A614" s="54"/>
      <c r="B614" s="55" t="s">
        <v>514</v>
      </c>
      <c r="C614" s="55" t="s">
        <v>259</v>
      </c>
      <c r="D614" s="104" t="s">
        <v>260</v>
      </c>
      <c r="E614" s="104"/>
      <c r="F614" s="56" t="s">
        <v>88</v>
      </c>
      <c r="G614" s="56" t="s">
        <v>88</v>
      </c>
      <c r="H614" s="56" t="s">
        <v>88</v>
      </c>
      <c r="I614" s="39">
        <f>SUM(I615)</f>
        <v>0</v>
      </c>
      <c r="J614" s="46"/>
      <c r="K614" s="46"/>
      <c r="L614" s="39">
        <f>SUM(L615)</f>
        <v>8.2512000000000002E-2</v>
      </c>
      <c r="M614" s="57"/>
      <c r="AI614" s="46" t="s">
        <v>514</v>
      </c>
      <c r="AS614" s="39">
        <f>SUM(AJ615)</f>
        <v>0</v>
      </c>
      <c r="AT614" s="39">
        <f>SUM(AK615)</f>
        <v>0</v>
      </c>
      <c r="AU614" s="39">
        <f>SUM(AL615)</f>
        <v>0</v>
      </c>
    </row>
    <row r="615" spans="1:76" ht="15" customHeight="1" x14ac:dyDescent="0.25">
      <c r="A615" s="58" t="s">
        <v>709</v>
      </c>
      <c r="B615" s="18" t="s">
        <v>514</v>
      </c>
      <c r="C615" s="18" t="s">
        <v>262</v>
      </c>
      <c r="D615" s="8" t="s">
        <v>419</v>
      </c>
      <c r="E615" s="8"/>
      <c r="F615" s="18" t="s">
        <v>114</v>
      </c>
      <c r="G615" s="59">
        <v>21.6</v>
      </c>
      <c r="H615" s="59">
        <v>0</v>
      </c>
      <c r="I615" s="59">
        <f>ROUND(G615*H615,2)</f>
        <v>0</v>
      </c>
      <c r="J615" s="59">
        <v>3.82E-3</v>
      </c>
      <c r="K615" s="59">
        <v>3.82E-3</v>
      </c>
      <c r="L615" s="59">
        <f>G615*K615</f>
        <v>8.2512000000000002E-2</v>
      </c>
      <c r="M615" s="60" t="s">
        <v>115</v>
      </c>
      <c r="Z615" s="59">
        <f>ROUND(IF(AQ615="5",BJ615,0),2)</f>
        <v>0</v>
      </c>
      <c r="AB615" s="59">
        <f>ROUND(IF(AQ615="1",BH615,0),2)</f>
        <v>0</v>
      </c>
      <c r="AC615" s="59">
        <f>ROUND(IF(AQ615="1",BI615,0),2)</f>
        <v>0</v>
      </c>
      <c r="AD615" s="59">
        <f>ROUND(IF(AQ615="7",BH615,0),2)</f>
        <v>0</v>
      </c>
      <c r="AE615" s="59">
        <f>ROUND(IF(AQ615="7",BI615,0),2)</f>
        <v>0</v>
      </c>
      <c r="AF615" s="59">
        <f>ROUND(IF(AQ615="2",BH615,0),2)</f>
        <v>0</v>
      </c>
      <c r="AG615" s="59">
        <f>ROUND(IF(AQ615="2",BI615,0),2)</f>
        <v>0</v>
      </c>
      <c r="AH615" s="59">
        <f>ROUND(IF(AQ615="0",BJ615,0),2)</f>
        <v>0</v>
      </c>
      <c r="AI615" s="46" t="s">
        <v>514</v>
      </c>
      <c r="AJ615" s="59">
        <f>IF(AN615=0,I615,0)</f>
        <v>0</v>
      </c>
      <c r="AK615" s="59">
        <f>IF(AN615=12,I615,0)</f>
        <v>0</v>
      </c>
      <c r="AL615" s="59">
        <f>IF(AN615=21,I615,0)</f>
        <v>0</v>
      </c>
      <c r="AN615" s="59">
        <v>12</v>
      </c>
      <c r="AO615" s="59">
        <f>H615*0.657241014</f>
        <v>0</v>
      </c>
      <c r="AP615" s="59">
        <f>H615*(1-0.657241014)</f>
        <v>0</v>
      </c>
      <c r="AQ615" s="61" t="s">
        <v>150</v>
      </c>
      <c r="AV615" s="59">
        <f>ROUND(AW615+AX615,2)</f>
        <v>0</v>
      </c>
      <c r="AW615" s="59">
        <f>ROUND(G615*AO615,2)</f>
        <v>0</v>
      </c>
      <c r="AX615" s="59">
        <f>ROUND(G615*AP615,2)</f>
        <v>0</v>
      </c>
      <c r="AY615" s="61" t="s">
        <v>264</v>
      </c>
      <c r="AZ615" s="61" t="s">
        <v>522</v>
      </c>
      <c r="BA615" s="46" t="s">
        <v>517</v>
      </c>
      <c r="BC615" s="59">
        <f>AW615+AX615</f>
        <v>0</v>
      </c>
      <c r="BD615" s="59">
        <f>H615/(100-BE615)*100</f>
        <v>0</v>
      </c>
      <c r="BE615" s="59">
        <v>0</v>
      </c>
      <c r="BF615" s="59">
        <f>L615</f>
        <v>8.2512000000000002E-2</v>
      </c>
      <c r="BH615" s="59">
        <f>G615*AO615</f>
        <v>0</v>
      </c>
      <c r="BI615" s="59">
        <f>G615*AP615</f>
        <v>0</v>
      </c>
      <c r="BJ615" s="59">
        <f>G615*H615</f>
        <v>0</v>
      </c>
      <c r="BK615" s="59"/>
      <c r="BL615" s="59">
        <v>786</v>
      </c>
      <c r="BW615" s="59">
        <v>12</v>
      </c>
      <c r="BX615" s="16" t="s">
        <v>419</v>
      </c>
    </row>
    <row r="616" spans="1:76" x14ac:dyDescent="0.25">
      <c r="A616" s="62"/>
      <c r="D616" s="63" t="s">
        <v>420</v>
      </c>
      <c r="E616" s="63"/>
      <c r="G616" s="64">
        <v>21.6</v>
      </c>
      <c r="M616" s="65"/>
    </row>
    <row r="617" spans="1:76" ht="15" customHeight="1" x14ac:dyDescent="0.25">
      <c r="A617" s="54"/>
      <c r="B617" s="55" t="s">
        <v>514</v>
      </c>
      <c r="C617" s="55" t="s">
        <v>267</v>
      </c>
      <c r="D617" s="104" t="s">
        <v>268</v>
      </c>
      <c r="E617" s="104"/>
      <c r="F617" s="56" t="s">
        <v>88</v>
      </c>
      <c r="G617" s="56" t="s">
        <v>88</v>
      </c>
      <c r="H617" s="56" t="s">
        <v>88</v>
      </c>
      <c r="I617" s="39">
        <f>SUM(I618:I622)</f>
        <v>0</v>
      </c>
      <c r="J617" s="46"/>
      <c r="K617" s="46"/>
      <c r="L617" s="39">
        <f>SUM(L618:L622)</f>
        <v>0</v>
      </c>
      <c r="M617" s="57"/>
      <c r="AI617" s="46" t="s">
        <v>514</v>
      </c>
      <c r="AS617" s="39">
        <f>SUM(AJ618:AJ622)</f>
        <v>0</v>
      </c>
      <c r="AT617" s="39">
        <f>SUM(AK618:AK622)</f>
        <v>0</v>
      </c>
      <c r="AU617" s="39">
        <f>SUM(AL618:AL622)</f>
        <v>0</v>
      </c>
    </row>
    <row r="618" spans="1:76" ht="15" customHeight="1" x14ac:dyDescent="0.25">
      <c r="A618" s="58" t="s">
        <v>710</v>
      </c>
      <c r="B618" s="18" t="s">
        <v>514</v>
      </c>
      <c r="C618" s="18" t="s">
        <v>270</v>
      </c>
      <c r="D618" s="8" t="s">
        <v>271</v>
      </c>
      <c r="E618" s="8"/>
      <c r="F618" s="18" t="s">
        <v>272</v>
      </c>
      <c r="G618" s="59">
        <v>12</v>
      </c>
      <c r="H618" s="59">
        <v>0</v>
      </c>
      <c r="I618" s="59">
        <f>ROUND(G618*H618,2)</f>
        <v>0</v>
      </c>
      <c r="J618" s="59">
        <v>0</v>
      </c>
      <c r="K618" s="59">
        <v>0</v>
      </c>
      <c r="L618" s="59">
        <f>G618*K618</f>
        <v>0</v>
      </c>
      <c r="M618" s="60" t="s">
        <v>115</v>
      </c>
      <c r="Z618" s="59">
        <f>ROUND(IF(AQ618="5",BJ618,0),2)</f>
        <v>0</v>
      </c>
      <c r="AB618" s="59">
        <f>ROUND(IF(AQ618="1",BH618,0),2)</f>
        <v>0</v>
      </c>
      <c r="AC618" s="59">
        <f>ROUND(IF(AQ618="1",BI618,0),2)</f>
        <v>0</v>
      </c>
      <c r="AD618" s="59">
        <f>ROUND(IF(AQ618="7",BH618,0),2)</f>
        <v>0</v>
      </c>
      <c r="AE618" s="59">
        <f>ROUND(IF(AQ618="7",BI618,0),2)</f>
        <v>0</v>
      </c>
      <c r="AF618" s="59">
        <f>ROUND(IF(AQ618="2",BH618,0),2)</f>
        <v>0</v>
      </c>
      <c r="AG618" s="59">
        <f>ROUND(IF(AQ618="2",BI618,0),2)</f>
        <v>0</v>
      </c>
      <c r="AH618" s="59">
        <f>ROUND(IF(AQ618="0",BJ618,0),2)</f>
        <v>0</v>
      </c>
      <c r="AI618" s="46" t="s">
        <v>514</v>
      </c>
      <c r="AJ618" s="59">
        <f>IF(AN618=0,I618,0)</f>
        <v>0</v>
      </c>
      <c r="AK618" s="59">
        <f>IF(AN618=12,I618,0)</f>
        <v>0</v>
      </c>
      <c r="AL618" s="59">
        <f>IF(AN618=21,I618,0)</f>
        <v>0</v>
      </c>
      <c r="AN618" s="59">
        <v>12</v>
      </c>
      <c r="AO618" s="59">
        <f>H618*0</f>
        <v>0</v>
      </c>
      <c r="AP618" s="59">
        <f>H618*(1-0)</f>
        <v>0</v>
      </c>
      <c r="AQ618" s="61" t="s">
        <v>111</v>
      </c>
      <c r="AV618" s="59">
        <f>ROUND(AW618+AX618,2)</f>
        <v>0</v>
      </c>
      <c r="AW618" s="59">
        <f>ROUND(G618*AO618,2)</f>
        <v>0</v>
      </c>
      <c r="AX618" s="59">
        <f>ROUND(G618*AP618,2)</f>
        <v>0</v>
      </c>
      <c r="AY618" s="61" t="s">
        <v>273</v>
      </c>
      <c r="AZ618" s="61" t="s">
        <v>523</v>
      </c>
      <c r="BA618" s="46" t="s">
        <v>517</v>
      </c>
      <c r="BC618" s="59">
        <f>AW618+AX618</f>
        <v>0</v>
      </c>
      <c r="BD618" s="59">
        <f>H618/(100-BE618)*100</f>
        <v>0</v>
      </c>
      <c r="BE618" s="59">
        <v>0</v>
      </c>
      <c r="BF618" s="59">
        <f>L618</f>
        <v>0</v>
      </c>
      <c r="BH618" s="59">
        <f>G618*AO618</f>
        <v>0</v>
      </c>
      <c r="BI618" s="59">
        <f>G618*AP618</f>
        <v>0</v>
      </c>
      <c r="BJ618" s="59">
        <f>G618*H618</f>
        <v>0</v>
      </c>
      <c r="BK618" s="59"/>
      <c r="BL618" s="59">
        <v>90</v>
      </c>
      <c r="BW618" s="59">
        <v>12</v>
      </c>
      <c r="BX618" s="16" t="s">
        <v>271</v>
      </c>
    </row>
    <row r="619" spans="1:76" x14ac:dyDescent="0.25">
      <c r="A619" s="62"/>
      <c r="D619" s="63" t="s">
        <v>176</v>
      </c>
      <c r="E619" s="63"/>
      <c r="G619" s="64">
        <v>12</v>
      </c>
      <c r="M619" s="65"/>
    </row>
    <row r="620" spans="1:76" ht="15" customHeight="1" x14ac:dyDescent="0.25">
      <c r="A620" s="58" t="s">
        <v>711</v>
      </c>
      <c r="B620" s="18" t="s">
        <v>514</v>
      </c>
      <c r="C620" s="18" t="s">
        <v>423</v>
      </c>
      <c r="D620" s="8" t="s">
        <v>271</v>
      </c>
      <c r="E620" s="8"/>
      <c r="F620" s="18" t="s">
        <v>272</v>
      </c>
      <c r="G620" s="59">
        <v>18</v>
      </c>
      <c r="H620" s="59">
        <v>0</v>
      </c>
      <c r="I620" s="59">
        <f>ROUND(G620*H620,2)</f>
        <v>0</v>
      </c>
      <c r="J620" s="59">
        <v>0</v>
      </c>
      <c r="K620" s="59">
        <v>0</v>
      </c>
      <c r="L620" s="59">
        <f>G620*K620</f>
        <v>0</v>
      </c>
      <c r="M620" s="60" t="s">
        <v>115</v>
      </c>
      <c r="Z620" s="59">
        <f>ROUND(IF(AQ620="5",BJ620,0),2)</f>
        <v>0</v>
      </c>
      <c r="AB620" s="59">
        <f>ROUND(IF(AQ620="1",BH620,0),2)</f>
        <v>0</v>
      </c>
      <c r="AC620" s="59">
        <f>ROUND(IF(AQ620="1",BI620,0),2)</f>
        <v>0</v>
      </c>
      <c r="AD620" s="59">
        <f>ROUND(IF(AQ620="7",BH620,0),2)</f>
        <v>0</v>
      </c>
      <c r="AE620" s="59">
        <f>ROUND(IF(AQ620="7",BI620,0),2)</f>
        <v>0</v>
      </c>
      <c r="AF620" s="59">
        <f>ROUND(IF(AQ620="2",BH620,0),2)</f>
        <v>0</v>
      </c>
      <c r="AG620" s="59">
        <f>ROUND(IF(AQ620="2",BI620,0),2)</f>
        <v>0</v>
      </c>
      <c r="AH620" s="59">
        <f>ROUND(IF(AQ620="0",BJ620,0),2)</f>
        <v>0</v>
      </c>
      <c r="AI620" s="46" t="s">
        <v>514</v>
      </c>
      <c r="AJ620" s="59">
        <f>IF(AN620=0,I620,0)</f>
        <v>0</v>
      </c>
      <c r="AK620" s="59">
        <f>IF(AN620=12,I620,0)</f>
        <v>0</v>
      </c>
      <c r="AL620" s="59">
        <f>IF(AN620=21,I620,0)</f>
        <v>0</v>
      </c>
      <c r="AN620" s="59">
        <v>12</v>
      </c>
      <c r="AO620" s="59">
        <f>H620*0</f>
        <v>0</v>
      </c>
      <c r="AP620" s="59">
        <f>H620*(1-0)</f>
        <v>0</v>
      </c>
      <c r="AQ620" s="61" t="s">
        <v>111</v>
      </c>
      <c r="AV620" s="59">
        <f>ROUND(AW620+AX620,2)</f>
        <v>0</v>
      </c>
      <c r="AW620" s="59">
        <f>ROUND(G620*AO620,2)</f>
        <v>0</v>
      </c>
      <c r="AX620" s="59">
        <f>ROUND(G620*AP620,2)</f>
        <v>0</v>
      </c>
      <c r="AY620" s="61" t="s">
        <v>273</v>
      </c>
      <c r="AZ620" s="61" t="s">
        <v>523</v>
      </c>
      <c r="BA620" s="46" t="s">
        <v>517</v>
      </c>
      <c r="BC620" s="59">
        <f>AW620+AX620</f>
        <v>0</v>
      </c>
      <c r="BD620" s="59">
        <f>H620/(100-BE620)*100</f>
        <v>0</v>
      </c>
      <c r="BE620" s="59">
        <v>0</v>
      </c>
      <c r="BF620" s="59">
        <f>L620</f>
        <v>0</v>
      </c>
      <c r="BH620" s="59">
        <f>G620*AO620</f>
        <v>0</v>
      </c>
      <c r="BI620" s="59">
        <f>G620*AP620</f>
        <v>0</v>
      </c>
      <c r="BJ620" s="59">
        <f>G620*H620</f>
        <v>0</v>
      </c>
      <c r="BK620" s="59"/>
      <c r="BL620" s="59">
        <v>90</v>
      </c>
      <c r="BW620" s="59">
        <v>12</v>
      </c>
      <c r="BX620" s="16" t="s">
        <v>271</v>
      </c>
    </row>
    <row r="621" spans="1:76" x14ac:dyDescent="0.25">
      <c r="A621" s="62"/>
      <c r="D621" s="63" t="s">
        <v>215</v>
      </c>
      <c r="E621" s="63"/>
      <c r="G621" s="64">
        <v>18</v>
      </c>
      <c r="M621" s="65"/>
    </row>
    <row r="622" spans="1:76" ht="15" customHeight="1" x14ac:dyDescent="0.25">
      <c r="A622" s="58" t="s">
        <v>712</v>
      </c>
      <c r="B622" s="18" t="s">
        <v>514</v>
      </c>
      <c r="C622" s="18" t="s">
        <v>270</v>
      </c>
      <c r="D622" s="8" t="s">
        <v>271</v>
      </c>
      <c r="E622" s="8"/>
      <c r="F622" s="18" t="s">
        <v>272</v>
      </c>
      <c r="G622" s="59">
        <v>30</v>
      </c>
      <c r="H622" s="59">
        <v>0</v>
      </c>
      <c r="I622" s="59">
        <f>ROUND(G622*H622,2)</f>
        <v>0</v>
      </c>
      <c r="J622" s="59">
        <v>0</v>
      </c>
      <c r="K622" s="59">
        <v>0</v>
      </c>
      <c r="L622" s="59">
        <f>G622*K622</f>
        <v>0</v>
      </c>
      <c r="M622" s="60" t="s">
        <v>115</v>
      </c>
      <c r="Z622" s="59">
        <f>ROUND(IF(AQ622="5",BJ622,0),2)</f>
        <v>0</v>
      </c>
      <c r="AB622" s="59">
        <f>ROUND(IF(AQ622="1",BH622,0),2)</f>
        <v>0</v>
      </c>
      <c r="AC622" s="59">
        <f>ROUND(IF(AQ622="1",BI622,0),2)</f>
        <v>0</v>
      </c>
      <c r="AD622" s="59">
        <f>ROUND(IF(AQ622="7",BH622,0),2)</f>
        <v>0</v>
      </c>
      <c r="AE622" s="59">
        <f>ROUND(IF(AQ622="7",BI622,0),2)</f>
        <v>0</v>
      </c>
      <c r="AF622" s="59">
        <f>ROUND(IF(AQ622="2",BH622,0),2)</f>
        <v>0</v>
      </c>
      <c r="AG622" s="59">
        <f>ROUND(IF(AQ622="2",BI622,0),2)</f>
        <v>0</v>
      </c>
      <c r="AH622" s="59">
        <f>ROUND(IF(AQ622="0",BJ622,0),2)</f>
        <v>0</v>
      </c>
      <c r="AI622" s="46" t="s">
        <v>514</v>
      </c>
      <c r="AJ622" s="59">
        <f>IF(AN622=0,I622,0)</f>
        <v>0</v>
      </c>
      <c r="AK622" s="59">
        <f>IF(AN622=12,I622,0)</f>
        <v>0</v>
      </c>
      <c r="AL622" s="59">
        <f>IF(AN622=21,I622,0)</f>
        <v>0</v>
      </c>
      <c r="AN622" s="59">
        <v>12</v>
      </c>
      <c r="AO622" s="59">
        <f>H622*0</f>
        <v>0</v>
      </c>
      <c r="AP622" s="59">
        <f>H622*(1-0)</f>
        <v>0</v>
      </c>
      <c r="AQ622" s="61" t="s">
        <v>111</v>
      </c>
      <c r="AV622" s="59">
        <f>ROUND(AW622+AX622,2)</f>
        <v>0</v>
      </c>
      <c r="AW622" s="59">
        <f>ROUND(G622*AO622,2)</f>
        <v>0</v>
      </c>
      <c r="AX622" s="59">
        <f>ROUND(G622*AP622,2)</f>
        <v>0</v>
      </c>
      <c r="AY622" s="61" t="s">
        <v>273</v>
      </c>
      <c r="AZ622" s="61" t="s">
        <v>523</v>
      </c>
      <c r="BA622" s="46" t="s">
        <v>517</v>
      </c>
      <c r="BC622" s="59">
        <f>AW622+AX622</f>
        <v>0</v>
      </c>
      <c r="BD622" s="59">
        <f>H622/(100-BE622)*100</f>
        <v>0</v>
      </c>
      <c r="BE622" s="59">
        <v>0</v>
      </c>
      <c r="BF622" s="59">
        <f>L622</f>
        <v>0</v>
      </c>
      <c r="BH622" s="59">
        <f>G622*AO622</f>
        <v>0</v>
      </c>
      <c r="BI622" s="59">
        <f>G622*AP622</f>
        <v>0</v>
      </c>
      <c r="BJ622" s="59">
        <f>G622*H622</f>
        <v>0</v>
      </c>
      <c r="BK622" s="59"/>
      <c r="BL622" s="59">
        <v>90</v>
      </c>
      <c r="BW622" s="59">
        <v>12</v>
      </c>
      <c r="BX622" s="16" t="s">
        <v>271</v>
      </c>
    </row>
    <row r="623" spans="1:76" x14ac:dyDescent="0.25">
      <c r="A623" s="62"/>
      <c r="D623" s="63" t="s">
        <v>276</v>
      </c>
      <c r="E623" s="63"/>
      <c r="G623" s="64">
        <v>30</v>
      </c>
      <c r="M623" s="65"/>
    </row>
    <row r="624" spans="1:76" ht="15" customHeight="1" x14ac:dyDescent="0.25">
      <c r="A624" s="54"/>
      <c r="B624" s="55" t="s">
        <v>514</v>
      </c>
      <c r="C624" s="55" t="s">
        <v>277</v>
      </c>
      <c r="D624" s="104" t="s">
        <v>278</v>
      </c>
      <c r="E624" s="104"/>
      <c r="F624" s="56" t="s">
        <v>88</v>
      </c>
      <c r="G624" s="56" t="s">
        <v>88</v>
      </c>
      <c r="H624" s="56" t="s">
        <v>88</v>
      </c>
      <c r="I624" s="39">
        <f>SUM(I625:I627)</f>
        <v>0</v>
      </c>
      <c r="J624" s="46"/>
      <c r="K624" s="46"/>
      <c r="L624" s="39">
        <f>SUM(L625:L627)</f>
        <v>0.10526999999999999</v>
      </c>
      <c r="M624" s="57"/>
      <c r="AI624" s="46" t="s">
        <v>514</v>
      </c>
      <c r="AS624" s="39">
        <f>SUM(AJ625:AJ627)</f>
        <v>0</v>
      </c>
      <c r="AT624" s="39">
        <f>SUM(AK625:AK627)</f>
        <v>0</v>
      </c>
      <c r="AU624" s="39">
        <f>SUM(AL625:AL627)</f>
        <v>0</v>
      </c>
    </row>
    <row r="625" spans="1:76" ht="15" customHeight="1" x14ac:dyDescent="0.25">
      <c r="A625" s="58" t="s">
        <v>713</v>
      </c>
      <c r="B625" s="18" t="s">
        <v>514</v>
      </c>
      <c r="C625" s="18" t="s">
        <v>280</v>
      </c>
      <c r="D625" s="8" t="s">
        <v>281</v>
      </c>
      <c r="E625" s="8"/>
      <c r="F625" s="18" t="s">
        <v>114</v>
      </c>
      <c r="G625" s="59">
        <v>87</v>
      </c>
      <c r="H625" s="59">
        <v>0</v>
      </c>
      <c r="I625" s="59">
        <f>ROUND(G625*H625,2)</f>
        <v>0</v>
      </c>
      <c r="J625" s="59">
        <v>1.2099999999999999E-3</v>
      </c>
      <c r="K625" s="59">
        <v>1.2099999999999999E-3</v>
      </c>
      <c r="L625" s="59">
        <f>G625*K625</f>
        <v>0.10526999999999999</v>
      </c>
      <c r="M625" s="60" t="s">
        <v>115</v>
      </c>
      <c r="Z625" s="59">
        <f>ROUND(IF(AQ625="5",BJ625,0),2)</f>
        <v>0</v>
      </c>
      <c r="AB625" s="59">
        <f>ROUND(IF(AQ625="1",BH625,0),2)</f>
        <v>0</v>
      </c>
      <c r="AC625" s="59">
        <f>ROUND(IF(AQ625="1",BI625,0),2)</f>
        <v>0</v>
      </c>
      <c r="AD625" s="59">
        <f>ROUND(IF(AQ625="7",BH625,0),2)</f>
        <v>0</v>
      </c>
      <c r="AE625" s="59">
        <f>ROUND(IF(AQ625="7",BI625,0),2)</f>
        <v>0</v>
      </c>
      <c r="AF625" s="59">
        <f>ROUND(IF(AQ625="2",BH625,0),2)</f>
        <v>0</v>
      </c>
      <c r="AG625" s="59">
        <f>ROUND(IF(AQ625="2",BI625,0),2)</f>
        <v>0</v>
      </c>
      <c r="AH625" s="59">
        <f>ROUND(IF(AQ625="0",BJ625,0),2)</f>
        <v>0</v>
      </c>
      <c r="AI625" s="46" t="s">
        <v>514</v>
      </c>
      <c r="AJ625" s="59">
        <f>IF(AN625=0,I625,0)</f>
        <v>0</v>
      </c>
      <c r="AK625" s="59">
        <f>IF(AN625=12,I625,0)</f>
        <v>0</v>
      </c>
      <c r="AL625" s="59">
        <f>IF(AN625=21,I625,0)</f>
        <v>0</v>
      </c>
      <c r="AN625" s="59">
        <v>12</v>
      </c>
      <c r="AO625" s="59">
        <f>H625*0.309860944</f>
        <v>0</v>
      </c>
      <c r="AP625" s="59">
        <f>H625*(1-0.309860944)</f>
        <v>0</v>
      </c>
      <c r="AQ625" s="61" t="s">
        <v>111</v>
      </c>
      <c r="AV625" s="59">
        <f>ROUND(AW625+AX625,2)</f>
        <v>0</v>
      </c>
      <c r="AW625" s="59">
        <f>ROUND(G625*AO625,2)</f>
        <v>0</v>
      </c>
      <c r="AX625" s="59">
        <f>ROUND(G625*AP625,2)</f>
        <v>0</v>
      </c>
      <c r="AY625" s="61" t="s">
        <v>282</v>
      </c>
      <c r="AZ625" s="61" t="s">
        <v>523</v>
      </c>
      <c r="BA625" s="46" t="s">
        <v>517</v>
      </c>
      <c r="BC625" s="59">
        <f>AW625+AX625</f>
        <v>0</v>
      </c>
      <c r="BD625" s="59">
        <f>H625/(100-BE625)*100</f>
        <v>0</v>
      </c>
      <c r="BE625" s="59">
        <v>0</v>
      </c>
      <c r="BF625" s="59">
        <f>L625</f>
        <v>0.10526999999999999</v>
      </c>
      <c r="BH625" s="59">
        <f>G625*AO625</f>
        <v>0</v>
      </c>
      <c r="BI625" s="59">
        <f>G625*AP625</f>
        <v>0</v>
      </c>
      <c r="BJ625" s="59">
        <f>G625*H625</f>
        <v>0</v>
      </c>
      <c r="BK625" s="59"/>
      <c r="BL625" s="59">
        <v>94</v>
      </c>
      <c r="BW625" s="59">
        <v>12</v>
      </c>
      <c r="BX625" s="16" t="s">
        <v>281</v>
      </c>
    </row>
    <row r="626" spans="1:76" x14ac:dyDescent="0.25">
      <c r="A626" s="62"/>
      <c r="D626" s="63" t="s">
        <v>425</v>
      </c>
      <c r="E626" s="63"/>
      <c r="G626" s="64">
        <v>87</v>
      </c>
      <c r="M626" s="65"/>
    </row>
    <row r="627" spans="1:76" ht="15" customHeight="1" x14ac:dyDescent="0.25">
      <c r="A627" s="58" t="s">
        <v>714</v>
      </c>
      <c r="B627" s="18" t="s">
        <v>514</v>
      </c>
      <c r="C627" s="18" t="s">
        <v>426</v>
      </c>
      <c r="D627" s="8" t="s">
        <v>427</v>
      </c>
      <c r="E627" s="8"/>
      <c r="F627" s="18" t="s">
        <v>272</v>
      </c>
      <c r="G627" s="59">
        <v>40</v>
      </c>
      <c r="H627" s="59">
        <v>0</v>
      </c>
      <c r="I627" s="59">
        <f>ROUND(G627*H627,2)</f>
        <v>0</v>
      </c>
      <c r="J627" s="59">
        <v>0</v>
      </c>
      <c r="K627" s="59">
        <v>0</v>
      </c>
      <c r="L627" s="59">
        <f>G627*K627</f>
        <v>0</v>
      </c>
      <c r="M627" s="60" t="s">
        <v>115</v>
      </c>
      <c r="Z627" s="59">
        <f>ROUND(IF(AQ627="5",BJ627,0),2)</f>
        <v>0</v>
      </c>
      <c r="AB627" s="59">
        <f>ROUND(IF(AQ627="1",BH627,0),2)</f>
        <v>0</v>
      </c>
      <c r="AC627" s="59">
        <f>ROUND(IF(AQ627="1",BI627,0),2)</f>
        <v>0</v>
      </c>
      <c r="AD627" s="59">
        <f>ROUND(IF(AQ627="7",BH627,0),2)</f>
        <v>0</v>
      </c>
      <c r="AE627" s="59">
        <f>ROUND(IF(AQ627="7",BI627,0),2)</f>
        <v>0</v>
      </c>
      <c r="AF627" s="59">
        <f>ROUND(IF(AQ627="2",BH627,0),2)</f>
        <v>0</v>
      </c>
      <c r="AG627" s="59">
        <f>ROUND(IF(AQ627="2",BI627,0),2)</f>
        <v>0</v>
      </c>
      <c r="AH627" s="59">
        <f>ROUND(IF(AQ627="0",BJ627,0),2)</f>
        <v>0</v>
      </c>
      <c r="AI627" s="46" t="s">
        <v>514</v>
      </c>
      <c r="AJ627" s="59">
        <f>IF(AN627=0,I627,0)</f>
        <v>0</v>
      </c>
      <c r="AK627" s="59">
        <f>IF(AN627=12,I627,0)</f>
        <v>0</v>
      </c>
      <c r="AL627" s="59">
        <f>IF(AN627=21,I627,0)</f>
        <v>0</v>
      </c>
      <c r="AN627" s="59">
        <v>12</v>
      </c>
      <c r="AO627" s="59">
        <f>H627*0</f>
        <v>0</v>
      </c>
      <c r="AP627" s="59">
        <f>H627*(1-0)</f>
        <v>0</v>
      </c>
      <c r="AQ627" s="61" t="s">
        <v>111</v>
      </c>
      <c r="AV627" s="59">
        <f>ROUND(AW627+AX627,2)</f>
        <v>0</v>
      </c>
      <c r="AW627" s="59">
        <f>ROUND(G627*AO627,2)</f>
        <v>0</v>
      </c>
      <c r="AX627" s="59">
        <f>ROUND(G627*AP627,2)</f>
        <v>0</v>
      </c>
      <c r="AY627" s="61" t="s">
        <v>282</v>
      </c>
      <c r="AZ627" s="61" t="s">
        <v>523</v>
      </c>
      <c r="BA627" s="46" t="s">
        <v>517</v>
      </c>
      <c r="BC627" s="59">
        <f>AW627+AX627</f>
        <v>0</v>
      </c>
      <c r="BD627" s="59">
        <f>H627/(100-BE627)*100</f>
        <v>0</v>
      </c>
      <c r="BE627" s="59">
        <v>0</v>
      </c>
      <c r="BF627" s="59">
        <f>L627</f>
        <v>0</v>
      </c>
      <c r="BH627" s="59">
        <f>G627*AO627</f>
        <v>0</v>
      </c>
      <c r="BI627" s="59">
        <f>G627*AP627</f>
        <v>0</v>
      </c>
      <c r="BJ627" s="59">
        <f>G627*H627</f>
        <v>0</v>
      </c>
      <c r="BK627" s="59"/>
      <c r="BL627" s="59">
        <v>94</v>
      </c>
      <c r="BW627" s="59">
        <v>12</v>
      </c>
      <c r="BX627" s="16" t="s">
        <v>427</v>
      </c>
    </row>
    <row r="628" spans="1:76" x14ac:dyDescent="0.25">
      <c r="A628" s="62"/>
      <c r="D628" s="63" t="s">
        <v>342</v>
      </c>
      <c r="E628" s="63"/>
      <c r="G628" s="64">
        <v>40</v>
      </c>
      <c r="M628" s="65"/>
    </row>
    <row r="629" spans="1:76" ht="15" customHeight="1" x14ac:dyDescent="0.25">
      <c r="A629" s="54"/>
      <c r="B629" s="55" t="s">
        <v>514</v>
      </c>
      <c r="C629" s="55" t="s">
        <v>284</v>
      </c>
      <c r="D629" s="104" t="s">
        <v>285</v>
      </c>
      <c r="E629" s="104"/>
      <c r="F629" s="56" t="s">
        <v>88</v>
      </c>
      <c r="G629" s="56" t="s">
        <v>88</v>
      </c>
      <c r="H629" s="56" t="s">
        <v>88</v>
      </c>
      <c r="I629" s="39">
        <f>SUM(I630)</f>
        <v>0</v>
      </c>
      <c r="J629" s="46"/>
      <c r="K629" s="46"/>
      <c r="L629" s="39">
        <f>SUM(L630)</f>
        <v>1.0267200000000001E-2</v>
      </c>
      <c r="M629" s="57"/>
      <c r="AI629" s="46" t="s">
        <v>514</v>
      </c>
      <c r="AS629" s="39">
        <f>SUM(AJ630)</f>
        <v>0</v>
      </c>
      <c r="AT629" s="39">
        <f>SUM(AK630)</f>
        <v>0</v>
      </c>
      <c r="AU629" s="39">
        <f>SUM(AL630)</f>
        <v>0</v>
      </c>
    </row>
    <row r="630" spans="1:76" ht="15" customHeight="1" x14ac:dyDescent="0.25">
      <c r="A630" s="58" t="s">
        <v>715</v>
      </c>
      <c r="B630" s="18" t="s">
        <v>514</v>
      </c>
      <c r="C630" s="18" t="s">
        <v>287</v>
      </c>
      <c r="D630" s="8" t="s">
        <v>288</v>
      </c>
      <c r="E630" s="8"/>
      <c r="F630" s="18" t="s">
        <v>114</v>
      </c>
      <c r="G630" s="59">
        <v>256.68</v>
      </c>
      <c r="H630" s="59">
        <v>0</v>
      </c>
      <c r="I630" s="59">
        <f>ROUND(G630*H630,2)</f>
        <v>0</v>
      </c>
      <c r="J630" s="59">
        <v>4.0000000000000003E-5</v>
      </c>
      <c r="K630" s="59">
        <v>4.0000000000000003E-5</v>
      </c>
      <c r="L630" s="59">
        <f>G630*K630</f>
        <v>1.0267200000000001E-2</v>
      </c>
      <c r="M630" s="60" t="s">
        <v>115</v>
      </c>
      <c r="Z630" s="59">
        <f>ROUND(IF(AQ630="5",BJ630,0),2)</f>
        <v>0</v>
      </c>
      <c r="AB630" s="59">
        <f>ROUND(IF(AQ630="1",BH630,0),2)</f>
        <v>0</v>
      </c>
      <c r="AC630" s="59">
        <f>ROUND(IF(AQ630="1",BI630,0),2)</f>
        <v>0</v>
      </c>
      <c r="AD630" s="59">
        <f>ROUND(IF(AQ630="7",BH630,0),2)</f>
        <v>0</v>
      </c>
      <c r="AE630" s="59">
        <f>ROUND(IF(AQ630="7",BI630,0),2)</f>
        <v>0</v>
      </c>
      <c r="AF630" s="59">
        <f>ROUND(IF(AQ630="2",BH630,0),2)</f>
        <v>0</v>
      </c>
      <c r="AG630" s="59">
        <f>ROUND(IF(AQ630="2",BI630,0),2)</f>
        <v>0</v>
      </c>
      <c r="AH630" s="59">
        <f>ROUND(IF(AQ630="0",BJ630,0),2)</f>
        <v>0</v>
      </c>
      <c r="AI630" s="46" t="s">
        <v>514</v>
      </c>
      <c r="AJ630" s="59">
        <f>IF(AN630=0,I630,0)</f>
        <v>0</v>
      </c>
      <c r="AK630" s="59">
        <f>IF(AN630=12,I630,0)</f>
        <v>0</v>
      </c>
      <c r="AL630" s="59">
        <f>IF(AN630=21,I630,0)</f>
        <v>0</v>
      </c>
      <c r="AN630" s="59">
        <v>12</v>
      </c>
      <c r="AO630" s="59">
        <f>H630*0.012649582</f>
        <v>0</v>
      </c>
      <c r="AP630" s="59">
        <f>H630*(1-0.012649582)</f>
        <v>0</v>
      </c>
      <c r="AQ630" s="61" t="s">
        <v>111</v>
      </c>
      <c r="AV630" s="59">
        <f>ROUND(AW630+AX630,2)</f>
        <v>0</v>
      </c>
      <c r="AW630" s="59">
        <f>ROUND(G630*AO630,2)</f>
        <v>0</v>
      </c>
      <c r="AX630" s="59">
        <f>ROUND(G630*AP630,2)</f>
        <v>0</v>
      </c>
      <c r="AY630" s="61" t="s">
        <v>289</v>
      </c>
      <c r="AZ630" s="61" t="s">
        <v>523</v>
      </c>
      <c r="BA630" s="46" t="s">
        <v>517</v>
      </c>
      <c r="BC630" s="59">
        <f>AW630+AX630</f>
        <v>0</v>
      </c>
      <c r="BD630" s="59">
        <f>H630/(100-BE630)*100</f>
        <v>0</v>
      </c>
      <c r="BE630" s="59">
        <v>0</v>
      </c>
      <c r="BF630" s="59">
        <f>L630</f>
        <v>1.0267200000000001E-2</v>
      </c>
      <c r="BH630" s="59">
        <f>G630*AO630</f>
        <v>0</v>
      </c>
      <c r="BI630" s="59">
        <f>G630*AP630</f>
        <v>0</v>
      </c>
      <c r="BJ630" s="59">
        <f>G630*H630</f>
        <v>0</v>
      </c>
      <c r="BK630" s="59"/>
      <c r="BL630" s="59">
        <v>95</v>
      </c>
      <c r="BW630" s="59">
        <v>12</v>
      </c>
      <c r="BX630" s="16" t="s">
        <v>288</v>
      </c>
    </row>
    <row r="631" spans="1:76" x14ac:dyDescent="0.25">
      <c r="A631" s="62"/>
      <c r="D631" s="63" t="s">
        <v>416</v>
      </c>
      <c r="E631" s="63"/>
      <c r="G631" s="64">
        <v>256.68</v>
      </c>
      <c r="M631" s="65"/>
    </row>
    <row r="632" spans="1:76" ht="15" customHeight="1" x14ac:dyDescent="0.25">
      <c r="A632" s="54"/>
      <c r="B632" s="55" t="s">
        <v>514</v>
      </c>
      <c r="C632" s="55" t="s">
        <v>290</v>
      </c>
      <c r="D632" s="104" t="s">
        <v>291</v>
      </c>
      <c r="E632" s="104"/>
      <c r="F632" s="56" t="s">
        <v>88</v>
      </c>
      <c r="G632" s="56" t="s">
        <v>88</v>
      </c>
      <c r="H632" s="56" t="s">
        <v>88</v>
      </c>
      <c r="I632" s="39">
        <f>SUM(I633:I645)</f>
        <v>0</v>
      </c>
      <c r="J632" s="46"/>
      <c r="K632" s="46"/>
      <c r="L632" s="39">
        <f>SUM(L633:L645)</f>
        <v>7.960691999999999</v>
      </c>
      <c r="M632" s="57"/>
      <c r="AI632" s="46" t="s">
        <v>514</v>
      </c>
      <c r="AS632" s="39">
        <f>SUM(AJ633:AJ645)</f>
        <v>0</v>
      </c>
      <c r="AT632" s="39">
        <f>SUM(AK633:AK645)</f>
        <v>0</v>
      </c>
      <c r="AU632" s="39">
        <f>SUM(AL633:AL645)</f>
        <v>0</v>
      </c>
    </row>
    <row r="633" spans="1:76" ht="15" customHeight="1" x14ac:dyDescent="0.25">
      <c r="A633" s="58" t="s">
        <v>716</v>
      </c>
      <c r="B633" s="18" t="s">
        <v>514</v>
      </c>
      <c r="C633" s="18" t="s">
        <v>293</v>
      </c>
      <c r="D633" s="8" t="s">
        <v>294</v>
      </c>
      <c r="E633" s="8"/>
      <c r="F633" s="18" t="s">
        <v>140</v>
      </c>
      <c r="G633" s="59">
        <v>24.9</v>
      </c>
      <c r="H633" s="59">
        <v>0</v>
      </c>
      <c r="I633" s="59">
        <f>ROUND(G633*H633,2)</f>
        <v>0</v>
      </c>
      <c r="J633" s="59">
        <v>0</v>
      </c>
      <c r="K633" s="59">
        <v>1.188E-2</v>
      </c>
      <c r="L633" s="59">
        <f>G633*K633</f>
        <v>0.29581199999999996</v>
      </c>
      <c r="M633" s="60" t="s">
        <v>115</v>
      </c>
      <c r="Z633" s="59">
        <f>ROUND(IF(AQ633="5",BJ633,0),2)</f>
        <v>0</v>
      </c>
      <c r="AB633" s="59">
        <f>ROUND(IF(AQ633="1",BH633,0),2)</f>
        <v>0</v>
      </c>
      <c r="AC633" s="59">
        <f>ROUND(IF(AQ633="1",BI633,0),2)</f>
        <v>0</v>
      </c>
      <c r="AD633" s="59">
        <f>ROUND(IF(AQ633="7",BH633,0),2)</f>
        <v>0</v>
      </c>
      <c r="AE633" s="59">
        <f>ROUND(IF(AQ633="7",BI633,0),2)</f>
        <v>0</v>
      </c>
      <c r="AF633" s="59">
        <f>ROUND(IF(AQ633="2",BH633,0),2)</f>
        <v>0</v>
      </c>
      <c r="AG633" s="59">
        <f>ROUND(IF(AQ633="2",BI633,0),2)</f>
        <v>0</v>
      </c>
      <c r="AH633" s="59">
        <f>ROUND(IF(AQ633="0",BJ633,0),2)</f>
        <v>0</v>
      </c>
      <c r="AI633" s="46" t="s">
        <v>514</v>
      </c>
      <c r="AJ633" s="59">
        <f>IF(AN633=0,I633,0)</f>
        <v>0</v>
      </c>
      <c r="AK633" s="59">
        <f>IF(AN633=12,I633,0)</f>
        <v>0</v>
      </c>
      <c r="AL633" s="59">
        <f>IF(AN633=21,I633,0)</f>
        <v>0</v>
      </c>
      <c r="AN633" s="59">
        <v>12</v>
      </c>
      <c r="AO633" s="59">
        <f>H633*0</f>
        <v>0</v>
      </c>
      <c r="AP633" s="59">
        <f>H633*(1-0)</f>
        <v>0</v>
      </c>
      <c r="AQ633" s="61" t="s">
        <v>111</v>
      </c>
      <c r="AV633" s="59">
        <f>ROUND(AW633+AX633,2)</f>
        <v>0</v>
      </c>
      <c r="AW633" s="59">
        <f>ROUND(G633*AO633,2)</f>
        <v>0</v>
      </c>
      <c r="AX633" s="59">
        <f>ROUND(G633*AP633,2)</f>
        <v>0</v>
      </c>
      <c r="AY633" s="61" t="s">
        <v>295</v>
      </c>
      <c r="AZ633" s="61" t="s">
        <v>523</v>
      </c>
      <c r="BA633" s="46" t="s">
        <v>517</v>
      </c>
      <c r="BC633" s="59">
        <f>AW633+AX633</f>
        <v>0</v>
      </c>
      <c r="BD633" s="59">
        <f>H633/(100-BE633)*100</f>
        <v>0</v>
      </c>
      <c r="BE633" s="59">
        <v>0</v>
      </c>
      <c r="BF633" s="59">
        <f>L633</f>
        <v>0.29581199999999996</v>
      </c>
      <c r="BH633" s="59">
        <f>G633*AO633</f>
        <v>0</v>
      </c>
      <c r="BI633" s="59">
        <f>G633*AP633</f>
        <v>0</v>
      </c>
      <c r="BJ633" s="59">
        <f>G633*H633</f>
        <v>0</v>
      </c>
      <c r="BK633" s="59"/>
      <c r="BL633" s="59">
        <v>96</v>
      </c>
      <c r="BW633" s="59">
        <v>12</v>
      </c>
      <c r="BX633" s="16" t="s">
        <v>294</v>
      </c>
    </row>
    <row r="634" spans="1:76" x14ac:dyDescent="0.25">
      <c r="A634" s="62"/>
      <c r="D634" s="63" t="s">
        <v>387</v>
      </c>
      <c r="E634" s="63"/>
      <c r="G634" s="64">
        <v>24.9</v>
      </c>
      <c r="M634" s="65"/>
    </row>
    <row r="635" spans="1:76" ht="15" customHeight="1" x14ac:dyDescent="0.25">
      <c r="A635" s="58" t="s">
        <v>717</v>
      </c>
      <c r="B635" s="18" t="s">
        <v>514</v>
      </c>
      <c r="C635" s="18" t="s">
        <v>297</v>
      </c>
      <c r="D635" s="8" t="s">
        <v>298</v>
      </c>
      <c r="E635" s="8"/>
      <c r="F635" s="18" t="s">
        <v>299</v>
      </c>
      <c r="G635" s="59">
        <v>46</v>
      </c>
      <c r="H635" s="59">
        <v>0</v>
      </c>
      <c r="I635" s="59">
        <f>ROUND(G635*H635,2)</f>
        <v>0</v>
      </c>
      <c r="J635" s="59">
        <v>0</v>
      </c>
      <c r="K635" s="59">
        <v>0</v>
      </c>
      <c r="L635" s="59">
        <f>G635*K635</f>
        <v>0</v>
      </c>
      <c r="M635" s="60" t="s">
        <v>115</v>
      </c>
      <c r="Z635" s="59">
        <f>ROUND(IF(AQ635="5",BJ635,0),2)</f>
        <v>0</v>
      </c>
      <c r="AB635" s="59">
        <f>ROUND(IF(AQ635="1",BH635,0),2)</f>
        <v>0</v>
      </c>
      <c r="AC635" s="59">
        <f>ROUND(IF(AQ635="1",BI635,0),2)</f>
        <v>0</v>
      </c>
      <c r="AD635" s="59">
        <f>ROUND(IF(AQ635="7",BH635,0),2)</f>
        <v>0</v>
      </c>
      <c r="AE635" s="59">
        <f>ROUND(IF(AQ635="7",BI635,0),2)</f>
        <v>0</v>
      </c>
      <c r="AF635" s="59">
        <f>ROUND(IF(AQ635="2",BH635,0),2)</f>
        <v>0</v>
      </c>
      <c r="AG635" s="59">
        <f>ROUND(IF(AQ635="2",BI635,0),2)</f>
        <v>0</v>
      </c>
      <c r="AH635" s="59">
        <f>ROUND(IF(AQ635="0",BJ635,0),2)</f>
        <v>0</v>
      </c>
      <c r="AI635" s="46" t="s">
        <v>514</v>
      </c>
      <c r="AJ635" s="59">
        <f>IF(AN635=0,I635,0)</f>
        <v>0</v>
      </c>
      <c r="AK635" s="59">
        <f>IF(AN635=12,I635,0)</f>
        <v>0</v>
      </c>
      <c r="AL635" s="59">
        <f>IF(AN635=21,I635,0)</f>
        <v>0</v>
      </c>
      <c r="AN635" s="59">
        <v>12</v>
      </c>
      <c r="AO635" s="59">
        <f>H635*0</f>
        <v>0</v>
      </c>
      <c r="AP635" s="59">
        <f>H635*(1-0)</f>
        <v>0</v>
      </c>
      <c r="AQ635" s="61" t="s">
        <v>111</v>
      </c>
      <c r="AV635" s="59">
        <f>ROUND(AW635+AX635,2)</f>
        <v>0</v>
      </c>
      <c r="AW635" s="59">
        <f>ROUND(G635*AO635,2)</f>
        <v>0</v>
      </c>
      <c r="AX635" s="59">
        <f>ROUND(G635*AP635,2)</f>
        <v>0</v>
      </c>
      <c r="AY635" s="61" t="s">
        <v>295</v>
      </c>
      <c r="AZ635" s="61" t="s">
        <v>523</v>
      </c>
      <c r="BA635" s="46" t="s">
        <v>517</v>
      </c>
      <c r="BC635" s="59">
        <f>AW635+AX635</f>
        <v>0</v>
      </c>
      <c r="BD635" s="59">
        <f>H635/(100-BE635)*100</f>
        <v>0</v>
      </c>
      <c r="BE635" s="59">
        <v>0</v>
      </c>
      <c r="BF635" s="59">
        <f>L635</f>
        <v>0</v>
      </c>
      <c r="BH635" s="59">
        <f>G635*AO635</f>
        <v>0</v>
      </c>
      <c r="BI635" s="59">
        <f>G635*AP635</f>
        <v>0</v>
      </c>
      <c r="BJ635" s="59">
        <f>G635*H635</f>
        <v>0</v>
      </c>
      <c r="BK635" s="59"/>
      <c r="BL635" s="59">
        <v>96</v>
      </c>
      <c r="BW635" s="59">
        <v>12</v>
      </c>
      <c r="BX635" s="16" t="s">
        <v>298</v>
      </c>
    </row>
    <row r="636" spans="1:76" x14ac:dyDescent="0.25">
      <c r="A636" s="62"/>
      <c r="D636" s="63" t="s">
        <v>504</v>
      </c>
      <c r="E636" s="63"/>
      <c r="G636" s="64">
        <v>46</v>
      </c>
      <c r="M636" s="65"/>
    </row>
    <row r="637" spans="1:76" ht="15" customHeight="1" x14ac:dyDescent="0.25">
      <c r="A637" s="58" t="s">
        <v>718</v>
      </c>
      <c r="B637" s="18" t="s">
        <v>514</v>
      </c>
      <c r="C637" s="18" t="s">
        <v>302</v>
      </c>
      <c r="D637" s="8" t="s">
        <v>303</v>
      </c>
      <c r="E637" s="8"/>
      <c r="F637" s="18" t="s">
        <v>114</v>
      </c>
      <c r="G637" s="59">
        <v>60</v>
      </c>
      <c r="H637" s="59">
        <v>0</v>
      </c>
      <c r="I637" s="59">
        <f>ROUND(G637*H637,2)</f>
        <v>0</v>
      </c>
      <c r="J637" s="59">
        <v>1E-3</v>
      </c>
      <c r="K637" s="59">
        <v>3.2000000000000001E-2</v>
      </c>
      <c r="L637" s="59">
        <f>G637*K637</f>
        <v>1.92</v>
      </c>
      <c r="M637" s="60" t="s">
        <v>115</v>
      </c>
      <c r="Z637" s="59">
        <f>ROUND(IF(AQ637="5",BJ637,0),2)</f>
        <v>0</v>
      </c>
      <c r="AB637" s="59">
        <f>ROUND(IF(AQ637="1",BH637,0),2)</f>
        <v>0</v>
      </c>
      <c r="AC637" s="59">
        <f>ROUND(IF(AQ637="1",BI637,0),2)</f>
        <v>0</v>
      </c>
      <c r="AD637" s="59">
        <f>ROUND(IF(AQ637="7",BH637,0),2)</f>
        <v>0</v>
      </c>
      <c r="AE637" s="59">
        <f>ROUND(IF(AQ637="7",BI637,0),2)</f>
        <v>0</v>
      </c>
      <c r="AF637" s="59">
        <f>ROUND(IF(AQ637="2",BH637,0),2)</f>
        <v>0</v>
      </c>
      <c r="AG637" s="59">
        <f>ROUND(IF(AQ637="2",BI637,0),2)</f>
        <v>0</v>
      </c>
      <c r="AH637" s="59">
        <f>ROUND(IF(AQ637="0",BJ637,0),2)</f>
        <v>0</v>
      </c>
      <c r="AI637" s="46" t="s">
        <v>514</v>
      </c>
      <c r="AJ637" s="59">
        <f>IF(AN637=0,I637,0)</f>
        <v>0</v>
      </c>
      <c r="AK637" s="59">
        <f>IF(AN637=12,I637,0)</f>
        <v>0</v>
      </c>
      <c r="AL637" s="59">
        <f>IF(AN637=21,I637,0)</f>
        <v>0</v>
      </c>
      <c r="AN637" s="59">
        <v>12</v>
      </c>
      <c r="AO637" s="59">
        <f>H637*0.133990826</f>
        <v>0</v>
      </c>
      <c r="AP637" s="59">
        <f>H637*(1-0.133990826)</f>
        <v>0</v>
      </c>
      <c r="AQ637" s="61" t="s">
        <v>111</v>
      </c>
      <c r="AV637" s="59">
        <f>ROUND(AW637+AX637,2)</f>
        <v>0</v>
      </c>
      <c r="AW637" s="59">
        <f>ROUND(G637*AO637,2)</f>
        <v>0</v>
      </c>
      <c r="AX637" s="59">
        <f>ROUND(G637*AP637,2)</f>
        <v>0</v>
      </c>
      <c r="AY637" s="61" t="s">
        <v>295</v>
      </c>
      <c r="AZ637" s="61" t="s">
        <v>523</v>
      </c>
      <c r="BA637" s="46" t="s">
        <v>517</v>
      </c>
      <c r="BC637" s="59">
        <f>AW637+AX637</f>
        <v>0</v>
      </c>
      <c r="BD637" s="59">
        <f>H637/(100-BE637)*100</f>
        <v>0</v>
      </c>
      <c r="BE637" s="59">
        <v>0</v>
      </c>
      <c r="BF637" s="59">
        <f>L637</f>
        <v>1.92</v>
      </c>
      <c r="BH637" s="59">
        <f>G637*AO637</f>
        <v>0</v>
      </c>
      <c r="BI637" s="59">
        <f>G637*AP637</f>
        <v>0</v>
      </c>
      <c r="BJ637" s="59">
        <f>G637*H637</f>
        <v>0</v>
      </c>
      <c r="BK637" s="59"/>
      <c r="BL637" s="59">
        <v>96</v>
      </c>
      <c r="BW637" s="59">
        <v>12</v>
      </c>
      <c r="BX637" s="16" t="s">
        <v>303</v>
      </c>
    </row>
    <row r="638" spans="1:76" x14ac:dyDescent="0.25">
      <c r="A638" s="62"/>
      <c r="D638" s="63" t="s">
        <v>505</v>
      </c>
      <c r="E638" s="63"/>
      <c r="G638" s="64">
        <v>60</v>
      </c>
      <c r="M638" s="65"/>
    </row>
    <row r="639" spans="1:76" ht="15" customHeight="1" x14ac:dyDescent="0.25">
      <c r="A639" s="58" t="s">
        <v>719</v>
      </c>
      <c r="B639" s="18" t="s">
        <v>514</v>
      </c>
      <c r="C639" s="18" t="s">
        <v>435</v>
      </c>
      <c r="D639" s="8" t="s">
        <v>436</v>
      </c>
      <c r="E639" s="8"/>
      <c r="F639" s="18" t="s">
        <v>360</v>
      </c>
      <c r="G639" s="59">
        <v>1.115</v>
      </c>
      <c r="H639" s="59">
        <v>0</v>
      </c>
      <c r="I639" s="59">
        <f>ROUND(G639*H639,2)</f>
        <v>0</v>
      </c>
      <c r="J639" s="59">
        <v>0</v>
      </c>
      <c r="K639" s="59">
        <v>2.2000000000000002</v>
      </c>
      <c r="L639" s="59">
        <f>G639*K639</f>
        <v>2.4530000000000003</v>
      </c>
      <c r="M639" s="60" t="s">
        <v>115</v>
      </c>
      <c r="Z639" s="59">
        <f>ROUND(IF(AQ639="5",BJ639,0),2)</f>
        <v>0</v>
      </c>
      <c r="AB639" s="59">
        <f>ROUND(IF(AQ639="1",BH639,0),2)</f>
        <v>0</v>
      </c>
      <c r="AC639" s="59">
        <f>ROUND(IF(AQ639="1",BI639,0),2)</f>
        <v>0</v>
      </c>
      <c r="AD639" s="59">
        <f>ROUND(IF(AQ639="7",BH639,0),2)</f>
        <v>0</v>
      </c>
      <c r="AE639" s="59">
        <f>ROUND(IF(AQ639="7",BI639,0),2)</f>
        <v>0</v>
      </c>
      <c r="AF639" s="59">
        <f>ROUND(IF(AQ639="2",BH639,0),2)</f>
        <v>0</v>
      </c>
      <c r="AG639" s="59">
        <f>ROUND(IF(AQ639="2",BI639,0),2)</f>
        <v>0</v>
      </c>
      <c r="AH639" s="59">
        <f>ROUND(IF(AQ639="0",BJ639,0),2)</f>
        <v>0</v>
      </c>
      <c r="AI639" s="46" t="s">
        <v>514</v>
      </c>
      <c r="AJ639" s="59">
        <f>IF(AN639=0,I639,0)</f>
        <v>0</v>
      </c>
      <c r="AK639" s="59">
        <f>IF(AN639=12,I639,0)</f>
        <v>0</v>
      </c>
      <c r="AL639" s="59">
        <f>IF(AN639=21,I639,0)</f>
        <v>0</v>
      </c>
      <c r="AN639" s="59">
        <v>12</v>
      </c>
      <c r="AO639" s="59">
        <f>H639*0</f>
        <v>0</v>
      </c>
      <c r="AP639" s="59">
        <f>H639*(1-0)</f>
        <v>0</v>
      </c>
      <c r="AQ639" s="61" t="s">
        <v>111</v>
      </c>
      <c r="AV639" s="59">
        <f>ROUND(AW639+AX639,2)</f>
        <v>0</v>
      </c>
      <c r="AW639" s="59">
        <f>ROUND(G639*AO639,2)</f>
        <v>0</v>
      </c>
      <c r="AX639" s="59">
        <f>ROUND(G639*AP639,2)</f>
        <v>0</v>
      </c>
      <c r="AY639" s="61" t="s">
        <v>295</v>
      </c>
      <c r="AZ639" s="61" t="s">
        <v>523</v>
      </c>
      <c r="BA639" s="46" t="s">
        <v>517</v>
      </c>
      <c r="BC639" s="59">
        <f>AW639+AX639</f>
        <v>0</v>
      </c>
      <c r="BD639" s="59">
        <f>H639/(100-BE639)*100</f>
        <v>0</v>
      </c>
      <c r="BE639" s="59">
        <v>0</v>
      </c>
      <c r="BF639" s="59">
        <f>L639</f>
        <v>2.4530000000000003</v>
      </c>
      <c r="BH639" s="59">
        <f>G639*AO639</f>
        <v>0</v>
      </c>
      <c r="BI639" s="59">
        <f>G639*AP639</f>
        <v>0</v>
      </c>
      <c r="BJ639" s="59">
        <f>G639*H639</f>
        <v>0</v>
      </c>
      <c r="BK639" s="59"/>
      <c r="BL639" s="59">
        <v>96</v>
      </c>
      <c r="BW639" s="59">
        <v>12</v>
      </c>
      <c r="BX639" s="16" t="s">
        <v>436</v>
      </c>
    </row>
    <row r="640" spans="1:76" x14ac:dyDescent="0.25">
      <c r="A640" s="62"/>
      <c r="D640" s="63" t="s">
        <v>362</v>
      </c>
      <c r="E640" s="63"/>
      <c r="G640" s="64">
        <v>1.115</v>
      </c>
      <c r="M640" s="65"/>
    </row>
    <row r="641" spans="1:76" ht="15" customHeight="1" x14ac:dyDescent="0.25">
      <c r="A641" s="58" t="s">
        <v>720</v>
      </c>
      <c r="B641" s="18" t="s">
        <v>514</v>
      </c>
      <c r="C641" s="18" t="s">
        <v>438</v>
      </c>
      <c r="D641" s="8" t="s">
        <v>439</v>
      </c>
      <c r="E641" s="8"/>
      <c r="F641" s="18" t="s">
        <v>360</v>
      </c>
      <c r="G641" s="59">
        <v>0.89200000000000002</v>
      </c>
      <c r="H641" s="59">
        <v>0</v>
      </c>
      <c r="I641" s="59">
        <f>ROUND(G641*H641,2)</f>
        <v>0</v>
      </c>
      <c r="J641" s="59">
        <v>0</v>
      </c>
      <c r="K641" s="59">
        <v>2.2000000000000002</v>
      </c>
      <c r="L641" s="59">
        <f>G641*K641</f>
        <v>1.9624000000000001</v>
      </c>
      <c r="M641" s="60" t="s">
        <v>115</v>
      </c>
      <c r="Z641" s="59">
        <f>ROUND(IF(AQ641="5",BJ641,0),2)</f>
        <v>0</v>
      </c>
      <c r="AB641" s="59">
        <f>ROUND(IF(AQ641="1",BH641,0),2)</f>
        <v>0</v>
      </c>
      <c r="AC641" s="59">
        <f>ROUND(IF(AQ641="1",BI641,0),2)</f>
        <v>0</v>
      </c>
      <c r="AD641" s="59">
        <f>ROUND(IF(AQ641="7",BH641,0),2)</f>
        <v>0</v>
      </c>
      <c r="AE641" s="59">
        <f>ROUND(IF(AQ641="7",BI641,0),2)</f>
        <v>0</v>
      </c>
      <c r="AF641" s="59">
        <f>ROUND(IF(AQ641="2",BH641,0),2)</f>
        <v>0</v>
      </c>
      <c r="AG641" s="59">
        <f>ROUND(IF(AQ641="2",BI641,0),2)</f>
        <v>0</v>
      </c>
      <c r="AH641" s="59">
        <f>ROUND(IF(AQ641="0",BJ641,0),2)</f>
        <v>0</v>
      </c>
      <c r="AI641" s="46" t="s">
        <v>514</v>
      </c>
      <c r="AJ641" s="59">
        <f>IF(AN641=0,I641,0)</f>
        <v>0</v>
      </c>
      <c r="AK641" s="59">
        <f>IF(AN641=12,I641,0)</f>
        <v>0</v>
      </c>
      <c r="AL641" s="59">
        <f>IF(AN641=21,I641,0)</f>
        <v>0</v>
      </c>
      <c r="AN641" s="59">
        <v>12</v>
      </c>
      <c r="AO641" s="59">
        <f>H641*0</f>
        <v>0</v>
      </c>
      <c r="AP641" s="59">
        <f>H641*(1-0)</f>
        <v>0</v>
      </c>
      <c r="AQ641" s="61" t="s">
        <v>111</v>
      </c>
      <c r="AV641" s="59">
        <f>ROUND(AW641+AX641,2)</f>
        <v>0</v>
      </c>
      <c r="AW641" s="59">
        <f>ROUND(G641*AO641,2)</f>
        <v>0</v>
      </c>
      <c r="AX641" s="59">
        <f>ROUND(G641*AP641,2)</f>
        <v>0</v>
      </c>
      <c r="AY641" s="61" t="s">
        <v>295</v>
      </c>
      <c r="AZ641" s="61" t="s">
        <v>523</v>
      </c>
      <c r="BA641" s="46" t="s">
        <v>517</v>
      </c>
      <c r="BC641" s="59">
        <f>AW641+AX641</f>
        <v>0</v>
      </c>
      <c r="BD641" s="59">
        <f>H641/(100-BE641)*100</f>
        <v>0</v>
      </c>
      <c r="BE641" s="59">
        <v>0</v>
      </c>
      <c r="BF641" s="59">
        <f>L641</f>
        <v>1.9624000000000001</v>
      </c>
      <c r="BH641" s="59">
        <f>G641*AO641</f>
        <v>0</v>
      </c>
      <c r="BI641" s="59">
        <f>G641*AP641</f>
        <v>0</v>
      </c>
      <c r="BJ641" s="59">
        <f>G641*H641</f>
        <v>0</v>
      </c>
      <c r="BK641" s="59"/>
      <c r="BL641" s="59">
        <v>96</v>
      </c>
      <c r="BW641" s="59">
        <v>12</v>
      </c>
      <c r="BX641" s="16" t="s">
        <v>439</v>
      </c>
    </row>
    <row r="642" spans="1:76" x14ac:dyDescent="0.25">
      <c r="A642" s="62"/>
      <c r="D642" s="63" t="s">
        <v>440</v>
      </c>
      <c r="E642" s="63"/>
      <c r="G642" s="64">
        <v>0.89200000000000002</v>
      </c>
      <c r="M642" s="65"/>
    </row>
    <row r="643" spans="1:76" ht="15" customHeight="1" x14ac:dyDescent="0.25">
      <c r="A643" s="58" t="s">
        <v>721</v>
      </c>
      <c r="B643" s="18" t="s">
        <v>514</v>
      </c>
      <c r="C643" s="18" t="s">
        <v>442</v>
      </c>
      <c r="D643" s="8" t="s">
        <v>443</v>
      </c>
      <c r="E643" s="8"/>
      <c r="F643" s="18" t="s">
        <v>114</v>
      </c>
      <c r="G643" s="59">
        <v>22.3</v>
      </c>
      <c r="H643" s="59">
        <v>0</v>
      </c>
      <c r="I643" s="59">
        <f>ROUND(G643*H643,2)</f>
        <v>0</v>
      </c>
      <c r="J643" s="59">
        <v>0</v>
      </c>
      <c r="K643" s="59">
        <v>1.26E-2</v>
      </c>
      <c r="L643" s="59">
        <f>G643*K643</f>
        <v>0.28098000000000001</v>
      </c>
      <c r="M643" s="60" t="s">
        <v>115</v>
      </c>
      <c r="Z643" s="59">
        <f>ROUND(IF(AQ643="5",BJ643,0),2)</f>
        <v>0</v>
      </c>
      <c r="AB643" s="59">
        <f>ROUND(IF(AQ643="1",BH643,0),2)</f>
        <v>0</v>
      </c>
      <c r="AC643" s="59">
        <f>ROUND(IF(AQ643="1",BI643,0),2)</f>
        <v>0</v>
      </c>
      <c r="AD643" s="59">
        <f>ROUND(IF(AQ643="7",BH643,0),2)</f>
        <v>0</v>
      </c>
      <c r="AE643" s="59">
        <f>ROUND(IF(AQ643="7",BI643,0),2)</f>
        <v>0</v>
      </c>
      <c r="AF643" s="59">
        <f>ROUND(IF(AQ643="2",BH643,0),2)</f>
        <v>0</v>
      </c>
      <c r="AG643" s="59">
        <f>ROUND(IF(AQ643="2",BI643,0),2)</f>
        <v>0</v>
      </c>
      <c r="AH643" s="59">
        <f>ROUND(IF(AQ643="0",BJ643,0),2)</f>
        <v>0</v>
      </c>
      <c r="AI643" s="46" t="s">
        <v>514</v>
      </c>
      <c r="AJ643" s="59">
        <f>IF(AN643=0,I643,0)</f>
        <v>0</v>
      </c>
      <c r="AK643" s="59">
        <f>IF(AN643=12,I643,0)</f>
        <v>0</v>
      </c>
      <c r="AL643" s="59">
        <f>IF(AN643=21,I643,0)</f>
        <v>0</v>
      </c>
      <c r="AN643" s="59">
        <v>12</v>
      </c>
      <c r="AO643" s="59">
        <f>H643*0</f>
        <v>0</v>
      </c>
      <c r="AP643" s="59">
        <f>H643*(1-0)</f>
        <v>0</v>
      </c>
      <c r="AQ643" s="61" t="s">
        <v>111</v>
      </c>
      <c r="AV643" s="59">
        <f>ROUND(AW643+AX643,2)</f>
        <v>0</v>
      </c>
      <c r="AW643" s="59">
        <f>ROUND(G643*AO643,2)</f>
        <v>0</v>
      </c>
      <c r="AX643" s="59">
        <f>ROUND(G643*AP643,2)</f>
        <v>0</v>
      </c>
      <c r="AY643" s="61" t="s">
        <v>295</v>
      </c>
      <c r="AZ643" s="61" t="s">
        <v>523</v>
      </c>
      <c r="BA643" s="46" t="s">
        <v>517</v>
      </c>
      <c r="BC643" s="59">
        <f>AW643+AX643</f>
        <v>0</v>
      </c>
      <c r="BD643" s="59">
        <f>H643/(100-BE643)*100</f>
        <v>0</v>
      </c>
      <c r="BE643" s="59">
        <v>0</v>
      </c>
      <c r="BF643" s="59">
        <f>L643</f>
        <v>0.28098000000000001</v>
      </c>
      <c r="BH643" s="59">
        <f>G643*AO643</f>
        <v>0</v>
      </c>
      <c r="BI643" s="59">
        <f>G643*AP643</f>
        <v>0</v>
      </c>
      <c r="BJ643" s="59">
        <f>G643*H643</f>
        <v>0</v>
      </c>
      <c r="BK643" s="59"/>
      <c r="BL643" s="59">
        <v>96</v>
      </c>
      <c r="BW643" s="59">
        <v>12</v>
      </c>
      <c r="BX643" s="16" t="s">
        <v>443</v>
      </c>
    </row>
    <row r="644" spans="1:76" x14ac:dyDescent="0.25">
      <c r="A644" s="62"/>
      <c r="D644" s="63" t="s">
        <v>444</v>
      </c>
      <c r="E644" s="63"/>
      <c r="G644" s="64">
        <v>22.3</v>
      </c>
      <c r="M644" s="65"/>
    </row>
    <row r="645" spans="1:76" ht="15" customHeight="1" x14ac:dyDescent="0.25">
      <c r="A645" s="58" t="s">
        <v>722</v>
      </c>
      <c r="B645" s="18" t="s">
        <v>514</v>
      </c>
      <c r="C645" s="18" t="s">
        <v>446</v>
      </c>
      <c r="D645" s="8" t="s">
        <v>447</v>
      </c>
      <c r="E645" s="8"/>
      <c r="F645" s="18" t="s">
        <v>114</v>
      </c>
      <c r="G645" s="59">
        <v>23.3</v>
      </c>
      <c r="H645" s="59">
        <v>0</v>
      </c>
      <c r="I645" s="59">
        <f>ROUND(G645*H645,2)</f>
        <v>0</v>
      </c>
      <c r="J645" s="59">
        <v>0</v>
      </c>
      <c r="K645" s="59">
        <v>4.4999999999999998E-2</v>
      </c>
      <c r="L645" s="59">
        <f>G645*K645</f>
        <v>1.0485</v>
      </c>
      <c r="M645" s="60" t="s">
        <v>115</v>
      </c>
      <c r="Z645" s="59">
        <f>ROUND(IF(AQ645="5",BJ645,0),2)</f>
        <v>0</v>
      </c>
      <c r="AB645" s="59">
        <f>ROUND(IF(AQ645="1",BH645,0),2)</f>
        <v>0</v>
      </c>
      <c r="AC645" s="59">
        <f>ROUND(IF(AQ645="1",BI645,0),2)</f>
        <v>0</v>
      </c>
      <c r="AD645" s="59">
        <f>ROUND(IF(AQ645="7",BH645,0),2)</f>
        <v>0</v>
      </c>
      <c r="AE645" s="59">
        <f>ROUND(IF(AQ645="7",BI645,0),2)</f>
        <v>0</v>
      </c>
      <c r="AF645" s="59">
        <f>ROUND(IF(AQ645="2",BH645,0),2)</f>
        <v>0</v>
      </c>
      <c r="AG645" s="59">
        <f>ROUND(IF(AQ645="2",BI645,0),2)</f>
        <v>0</v>
      </c>
      <c r="AH645" s="59">
        <f>ROUND(IF(AQ645="0",BJ645,0),2)</f>
        <v>0</v>
      </c>
      <c r="AI645" s="46" t="s">
        <v>514</v>
      </c>
      <c r="AJ645" s="59">
        <f>IF(AN645=0,I645,0)</f>
        <v>0</v>
      </c>
      <c r="AK645" s="59">
        <f>IF(AN645=12,I645,0)</f>
        <v>0</v>
      </c>
      <c r="AL645" s="59">
        <f>IF(AN645=21,I645,0)</f>
        <v>0</v>
      </c>
      <c r="AN645" s="59">
        <v>12</v>
      </c>
      <c r="AO645" s="59">
        <f>H645*0</f>
        <v>0</v>
      </c>
      <c r="AP645" s="59">
        <f>H645*(1-0)</f>
        <v>0</v>
      </c>
      <c r="AQ645" s="61" t="s">
        <v>111</v>
      </c>
      <c r="AV645" s="59">
        <f>ROUND(AW645+AX645,2)</f>
        <v>0</v>
      </c>
      <c r="AW645" s="59">
        <f>ROUND(G645*AO645,2)</f>
        <v>0</v>
      </c>
      <c r="AX645" s="59">
        <f>ROUND(G645*AP645,2)</f>
        <v>0</v>
      </c>
      <c r="AY645" s="61" t="s">
        <v>295</v>
      </c>
      <c r="AZ645" s="61" t="s">
        <v>523</v>
      </c>
      <c r="BA645" s="46" t="s">
        <v>517</v>
      </c>
      <c r="BC645" s="59">
        <f>AW645+AX645</f>
        <v>0</v>
      </c>
      <c r="BD645" s="59">
        <f>H645/(100-BE645)*100</f>
        <v>0</v>
      </c>
      <c r="BE645" s="59">
        <v>0</v>
      </c>
      <c r="BF645" s="59">
        <f>L645</f>
        <v>1.0485</v>
      </c>
      <c r="BH645" s="59">
        <f>G645*AO645</f>
        <v>0</v>
      </c>
      <c r="BI645" s="59">
        <f>G645*AP645</f>
        <v>0</v>
      </c>
      <c r="BJ645" s="59">
        <f>G645*H645</f>
        <v>0</v>
      </c>
      <c r="BK645" s="59"/>
      <c r="BL645" s="59">
        <v>96</v>
      </c>
      <c r="BW645" s="59">
        <v>12</v>
      </c>
      <c r="BX645" s="16" t="s">
        <v>447</v>
      </c>
    </row>
    <row r="646" spans="1:76" x14ac:dyDescent="0.25">
      <c r="A646" s="62"/>
      <c r="D646" s="63" t="s">
        <v>379</v>
      </c>
      <c r="E646" s="63"/>
      <c r="G646" s="64">
        <v>22.3</v>
      </c>
      <c r="M646" s="65"/>
    </row>
    <row r="647" spans="1:76" x14ac:dyDescent="0.25">
      <c r="A647" s="62"/>
      <c r="D647" s="63" t="s">
        <v>448</v>
      </c>
      <c r="E647" s="63"/>
      <c r="G647" s="64">
        <v>1</v>
      </c>
      <c r="M647" s="65"/>
    </row>
    <row r="648" spans="1:76" ht="15" customHeight="1" x14ac:dyDescent="0.25">
      <c r="A648" s="54"/>
      <c r="B648" s="55" t="s">
        <v>514</v>
      </c>
      <c r="C648" s="55" t="s">
        <v>312</v>
      </c>
      <c r="D648" s="104" t="s">
        <v>313</v>
      </c>
      <c r="E648" s="104"/>
      <c r="F648" s="56" t="s">
        <v>88</v>
      </c>
      <c r="G648" s="56" t="s">
        <v>88</v>
      </c>
      <c r="H648" s="56" t="s">
        <v>88</v>
      </c>
      <c r="I648" s="39">
        <f>SUM(I649)</f>
        <v>0</v>
      </c>
      <c r="J648" s="46"/>
      <c r="K648" s="46"/>
      <c r="L648" s="39">
        <f>SUM(L649)</f>
        <v>1.2511999999999999</v>
      </c>
      <c r="M648" s="57"/>
      <c r="AI648" s="46" t="s">
        <v>514</v>
      </c>
      <c r="AS648" s="39">
        <f>SUM(AJ649)</f>
        <v>0</v>
      </c>
      <c r="AT648" s="39">
        <f>SUM(AK649)</f>
        <v>0</v>
      </c>
      <c r="AU648" s="39">
        <f>SUM(AL649)</f>
        <v>0</v>
      </c>
    </row>
    <row r="649" spans="1:76" ht="15" customHeight="1" x14ac:dyDescent="0.25">
      <c r="A649" s="58" t="s">
        <v>723</v>
      </c>
      <c r="B649" s="18" t="s">
        <v>514</v>
      </c>
      <c r="C649" s="18" t="s">
        <v>315</v>
      </c>
      <c r="D649" s="8" t="s">
        <v>316</v>
      </c>
      <c r="E649" s="8"/>
      <c r="F649" s="18" t="s">
        <v>114</v>
      </c>
      <c r="G649" s="59">
        <v>27.2</v>
      </c>
      <c r="H649" s="59">
        <v>0</v>
      </c>
      <c r="I649" s="59">
        <f>ROUND(G649*H649,2)</f>
        <v>0</v>
      </c>
      <c r="J649" s="59">
        <v>0</v>
      </c>
      <c r="K649" s="59">
        <v>4.5999999999999999E-2</v>
      </c>
      <c r="L649" s="59">
        <f>G649*K649</f>
        <v>1.2511999999999999</v>
      </c>
      <c r="M649" s="60" t="s">
        <v>115</v>
      </c>
      <c r="Z649" s="59">
        <f>ROUND(IF(AQ649="5",BJ649,0),2)</f>
        <v>0</v>
      </c>
      <c r="AB649" s="59">
        <f>ROUND(IF(AQ649="1",BH649,0),2)</f>
        <v>0</v>
      </c>
      <c r="AC649" s="59">
        <f>ROUND(IF(AQ649="1",BI649,0),2)</f>
        <v>0</v>
      </c>
      <c r="AD649" s="59">
        <f>ROUND(IF(AQ649="7",BH649,0),2)</f>
        <v>0</v>
      </c>
      <c r="AE649" s="59">
        <f>ROUND(IF(AQ649="7",BI649,0),2)</f>
        <v>0</v>
      </c>
      <c r="AF649" s="59">
        <f>ROUND(IF(AQ649="2",BH649,0),2)</f>
        <v>0</v>
      </c>
      <c r="AG649" s="59">
        <f>ROUND(IF(AQ649="2",BI649,0),2)</f>
        <v>0</v>
      </c>
      <c r="AH649" s="59">
        <f>ROUND(IF(AQ649="0",BJ649,0),2)</f>
        <v>0</v>
      </c>
      <c r="AI649" s="46" t="s">
        <v>514</v>
      </c>
      <c r="AJ649" s="59">
        <f>IF(AN649=0,I649,0)</f>
        <v>0</v>
      </c>
      <c r="AK649" s="59">
        <f>IF(AN649=12,I649,0)</f>
        <v>0</v>
      </c>
      <c r="AL649" s="59">
        <f>IF(AN649=21,I649,0)</f>
        <v>0</v>
      </c>
      <c r="AN649" s="59">
        <v>12</v>
      </c>
      <c r="AO649" s="59">
        <f>H649*0</f>
        <v>0</v>
      </c>
      <c r="AP649" s="59">
        <f>H649*(1-0)</f>
        <v>0</v>
      </c>
      <c r="AQ649" s="61" t="s">
        <v>111</v>
      </c>
      <c r="AV649" s="59">
        <f>ROUND(AW649+AX649,2)</f>
        <v>0</v>
      </c>
      <c r="AW649" s="59">
        <f>ROUND(G649*AO649,2)</f>
        <v>0</v>
      </c>
      <c r="AX649" s="59">
        <f>ROUND(G649*AP649,2)</f>
        <v>0</v>
      </c>
      <c r="AY649" s="61" t="s">
        <v>317</v>
      </c>
      <c r="AZ649" s="61" t="s">
        <v>523</v>
      </c>
      <c r="BA649" s="46" t="s">
        <v>517</v>
      </c>
      <c r="BC649" s="59">
        <f>AW649+AX649</f>
        <v>0</v>
      </c>
      <c r="BD649" s="59">
        <f>H649/(100-BE649)*100</f>
        <v>0</v>
      </c>
      <c r="BE649" s="59">
        <v>0</v>
      </c>
      <c r="BF649" s="59">
        <f>L649</f>
        <v>1.2511999999999999</v>
      </c>
      <c r="BH649" s="59">
        <f>G649*AO649</f>
        <v>0</v>
      </c>
      <c r="BI649" s="59">
        <f>G649*AP649</f>
        <v>0</v>
      </c>
      <c r="BJ649" s="59">
        <f>G649*H649</f>
        <v>0</v>
      </c>
      <c r="BK649" s="59"/>
      <c r="BL649" s="59">
        <v>97</v>
      </c>
      <c r="BW649" s="59">
        <v>12</v>
      </c>
      <c r="BX649" s="16" t="s">
        <v>316</v>
      </c>
    </row>
    <row r="650" spans="1:76" x14ac:dyDescent="0.25">
      <c r="A650" s="62"/>
      <c r="D650" s="63" t="s">
        <v>502</v>
      </c>
      <c r="E650" s="63"/>
      <c r="G650" s="64">
        <v>27.2</v>
      </c>
      <c r="M650" s="65"/>
    </row>
    <row r="651" spans="1:76" ht="15" customHeight="1" x14ac:dyDescent="0.25">
      <c r="A651" s="54"/>
      <c r="B651" s="55" t="s">
        <v>514</v>
      </c>
      <c r="C651" s="55" t="s">
        <v>318</v>
      </c>
      <c r="D651" s="104" t="s">
        <v>319</v>
      </c>
      <c r="E651" s="104"/>
      <c r="F651" s="56" t="s">
        <v>88</v>
      </c>
      <c r="G651" s="56" t="s">
        <v>88</v>
      </c>
      <c r="H651" s="56" t="s">
        <v>88</v>
      </c>
      <c r="I651" s="39">
        <f>SUM(I652)</f>
        <v>0</v>
      </c>
      <c r="J651" s="46"/>
      <c r="K651" s="46"/>
      <c r="L651" s="39">
        <f>SUM(L652)</f>
        <v>0</v>
      </c>
      <c r="M651" s="57"/>
      <c r="AI651" s="46" t="s">
        <v>514</v>
      </c>
      <c r="AS651" s="39">
        <f>SUM(AJ652)</f>
        <v>0</v>
      </c>
      <c r="AT651" s="39">
        <f>SUM(AK652)</f>
        <v>0</v>
      </c>
      <c r="AU651" s="39">
        <f>SUM(AL652)</f>
        <v>0</v>
      </c>
    </row>
    <row r="652" spans="1:76" ht="15" customHeight="1" x14ac:dyDescent="0.25">
      <c r="A652" s="58" t="s">
        <v>724</v>
      </c>
      <c r="B652" s="18" t="s">
        <v>514</v>
      </c>
      <c r="C652" s="18" t="s">
        <v>321</v>
      </c>
      <c r="D652" s="8" t="s">
        <v>322</v>
      </c>
      <c r="E652" s="8"/>
      <c r="F652" s="18" t="s">
        <v>224</v>
      </c>
      <c r="G652" s="59">
        <v>5.1639999999999997</v>
      </c>
      <c r="H652" s="59">
        <v>0</v>
      </c>
      <c r="I652" s="59">
        <f>ROUND(G652*H652,2)</f>
        <v>0</v>
      </c>
      <c r="J652" s="59">
        <v>0</v>
      </c>
      <c r="K652" s="59">
        <v>0</v>
      </c>
      <c r="L652" s="59">
        <f>G652*K652</f>
        <v>0</v>
      </c>
      <c r="M652" s="60" t="s">
        <v>115</v>
      </c>
      <c r="Z652" s="59">
        <f>ROUND(IF(AQ652="5",BJ652,0),2)</f>
        <v>0</v>
      </c>
      <c r="AB652" s="59">
        <f>ROUND(IF(AQ652="1",BH652,0),2)</f>
        <v>0</v>
      </c>
      <c r="AC652" s="59">
        <f>ROUND(IF(AQ652="1",BI652,0),2)</f>
        <v>0</v>
      </c>
      <c r="AD652" s="59">
        <f>ROUND(IF(AQ652="7",BH652,0),2)</f>
        <v>0</v>
      </c>
      <c r="AE652" s="59">
        <f>ROUND(IF(AQ652="7",BI652,0),2)</f>
        <v>0</v>
      </c>
      <c r="AF652" s="59">
        <f>ROUND(IF(AQ652="2",BH652,0),2)</f>
        <v>0</v>
      </c>
      <c r="AG652" s="59">
        <f>ROUND(IF(AQ652="2",BI652,0),2)</f>
        <v>0</v>
      </c>
      <c r="AH652" s="59">
        <f>ROUND(IF(AQ652="0",BJ652,0),2)</f>
        <v>0</v>
      </c>
      <c r="AI652" s="46" t="s">
        <v>514</v>
      </c>
      <c r="AJ652" s="59">
        <f>IF(AN652=0,I652,0)</f>
        <v>0</v>
      </c>
      <c r="AK652" s="59">
        <f>IF(AN652=12,I652,0)</f>
        <v>0</v>
      </c>
      <c r="AL652" s="59">
        <f>IF(AN652=21,I652,0)</f>
        <v>0</v>
      </c>
      <c r="AN652" s="59">
        <v>12</v>
      </c>
      <c r="AO652" s="59">
        <f>H652*0</f>
        <v>0</v>
      </c>
      <c r="AP652" s="59">
        <f>H652*(1-0)</f>
        <v>0</v>
      </c>
      <c r="AQ652" s="61" t="s">
        <v>137</v>
      </c>
      <c r="AV652" s="59">
        <f>ROUND(AW652+AX652,2)</f>
        <v>0</v>
      </c>
      <c r="AW652" s="59">
        <f>ROUND(G652*AO652,2)</f>
        <v>0</v>
      </c>
      <c r="AX652" s="59">
        <f>ROUND(G652*AP652,2)</f>
        <v>0</v>
      </c>
      <c r="AY652" s="61" t="s">
        <v>323</v>
      </c>
      <c r="AZ652" s="61" t="s">
        <v>523</v>
      </c>
      <c r="BA652" s="46" t="s">
        <v>517</v>
      </c>
      <c r="BC652" s="59">
        <f>AW652+AX652</f>
        <v>0</v>
      </c>
      <c r="BD652" s="59">
        <f>H652/(100-BE652)*100</f>
        <v>0</v>
      </c>
      <c r="BE652" s="59">
        <v>0</v>
      </c>
      <c r="BF652" s="59">
        <f>L652</f>
        <v>0</v>
      </c>
      <c r="BH652" s="59">
        <f>G652*AO652</f>
        <v>0</v>
      </c>
      <c r="BI652" s="59">
        <f>G652*AP652</f>
        <v>0</v>
      </c>
      <c r="BJ652" s="59">
        <f>G652*H652</f>
        <v>0</v>
      </c>
      <c r="BK652" s="59"/>
      <c r="BL652" s="59"/>
      <c r="BW652" s="59">
        <v>12</v>
      </c>
      <c r="BX652" s="16" t="s">
        <v>322</v>
      </c>
    </row>
    <row r="653" spans="1:76" ht="15" customHeight="1" x14ac:dyDescent="0.25">
      <c r="A653" s="54"/>
      <c r="B653" s="55" t="s">
        <v>514</v>
      </c>
      <c r="C653" s="55" t="s">
        <v>324</v>
      </c>
      <c r="D653" s="104" t="s">
        <v>325</v>
      </c>
      <c r="E653" s="104"/>
      <c r="F653" s="56" t="s">
        <v>88</v>
      </c>
      <c r="G653" s="56" t="s">
        <v>88</v>
      </c>
      <c r="H653" s="56" t="s">
        <v>88</v>
      </c>
      <c r="I653" s="39">
        <f>SUM(I654:I668)</f>
        <v>0</v>
      </c>
      <c r="J653" s="46"/>
      <c r="K653" s="46"/>
      <c r="L653" s="39">
        <f>SUM(L654:L668)</f>
        <v>0</v>
      </c>
      <c r="M653" s="57"/>
      <c r="AI653" s="46" t="s">
        <v>514</v>
      </c>
      <c r="AS653" s="39">
        <f>SUM(AJ654:AJ668)</f>
        <v>0</v>
      </c>
      <c r="AT653" s="39">
        <f>SUM(AK654:AK668)</f>
        <v>0</v>
      </c>
      <c r="AU653" s="39">
        <f>SUM(AL654:AL668)</f>
        <v>0</v>
      </c>
    </row>
    <row r="654" spans="1:76" ht="15" customHeight="1" x14ac:dyDescent="0.25">
      <c r="A654" s="58" t="s">
        <v>725</v>
      </c>
      <c r="B654" s="18" t="s">
        <v>514</v>
      </c>
      <c r="C654" s="18" t="s">
        <v>453</v>
      </c>
      <c r="D654" s="8" t="s">
        <v>454</v>
      </c>
      <c r="E654" s="8"/>
      <c r="F654" s="18" t="s">
        <v>224</v>
      </c>
      <c r="G654" s="59">
        <v>9.3800000000000008</v>
      </c>
      <c r="H654" s="59">
        <v>0</v>
      </c>
      <c r="I654" s="59">
        <f>ROUND(G654*H654,2)</f>
        <v>0</v>
      </c>
      <c r="J654" s="59">
        <v>0</v>
      </c>
      <c r="K654" s="59">
        <v>0</v>
      </c>
      <c r="L654" s="59">
        <f>G654*K654</f>
        <v>0</v>
      </c>
      <c r="M654" s="60" t="s">
        <v>115</v>
      </c>
      <c r="Z654" s="59">
        <f>ROUND(IF(AQ654="5",BJ654,0),2)</f>
        <v>0</v>
      </c>
      <c r="AB654" s="59">
        <f>ROUND(IF(AQ654="1",BH654,0),2)</f>
        <v>0</v>
      </c>
      <c r="AC654" s="59">
        <f>ROUND(IF(AQ654="1",BI654,0),2)</f>
        <v>0</v>
      </c>
      <c r="AD654" s="59">
        <f>ROUND(IF(AQ654="7",BH654,0),2)</f>
        <v>0</v>
      </c>
      <c r="AE654" s="59">
        <f>ROUND(IF(AQ654="7",BI654,0),2)</f>
        <v>0</v>
      </c>
      <c r="AF654" s="59">
        <f>ROUND(IF(AQ654="2",BH654,0),2)</f>
        <v>0</v>
      </c>
      <c r="AG654" s="59">
        <f>ROUND(IF(AQ654="2",BI654,0),2)</f>
        <v>0</v>
      </c>
      <c r="AH654" s="59">
        <f>ROUND(IF(AQ654="0",BJ654,0),2)</f>
        <v>0</v>
      </c>
      <c r="AI654" s="46" t="s">
        <v>514</v>
      </c>
      <c r="AJ654" s="59">
        <f>IF(AN654=0,I654,0)</f>
        <v>0</v>
      </c>
      <c r="AK654" s="59">
        <f>IF(AN654=12,I654,0)</f>
        <v>0</v>
      </c>
      <c r="AL654" s="59">
        <f>IF(AN654=21,I654,0)</f>
        <v>0</v>
      </c>
      <c r="AN654" s="59">
        <v>12</v>
      </c>
      <c r="AO654" s="59">
        <f>H654*0</f>
        <v>0</v>
      </c>
      <c r="AP654" s="59">
        <f>H654*(1-0)</f>
        <v>0</v>
      </c>
      <c r="AQ654" s="61" t="s">
        <v>137</v>
      </c>
      <c r="AV654" s="59">
        <f>ROUND(AW654+AX654,2)</f>
        <v>0</v>
      </c>
      <c r="AW654" s="59">
        <f>ROUND(G654*AO654,2)</f>
        <v>0</v>
      </c>
      <c r="AX654" s="59">
        <f>ROUND(G654*AP654,2)</f>
        <v>0</v>
      </c>
      <c r="AY654" s="61" t="s">
        <v>329</v>
      </c>
      <c r="AZ654" s="61" t="s">
        <v>523</v>
      </c>
      <c r="BA654" s="46" t="s">
        <v>517</v>
      </c>
      <c r="BC654" s="59">
        <f>AW654+AX654</f>
        <v>0</v>
      </c>
      <c r="BD654" s="59">
        <f>H654/(100-BE654)*100</f>
        <v>0</v>
      </c>
      <c r="BE654" s="59">
        <v>0</v>
      </c>
      <c r="BF654" s="59">
        <f>L654</f>
        <v>0</v>
      </c>
      <c r="BH654" s="59">
        <f>G654*AO654</f>
        <v>0</v>
      </c>
      <c r="BI654" s="59">
        <f>G654*AP654</f>
        <v>0</v>
      </c>
      <c r="BJ654" s="59">
        <f>G654*H654</f>
        <v>0</v>
      </c>
      <c r="BK654" s="59"/>
      <c r="BL654" s="59"/>
      <c r="BW654" s="59">
        <v>12</v>
      </c>
      <c r="BX654" s="16" t="s">
        <v>454</v>
      </c>
    </row>
    <row r="655" spans="1:76" x14ac:dyDescent="0.25">
      <c r="A655" s="62"/>
      <c r="D655" s="63" t="s">
        <v>506</v>
      </c>
      <c r="E655" s="63"/>
      <c r="G655" s="64">
        <v>9.3800000000000008</v>
      </c>
      <c r="M655" s="65"/>
    </row>
    <row r="656" spans="1:76" ht="15" customHeight="1" x14ac:dyDescent="0.25">
      <c r="A656" s="58" t="s">
        <v>726</v>
      </c>
      <c r="B656" s="18" t="s">
        <v>514</v>
      </c>
      <c r="C656" s="18" t="s">
        <v>327</v>
      </c>
      <c r="D656" s="8" t="s">
        <v>328</v>
      </c>
      <c r="E656" s="8"/>
      <c r="F656" s="18" t="s">
        <v>224</v>
      </c>
      <c r="G656" s="59">
        <v>9.3800000000000008</v>
      </c>
      <c r="H656" s="59">
        <v>0</v>
      </c>
      <c r="I656" s="59">
        <f>ROUND(G656*H656,2)</f>
        <v>0</v>
      </c>
      <c r="J656" s="59">
        <v>0</v>
      </c>
      <c r="K656" s="59">
        <v>0</v>
      </c>
      <c r="L656" s="59">
        <f>G656*K656</f>
        <v>0</v>
      </c>
      <c r="M656" s="60" t="s">
        <v>115</v>
      </c>
      <c r="Z656" s="59">
        <f>ROUND(IF(AQ656="5",BJ656,0),2)</f>
        <v>0</v>
      </c>
      <c r="AB656" s="59">
        <f>ROUND(IF(AQ656="1",BH656,0),2)</f>
        <v>0</v>
      </c>
      <c r="AC656" s="59">
        <f>ROUND(IF(AQ656="1",BI656,0),2)</f>
        <v>0</v>
      </c>
      <c r="AD656" s="59">
        <f>ROUND(IF(AQ656="7",BH656,0),2)</f>
        <v>0</v>
      </c>
      <c r="AE656" s="59">
        <f>ROUND(IF(AQ656="7",BI656,0),2)</f>
        <v>0</v>
      </c>
      <c r="AF656" s="59">
        <f>ROUND(IF(AQ656="2",BH656,0),2)</f>
        <v>0</v>
      </c>
      <c r="AG656" s="59">
        <f>ROUND(IF(AQ656="2",BI656,0),2)</f>
        <v>0</v>
      </c>
      <c r="AH656" s="59">
        <f>ROUND(IF(AQ656="0",BJ656,0),2)</f>
        <v>0</v>
      </c>
      <c r="AI656" s="46" t="s">
        <v>514</v>
      </c>
      <c r="AJ656" s="59">
        <f>IF(AN656=0,I656,0)</f>
        <v>0</v>
      </c>
      <c r="AK656" s="59">
        <f>IF(AN656=12,I656,0)</f>
        <v>0</v>
      </c>
      <c r="AL656" s="59">
        <f>IF(AN656=21,I656,0)</f>
        <v>0</v>
      </c>
      <c r="AN656" s="59">
        <v>12</v>
      </c>
      <c r="AO656" s="59">
        <f>H656*0</f>
        <v>0</v>
      </c>
      <c r="AP656" s="59">
        <f>H656*(1-0)</f>
        <v>0</v>
      </c>
      <c r="AQ656" s="61" t="s">
        <v>137</v>
      </c>
      <c r="AV656" s="59">
        <f>ROUND(AW656+AX656,2)</f>
        <v>0</v>
      </c>
      <c r="AW656" s="59">
        <f>ROUND(G656*AO656,2)</f>
        <v>0</v>
      </c>
      <c r="AX656" s="59">
        <f>ROUND(G656*AP656,2)</f>
        <v>0</v>
      </c>
      <c r="AY656" s="61" t="s">
        <v>329</v>
      </c>
      <c r="AZ656" s="61" t="s">
        <v>523</v>
      </c>
      <c r="BA656" s="46" t="s">
        <v>517</v>
      </c>
      <c r="BC656" s="59">
        <f>AW656+AX656</f>
        <v>0</v>
      </c>
      <c r="BD656" s="59">
        <f>H656/(100-BE656)*100</f>
        <v>0</v>
      </c>
      <c r="BE656" s="59">
        <v>0</v>
      </c>
      <c r="BF656" s="59">
        <f>L656</f>
        <v>0</v>
      </c>
      <c r="BH656" s="59">
        <f>G656*AO656</f>
        <v>0</v>
      </c>
      <c r="BI656" s="59">
        <f>G656*AP656</f>
        <v>0</v>
      </c>
      <c r="BJ656" s="59">
        <f>G656*H656</f>
        <v>0</v>
      </c>
      <c r="BK656" s="59"/>
      <c r="BL656" s="59"/>
      <c r="BW656" s="59">
        <v>12</v>
      </c>
      <c r="BX656" s="16" t="s">
        <v>328</v>
      </c>
    </row>
    <row r="657" spans="1:76" x14ac:dyDescent="0.25">
      <c r="A657" s="62"/>
      <c r="D657" s="63" t="s">
        <v>507</v>
      </c>
      <c r="E657" s="63"/>
      <c r="G657" s="64">
        <v>9.3800000000000008</v>
      </c>
      <c r="M657" s="65"/>
    </row>
    <row r="658" spans="1:76" ht="15" customHeight="1" x14ac:dyDescent="0.25">
      <c r="A658" s="58" t="s">
        <v>727</v>
      </c>
      <c r="B658" s="18" t="s">
        <v>514</v>
      </c>
      <c r="C658" s="18" t="s">
        <v>482</v>
      </c>
      <c r="D658" s="8" t="s">
        <v>483</v>
      </c>
      <c r="E658" s="8"/>
      <c r="F658" s="18" t="s">
        <v>224</v>
      </c>
      <c r="G658" s="59">
        <v>37.520000000000003</v>
      </c>
      <c r="H658" s="59">
        <v>0</v>
      </c>
      <c r="I658" s="59">
        <f>ROUND(G658*H658,2)</f>
        <v>0</v>
      </c>
      <c r="J658" s="59">
        <v>0</v>
      </c>
      <c r="K658" s="59">
        <v>0</v>
      </c>
      <c r="L658" s="59">
        <f>G658*K658</f>
        <v>0</v>
      </c>
      <c r="M658" s="60" t="s">
        <v>115</v>
      </c>
      <c r="Z658" s="59">
        <f>ROUND(IF(AQ658="5",BJ658,0),2)</f>
        <v>0</v>
      </c>
      <c r="AB658" s="59">
        <f>ROUND(IF(AQ658="1",BH658,0),2)</f>
        <v>0</v>
      </c>
      <c r="AC658" s="59">
        <f>ROUND(IF(AQ658="1",BI658,0),2)</f>
        <v>0</v>
      </c>
      <c r="AD658" s="59">
        <f>ROUND(IF(AQ658="7",BH658,0),2)</f>
        <v>0</v>
      </c>
      <c r="AE658" s="59">
        <f>ROUND(IF(AQ658="7",BI658,0),2)</f>
        <v>0</v>
      </c>
      <c r="AF658" s="59">
        <f>ROUND(IF(AQ658="2",BH658,0),2)</f>
        <v>0</v>
      </c>
      <c r="AG658" s="59">
        <f>ROUND(IF(AQ658="2",BI658,0),2)</f>
        <v>0</v>
      </c>
      <c r="AH658" s="59">
        <f>ROUND(IF(AQ658="0",BJ658,0),2)</f>
        <v>0</v>
      </c>
      <c r="AI658" s="46" t="s">
        <v>514</v>
      </c>
      <c r="AJ658" s="59">
        <f>IF(AN658=0,I658,0)</f>
        <v>0</v>
      </c>
      <c r="AK658" s="59">
        <f>IF(AN658=12,I658,0)</f>
        <v>0</v>
      </c>
      <c r="AL658" s="59">
        <f>IF(AN658=21,I658,0)</f>
        <v>0</v>
      </c>
      <c r="AN658" s="59">
        <v>12</v>
      </c>
      <c r="AO658" s="59">
        <f>H658*0</f>
        <v>0</v>
      </c>
      <c r="AP658" s="59">
        <f>H658*(1-0)</f>
        <v>0</v>
      </c>
      <c r="AQ658" s="61" t="s">
        <v>137</v>
      </c>
      <c r="AV658" s="59">
        <f>ROUND(AW658+AX658,2)</f>
        <v>0</v>
      </c>
      <c r="AW658" s="59">
        <f>ROUND(G658*AO658,2)</f>
        <v>0</v>
      </c>
      <c r="AX658" s="59">
        <f>ROUND(G658*AP658,2)</f>
        <v>0</v>
      </c>
      <c r="AY658" s="61" t="s">
        <v>329</v>
      </c>
      <c r="AZ658" s="61" t="s">
        <v>523</v>
      </c>
      <c r="BA658" s="46" t="s">
        <v>517</v>
      </c>
      <c r="BC658" s="59">
        <f>AW658+AX658</f>
        <v>0</v>
      </c>
      <c r="BD658" s="59">
        <f>H658/(100-BE658)*100</f>
        <v>0</v>
      </c>
      <c r="BE658" s="59">
        <v>0</v>
      </c>
      <c r="BF658" s="59">
        <f>L658</f>
        <v>0</v>
      </c>
      <c r="BH658" s="59">
        <f>G658*AO658</f>
        <v>0</v>
      </c>
      <c r="BI658" s="59">
        <f>G658*AP658</f>
        <v>0</v>
      </c>
      <c r="BJ658" s="59">
        <f>G658*H658</f>
        <v>0</v>
      </c>
      <c r="BK658" s="59"/>
      <c r="BL658" s="59"/>
      <c r="BW658" s="59">
        <v>12</v>
      </c>
      <c r="BX658" s="16" t="s">
        <v>483</v>
      </c>
    </row>
    <row r="659" spans="1:76" x14ac:dyDescent="0.25">
      <c r="A659" s="62"/>
      <c r="D659" s="63" t="s">
        <v>524</v>
      </c>
      <c r="E659" s="63"/>
      <c r="G659" s="64">
        <v>37.520000000000003</v>
      </c>
      <c r="M659" s="65"/>
    </row>
    <row r="660" spans="1:76" ht="15" customHeight="1" x14ac:dyDescent="0.25">
      <c r="A660" s="58" t="s">
        <v>728</v>
      </c>
      <c r="B660" s="18" t="s">
        <v>514</v>
      </c>
      <c r="C660" s="18" t="s">
        <v>332</v>
      </c>
      <c r="D660" s="8" t="s">
        <v>333</v>
      </c>
      <c r="E660" s="8"/>
      <c r="F660" s="18" t="s">
        <v>224</v>
      </c>
      <c r="G660" s="59">
        <v>9.3800000000000008</v>
      </c>
      <c r="H660" s="59">
        <v>0</v>
      </c>
      <c r="I660" s="59">
        <f>ROUND(G660*H660,2)</f>
        <v>0</v>
      </c>
      <c r="J660" s="59">
        <v>0</v>
      </c>
      <c r="K660" s="59">
        <v>0</v>
      </c>
      <c r="L660" s="59">
        <f>G660*K660</f>
        <v>0</v>
      </c>
      <c r="M660" s="60" t="s">
        <v>115</v>
      </c>
      <c r="Z660" s="59">
        <f>ROUND(IF(AQ660="5",BJ660,0),2)</f>
        <v>0</v>
      </c>
      <c r="AB660" s="59">
        <f>ROUND(IF(AQ660="1",BH660,0),2)</f>
        <v>0</v>
      </c>
      <c r="AC660" s="59">
        <f>ROUND(IF(AQ660="1",BI660,0),2)</f>
        <v>0</v>
      </c>
      <c r="AD660" s="59">
        <f>ROUND(IF(AQ660="7",BH660,0),2)</f>
        <v>0</v>
      </c>
      <c r="AE660" s="59">
        <f>ROUND(IF(AQ660="7",BI660,0),2)</f>
        <v>0</v>
      </c>
      <c r="AF660" s="59">
        <f>ROUND(IF(AQ660="2",BH660,0),2)</f>
        <v>0</v>
      </c>
      <c r="AG660" s="59">
        <f>ROUND(IF(AQ660="2",BI660,0),2)</f>
        <v>0</v>
      </c>
      <c r="AH660" s="59">
        <f>ROUND(IF(AQ660="0",BJ660,0),2)</f>
        <v>0</v>
      </c>
      <c r="AI660" s="46" t="s">
        <v>514</v>
      </c>
      <c r="AJ660" s="59">
        <f>IF(AN660=0,I660,0)</f>
        <v>0</v>
      </c>
      <c r="AK660" s="59">
        <f>IF(AN660=12,I660,0)</f>
        <v>0</v>
      </c>
      <c r="AL660" s="59">
        <f>IF(AN660=21,I660,0)</f>
        <v>0</v>
      </c>
      <c r="AN660" s="59">
        <v>12</v>
      </c>
      <c r="AO660" s="59">
        <f>H660*0</f>
        <v>0</v>
      </c>
      <c r="AP660" s="59">
        <f>H660*(1-0)</f>
        <v>0</v>
      </c>
      <c r="AQ660" s="61" t="s">
        <v>137</v>
      </c>
      <c r="AV660" s="59">
        <f>ROUND(AW660+AX660,2)</f>
        <v>0</v>
      </c>
      <c r="AW660" s="59">
        <f>ROUND(G660*AO660,2)</f>
        <v>0</v>
      </c>
      <c r="AX660" s="59">
        <f>ROUND(G660*AP660,2)</f>
        <v>0</v>
      </c>
      <c r="AY660" s="61" t="s">
        <v>329</v>
      </c>
      <c r="AZ660" s="61" t="s">
        <v>523</v>
      </c>
      <c r="BA660" s="46" t="s">
        <v>517</v>
      </c>
      <c r="BC660" s="59">
        <f>AW660+AX660</f>
        <v>0</v>
      </c>
      <c r="BD660" s="59">
        <f>H660/(100-BE660)*100</f>
        <v>0</v>
      </c>
      <c r="BE660" s="59">
        <v>0</v>
      </c>
      <c r="BF660" s="59">
        <f>L660</f>
        <v>0</v>
      </c>
      <c r="BH660" s="59">
        <f>G660*AO660</f>
        <v>0</v>
      </c>
      <c r="BI660" s="59">
        <f>G660*AP660</f>
        <v>0</v>
      </c>
      <c r="BJ660" s="59">
        <f>G660*H660</f>
        <v>0</v>
      </c>
      <c r="BK660" s="59"/>
      <c r="BL660" s="59"/>
      <c r="BW660" s="59">
        <v>12</v>
      </c>
      <c r="BX660" s="16" t="s">
        <v>333</v>
      </c>
    </row>
    <row r="661" spans="1:76" x14ac:dyDescent="0.25">
      <c r="A661" s="62"/>
      <c r="D661" s="63" t="s">
        <v>507</v>
      </c>
      <c r="E661" s="63"/>
      <c r="G661" s="64">
        <v>9.3800000000000008</v>
      </c>
      <c r="M661" s="65"/>
    </row>
    <row r="662" spans="1:76" ht="15" customHeight="1" x14ac:dyDescent="0.25">
      <c r="A662" s="58" t="s">
        <v>729</v>
      </c>
      <c r="B662" s="18" t="s">
        <v>514</v>
      </c>
      <c r="C662" s="18" t="s">
        <v>336</v>
      </c>
      <c r="D662" s="8" t="s">
        <v>337</v>
      </c>
      <c r="E662" s="8"/>
      <c r="F662" s="18" t="s">
        <v>224</v>
      </c>
      <c r="G662" s="59">
        <v>9.3800000000000008</v>
      </c>
      <c r="H662" s="59">
        <v>0</v>
      </c>
      <c r="I662" s="59">
        <f>ROUND(G662*H662,2)</f>
        <v>0</v>
      </c>
      <c r="J662" s="59">
        <v>0</v>
      </c>
      <c r="K662" s="59">
        <v>0</v>
      </c>
      <c r="L662" s="59">
        <f>G662*K662</f>
        <v>0</v>
      </c>
      <c r="M662" s="60" t="s">
        <v>115</v>
      </c>
      <c r="Z662" s="59">
        <f>ROUND(IF(AQ662="5",BJ662,0),2)</f>
        <v>0</v>
      </c>
      <c r="AB662" s="59">
        <f>ROUND(IF(AQ662="1",BH662,0),2)</f>
        <v>0</v>
      </c>
      <c r="AC662" s="59">
        <f>ROUND(IF(AQ662="1",BI662,0),2)</f>
        <v>0</v>
      </c>
      <c r="AD662" s="59">
        <f>ROUND(IF(AQ662="7",BH662,0),2)</f>
        <v>0</v>
      </c>
      <c r="AE662" s="59">
        <f>ROUND(IF(AQ662="7",BI662,0),2)</f>
        <v>0</v>
      </c>
      <c r="AF662" s="59">
        <f>ROUND(IF(AQ662="2",BH662,0),2)</f>
        <v>0</v>
      </c>
      <c r="AG662" s="59">
        <f>ROUND(IF(AQ662="2",BI662,0),2)</f>
        <v>0</v>
      </c>
      <c r="AH662" s="59">
        <f>ROUND(IF(AQ662="0",BJ662,0),2)</f>
        <v>0</v>
      </c>
      <c r="AI662" s="46" t="s">
        <v>514</v>
      </c>
      <c r="AJ662" s="59">
        <f>IF(AN662=0,I662,0)</f>
        <v>0</v>
      </c>
      <c r="AK662" s="59">
        <f>IF(AN662=12,I662,0)</f>
        <v>0</v>
      </c>
      <c r="AL662" s="59">
        <f>IF(AN662=21,I662,0)</f>
        <v>0</v>
      </c>
      <c r="AN662" s="59">
        <v>12</v>
      </c>
      <c r="AO662" s="59">
        <f>H662*0</f>
        <v>0</v>
      </c>
      <c r="AP662" s="59">
        <f>H662*(1-0)</f>
        <v>0</v>
      </c>
      <c r="AQ662" s="61" t="s">
        <v>137</v>
      </c>
      <c r="AV662" s="59">
        <f>ROUND(AW662+AX662,2)</f>
        <v>0</v>
      </c>
      <c r="AW662" s="59">
        <f>ROUND(G662*AO662,2)</f>
        <v>0</v>
      </c>
      <c r="AX662" s="59">
        <f>ROUND(G662*AP662,2)</f>
        <v>0</v>
      </c>
      <c r="AY662" s="61" t="s">
        <v>329</v>
      </c>
      <c r="AZ662" s="61" t="s">
        <v>523</v>
      </c>
      <c r="BA662" s="46" t="s">
        <v>517</v>
      </c>
      <c r="BC662" s="59">
        <f>AW662+AX662</f>
        <v>0</v>
      </c>
      <c r="BD662" s="59">
        <f>H662/(100-BE662)*100</f>
        <v>0</v>
      </c>
      <c r="BE662" s="59">
        <v>0</v>
      </c>
      <c r="BF662" s="59">
        <f>L662</f>
        <v>0</v>
      </c>
      <c r="BH662" s="59">
        <f>G662*AO662</f>
        <v>0</v>
      </c>
      <c r="BI662" s="59">
        <f>G662*AP662</f>
        <v>0</v>
      </c>
      <c r="BJ662" s="59">
        <f>G662*H662</f>
        <v>0</v>
      </c>
      <c r="BK662" s="59"/>
      <c r="BL662" s="59"/>
      <c r="BW662" s="59">
        <v>12</v>
      </c>
      <c r="BX662" s="16" t="s">
        <v>337</v>
      </c>
    </row>
    <row r="663" spans="1:76" x14ac:dyDescent="0.25">
      <c r="A663" s="62"/>
      <c r="D663" s="63" t="s">
        <v>507</v>
      </c>
      <c r="E663" s="63"/>
      <c r="G663" s="64">
        <v>9.3800000000000008</v>
      </c>
      <c r="M663" s="65"/>
    </row>
    <row r="664" spans="1:76" ht="15" customHeight="1" x14ac:dyDescent="0.25">
      <c r="A664" s="58" t="s">
        <v>730</v>
      </c>
      <c r="B664" s="18" t="s">
        <v>514</v>
      </c>
      <c r="C664" s="18" t="s">
        <v>339</v>
      </c>
      <c r="D664" s="8" t="s">
        <v>340</v>
      </c>
      <c r="E664" s="8"/>
      <c r="F664" s="18" t="s">
        <v>224</v>
      </c>
      <c r="G664" s="59">
        <v>2.2200000000000002</v>
      </c>
      <c r="H664" s="59">
        <v>0</v>
      </c>
      <c r="I664" s="59">
        <f>ROUND(G664*H664,2)</f>
        <v>0</v>
      </c>
      <c r="J664" s="59">
        <v>0</v>
      </c>
      <c r="K664" s="59">
        <v>0</v>
      </c>
      <c r="L664" s="59">
        <f>G664*K664</f>
        <v>0</v>
      </c>
      <c r="M664" s="60" t="s">
        <v>115</v>
      </c>
      <c r="Z664" s="59">
        <f>ROUND(IF(AQ664="5",BJ664,0),2)</f>
        <v>0</v>
      </c>
      <c r="AB664" s="59">
        <f>ROUND(IF(AQ664="1",BH664,0),2)</f>
        <v>0</v>
      </c>
      <c r="AC664" s="59">
        <f>ROUND(IF(AQ664="1",BI664,0),2)</f>
        <v>0</v>
      </c>
      <c r="AD664" s="59">
        <f>ROUND(IF(AQ664="7",BH664,0),2)</f>
        <v>0</v>
      </c>
      <c r="AE664" s="59">
        <f>ROUND(IF(AQ664="7",BI664,0),2)</f>
        <v>0</v>
      </c>
      <c r="AF664" s="59">
        <f>ROUND(IF(AQ664="2",BH664,0),2)</f>
        <v>0</v>
      </c>
      <c r="AG664" s="59">
        <f>ROUND(IF(AQ664="2",BI664,0),2)</f>
        <v>0</v>
      </c>
      <c r="AH664" s="59">
        <f>ROUND(IF(AQ664="0",BJ664,0),2)</f>
        <v>0</v>
      </c>
      <c r="AI664" s="46" t="s">
        <v>514</v>
      </c>
      <c r="AJ664" s="59">
        <f>IF(AN664=0,I664,0)</f>
        <v>0</v>
      </c>
      <c r="AK664" s="59">
        <f>IF(AN664=12,I664,0)</f>
        <v>0</v>
      </c>
      <c r="AL664" s="59">
        <f>IF(AN664=21,I664,0)</f>
        <v>0</v>
      </c>
      <c r="AN664" s="59">
        <v>12</v>
      </c>
      <c r="AO664" s="59">
        <f>H664*0</f>
        <v>0</v>
      </c>
      <c r="AP664" s="59">
        <f>H664*(1-0)</f>
        <v>0</v>
      </c>
      <c r="AQ664" s="61" t="s">
        <v>137</v>
      </c>
      <c r="AV664" s="59">
        <f>ROUND(AW664+AX664,2)</f>
        <v>0</v>
      </c>
      <c r="AW664" s="59">
        <f>ROUND(G664*AO664,2)</f>
        <v>0</v>
      </c>
      <c r="AX664" s="59">
        <f>ROUND(G664*AP664,2)</f>
        <v>0</v>
      </c>
      <c r="AY664" s="61" t="s">
        <v>329</v>
      </c>
      <c r="AZ664" s="61" t="s">
        <v>523</v>
      </c>
      <c r="BA664" s="46" t="s">
        <v>517</v>
      </c>
      <c r="BC664" s="59">
        <f>AW664+AX664</f>
        <v>0</v>
      </c>
      <c r="BD664" s="59">
        <f>H664/(100-BE664)*100</f>
        <v>0</v>
      </c>
      <c r="BE664" s="59">
        <v>0</v>
      </c>
      <c r="BF664" s="59">
        <f>L664</f>
        <v>0</v>
      </c>
      <c r="BH664" s="59">
        <f>G664*AO664</f>
        <v>0</v>
      </c>
      <c r="BI664" s="59">
        <f>G664*AP664</f>
        <v>0</v>
      </c>
      <c r="BJ664" s="59">
        <f>G664*H664</f>
        <v>0</v>
      </c>
      <c r="BK664" s="59"/>
      <c r="BL664" s="59"/>
      <c r="BW664" s="59">
        <v>12</v>
      </c>
      <c r="BX664" s="16" t="s">
        <v>340</v>
      </c>
    </row>
    <row r="665" spans="1:76" x14ac:dyDescent="0.25">
      <c r="A665" s="62"/>
      <c r="D665" s="63" t="s">
        <v>509</v>
      </c>
      <c r="E665" s="63"/>
      <c r="G665" s="64">
        <v>2.2200000000000002</v>
      </c>
      <c r="M665" s="65"/>
    </row>
    <row r="666" spans="1:76" ht="24" customHeight="1" x14ac:dyDescent="0.25">
      <c r="A666" s="58" t="s">
        <v>731</v>
      </c>
      <c r="B666" s="18" t="s">
        <v>514</v>
      </c>
      <c r="C666" s="18" t="s">
        <v>343</v>
      </c>
      <c r="D666" s="8" t="s">
        <v>344</v>
      </c>
      <c r="E666" s="8"/>
      <c r="F666" s="18" t="s">
        <v>224</v>
      </c>
      <c r="G666" s="59">
        <v>6.82</v>
      </c>
      <c r="H666" s="59">
        <v>0</v>
      </c>
      <c r="I666" s="59">
        <f>ROUND(G666*H666,2)</f>
        <v>0</v>
      </c>
      <c r="J666" s="59">
        <v>0</v>
      </c>
      <c r="K666" s="59">
        <v>0</v>
      </c>
      <c r="L666" s="59">
        <f>G666*K666</f>
        <v>0</v>
      </c>
      <c r="M666" s="60" t="s">
        <v>115</v>
      </c>
      <c r="Z666" s="59">
        <f>ROUND(IF(AQ666="5",BJ666,0),2)</f>
        <v>0</v>
      </c>
      <c r="AB666" s="59">
        <f>ROUND(IF(AQ666="1",BH666,0),2)</f>
        <v>0</v>
      </c>
      <c r="AC666" s="59">
        <f>ROUND(IF(AQ666="1",BI666,0),2)</f>
        <v>0</v>
      </c>
      <c r="AD666" s="59">
        <f>ROUND(IF(AQ666="7",BH666,0),2)</f>
        <v>0</v>
      </c>
      <c r="AE666" s="59">
        <f>ROUND(IF(AQ666="7",BI666,0),2)</f>
        <v>0</v>
      </c>
      <c r="AF666" s="59">
        <f>ROUND(IF(AQ666="2",BH666,0),2)</f>
        <v>0</v>
      </c>
      <c r="AG666" s="59">
        <f>ROUND(IF(AQ666="2",BI666,0),2)</f>
        <v>0</v>
      </c>
      <c r="AH666" s="59">
        <f>ROUND(IF(AQ666="0",BJ666,0),2)</f>
        <v>0</v>
      </c>
      <c r="AI666" s="46" t="s">
        <v>514</v>
      </c>
      <c r="AJ666" s="59">
        <f>IF(AN666=0,I666,0)</f>
        <v>0</v>
      </c>
      <c r="AK666" s="59">
        <f>IF(AN666=12,I666,0)</f>
        <v>0</v>
      </c>
      <c r="AL666" s="59">
        <f>IF(AN666=21,I666,0)</f>
        <v>0</v>
      </c>
      <c r="AN666" s="59">
        <v>12</v>
      </c>
      <c r="AO666" s="59">
        <f>H666*0</f>
        <v>0</v>
      </c>
      <c r="AP666" s="59">
        <f>H666*(1-0)</f>
        <v>0</v>
      </c>
      <c r="AQ666" s="61" t="s">
        <v>137</v>
      </c>
      <c r="AV666" s="59">
        <f>ROUND(AW666+AX666,2)</f>
        <v>0</v>
      </c>
      <c r="AW666" s="59">
        <f>ROUND(G666*AO666,2)</f>
        <v>0</v>
      </c>
      <c r="AX666" s="59">
        <f>ROUND(G666*AP666,2)</f>
        <v>0</v>
      </c>
      <c r="AY666" s="61" t="s">
        <v>329</v>
      </c>
      <c r="AZ666" s="61" t="s">
        <v>523</v>
      </c>
      <c r="BA666" s="46" t="s">
        <v>517</v>
      </c>
      <c r="BC666" s="59">
        <f>AW666+AX666</f>
        <v>0</v>
      </c>
      <c r="BD666" s="59">
        <f>H666/(100-BE666)*100</f>
        <v>0</v>
      </c>
      <c r="BE666" s="59">
        <v>0</v>
      </c>
      <c r="BF666" s="59">
        <f>L666</f>
        <v>0</v>
      </c>
      <c r="BH666" s="59">
        <f>G666*AO666</f>
        <v>0</v>
      </c>
      <c r="BI666" s="59">
        <f>G666*AP666</f>
        <v>0</v>
      </c>
      <c r="BJ666" s="59">
        <f>G666*H666</f>
        <v>0</v>
      </c>
      <c r="BK666" s="59"/>
      <c r="BL666" s="59"/>
      <c r="BW666" s="59">
        <v>12</v>
      </c>
      <c r="BX666" s="16" t="s">
        <v>344</v>
      </c>
    </row>
    <row r="667" spans="1:76" x14ac:dyDescent="0.25">
      <c r="A667" s="62"/>
      <c r="D667" s="63" t="s">
        <v>510</v>
      </c>
      <c r="E667" s="63"/>
      <c r="G667" s="64">
        <v>6.82</v>
      </c>
      <c r="M667" s="65"/>
    </row>
    <row r="668" spans="1:76" ht="15" customHeight="1" x14ac:dyDescent="0.25">
      <c r="A668" s="58" t="s">
        <v>732</v>
      </c>
      <c r="B668" s="18" t="s">
        <v>514</v>
      </c>
      <c r="C668" s="18" t="s">
        <v>465</v>
      </c>
      <c r="D668" s="8" t="s">
        <v>466</v>
      </c>
      <c r="E668" s="8"/>
      <c r="F668" s="18" t="s">
        <v>224</v>
      </c>
      <c r="G668" s="59">
        <v>0.22</v>
      </c>
      <c r="H668" s="59">
        <v>0</v>
      </c>
      <c r="I668" s="59">
        <f>ROUND(G668*H668,2)</f>
        <v>0</v>
      </c>
      <c r="J668" s="59">
        <v>0</v>
      </c>
      <c r="K668" s="59">
        <v>0</v>
      </c>
      <c r="L668" s="59">
        <f>G668*K668</f>
        <v>0</v>
      </c>
      <c r="M668" s="60" t="s">
        <v>115</v>
      </c>
      <c r="Z668" s="59">
        <f>ROUND(IF(AQ668="5",BJ668,0),2)</f>
        <v>0</v>
      </c>
      <c r="AB668" s="59">
        <f>ROUND(IF(AQ668="1",BH668,0),2)</f>
        <v>0</v>
      </c>
      <c r="AC668" s="59">
        <f>ROUND(IF(AQ668="1",BI668,0),2)</f>
        <v>0</v>
      </c>
      <c r="AD668" s="59">
        <f>ROUND(IF(AQ668="7",BH668,0),2)</f>
        <v>0</v>
      </c>
      <c r="AE668" s="59">
        <f>ROUND(IF(AQ668="7",BI668,0),2)</f>
        <v>0</v>
      </c>
      <c r="AF668" s="59">
        <f>ROUND(IF(AQ668="2",BH668,0),2)</f>
        <v>0</v>
      </c>
      <c r="AG668" s="59">
        <f>ROUND(IF(AQ668="2",BI668,0),2)</f>
        <v>0</v>
      </c>
      <c r="AH668" s="59">
        <f>ROUND(IF(AQ668="0",BJ668,0),2)</f>
        <v>0</v>
      </c>
      <c r="AI668" s="46" t="s">
        <v>514</v>
      </c>
      <c r="AJ668" s="59">
        <f>IF(AN668=0,I668,0)</f>
        <v>0</v>
      </c>
      <c r="AK668" s="59">
        <f>IF(AN668=12,I668,0)</f>
        <v>0</v>
      </c>
      <c r="AL668" s="59">
        <f>IF(AN668=21,I668,0)</f>
        <v>0</v>
      </c>
      <c r="AN668" s="59">
        <v>12</v>
      </c>
      <c r="AO668" s="59">
        <f>H668*0</f>
        <v>0</v>
      </c>
      <c r="AP668" s="59">
        <f>H668*(1-0)</f>
        <v>0</v>
      </c>
      <c r="AQ668" s="61" t="s">
        <v>137</v>
      </c>
      <c r="AV668" s="59">
        <f>ROUND(AW668+AX668,2)</f>
        <v>0</v>
      </c>
      <c r="AW668" s="59">
        <f>ROUND(G668*AO668,2)</f>
        <v>0</v>
      </c>
      <c r="AX668" s="59">
        <f>ROUND(G668*AP668,2)</f>
        <v>0</v>
      </c>
      <c r="AY668" s="61" t="s">
        <v>329</v>
      </c>
      <c r="AZ668" s="61" t="s">
        <v>523</v>
      </c>
      <c r="BA668" s="46" t="s">
        <v>517</v>
      </c>
      <c r="BC668" s="59">
        <f>AW668+AX668</f>
        <v>0</v>
      </c>
      <c r="BD668" s="59">
        <f>H668/(100-BE668)*100</f>
        <v>0</v>
      </c>
      <c r="BE668" s="59">
        <v>0</v>
      </c>
      <c r="BF668" s="59">
        <f>L668</f>
        <v>0</v>
      </c>
      <c r="BH668" s="59">
        <f>G668*AO668</f>
        <v>0</v>
      </c>
      <c r="BI668" s="59">
        <f>G668*AP668</f>
        <v>0</v>
      </c>
      <c r="BJ668" s="59">
        <f>G668*H668</f>
        <v>0</v>
      </c>
      <c r="BK668" s="59"/>
      <c r="BL668" s="59"/>
      <c r="BW668" s="59">
        <v>12</v>
      </c>
      <c r="BX668" s="16" t="s">
        <v>466</v>
      </c>
    </row>
    <row r="669" spans="1:76" x14ac:dyDescent="0.25">
      <c r="A669" s="66"/>
      <c r="B669" s="67"/>
      <c r="C669" s="67"/>
      <c r="D669" s="68" t="s">
        <v>467</v>
      </c>
      <c r="E669" s="68"/>
      <c r="F669" s="67"/>
      <c r="G669" s="69">
        <v>0.22</v>
      </c>
      <c r="H669" s="67"/>
      <c r="I669" s="67"/>
      <c r="J669" s="67"/>
      <c r="K669" s="67"/>
      <c r="L669" s="67"/>
      <c r="M669" s="70"/>
    </row>
    <row r="670" spans="1:76" x14ac:dyDescent="0.25">
      <c r="I670" s="71">
        <f>ROUND(I13+I18+I25+I32+I35+I42+I62+I67+I76+I79+I82+I85+I89+I100+I103+I105+I117+I122+I129+I136+I145+I148+I155+I164+I178+I181+I192+I199+I202+I209+I214+I217+I233+I236+I238+I254+I259+I266+I273+I282+I285+I292+I301+I315+I318+I329+I336+I339+I346+I351+I354+I370+I373+I375+I393+I398+I405+I412+I421+I424+I431+I440+I454+I457+I468+I475+I478+I485+I490+I493+I509+I512+I514+I532+I537+I544+I551+I560+I563+I570+I579+I593+I596+I607+I614+I617+I624+I629+I632+I648+I651+I653,0)</f>
        <v>0</v>
      </c>
    </row>
    <row r="671" spans="1:76" x14ac:dyDescent="0.25">
      <c r="A671" s="31" t="s">
        <v>52</v>
      </c>
    </row>
    <row r="672" spans="1:76" ht="12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</row>
  </sheetData>
  <mergeCells count="397">
    <mergeCell ref="D666:E666"/>
    <mergeCell ref="D668:E668"/>
    <mergeCell ref="A672:M672"/>
    <mergeCell ref="D651:E651"/>
    <mergeCell ref="D652:E652"/>
    <mergeCell ref="D653:E653"/>
    <mergeCell ref="D654:E654"/>
    <mergeCell ref="D656:E656"/>
    <mergeCell ref="D658:E658"/>
    <mergeCell ref="D660:E660"/>
    <mergeCell ref="D662:E662"/>
    <mergeCell ref="D664:E664"/>
    <mergeCell ref="D633:E633"/>
    <mergeCell ref="D635:E635"/>
    <mergeCell ref="D637:E637"/>
    <mergeCell ref="D639:E639"/>
    <mergeCell ref="D641:E641"/>
    <mergeCell ref="D643:E643"/>
    <mergeCell ref="D645:E645"/>
    <mergeCell ref="D648:E648"/>
    <mergeCell ref="D649:E649"/>
    <mergeCell ref="D618:E618"/>
    <mergeCell ref="D620:E620"/>
    <mergeCell ref="D622:E622"/>
    <mergeCell ref="D624:E624"/>
    <mergeCell ref="D625:E625"/>
    <mergeCell ref="D627:E627"/>
    <mergeCell ref="D629:E629"/>
    <mergeCell ref="D630:E630"/>
    <mergeCell ref="D632:E632"/>
    <mergeCell ref="D603:E603"/>
    <mergeCell ref="D605:E605"/>
    <mergeCell ref="D607:E607"/>
    <mergeCell ref="D608:E608"/>
    <mergeCell ref="D610:E610"/>
    <mergeCell ref="D612:E612"/>
    <mergeCell ref="D614:E614"/>
    <mergeCell ref="D615:E615"/>
    <mergeCell ref="D617:E617"/>
    <mergeCell ref="D588:E588"/>
    <mergeCell ref="D590:E590"/>
    <mergeCell ref="D592:E592"/>
    <mergeCell ref="D593:E593"/>
    <mergeCell ref="D594:E594"/>
    <mergeCell ref="D596:E596"/>
    <mergeCell ref="D597:E597"/>
    <mergeCell ref="D599:E599"/>
    <mergeCell ref="D601:E601"/>
    <mergeCell ref="D568:E568"/>
    <mergeCell ref="D570:E570"/>
    <mergeCell ref="D571:E571"/>
    <mergeCell ref="D573:E573"/>
    <mergeCell ref="D575:E575"/>
    <mergeCell ref="D577:E577"/>
    <mergeCell ref="D579:E579"/>
    <mergeCell ref="D580:E580"/>
    <mergeCell ref="D586:E586"/>
    <mergeCell ref="D552:E552"/>
    <mergeCell ref="D554:E554"/>
    <mergeCell ref="D556:E556"/>
    <mergeCell ref="D558:E558"/>
    <mergeCell ref="D560:E560"/>
    <mergeCell ref="D561:E561"/>
    <mergeCell ref="D563:E563"/>
    <mergeCell ref="D564:E564"/>
    <mergeCell ref="D566:E566"/>
    <mergeCell ref="D537:E537"/>
    <mergeCell ref="D538:E538"/>
    <mergeCell ref="D540:E540"/>
    <mergeCell ref="D542:E542"/>
    <mergeCell ref="D544:E544"/>
    <mergeCell ref="D545:E545"/>
    <mergeCell ref="D547:E547"/>
    <mergeCell ref="D549:E549"/>
    <mergeCell ref="D551:E551"/>
    <mergeCell ref="D521:E521"/>
    <mergeCell ref="D523:E523"/>
    <mergeCell ref="D525:E525"/>
    <mergeCell ref="D527:E527"/>
    <mergeCell ref="D529:E529"/>
    <mergeCell ref="D531:E531"/>
    <mergeCell ref="D532:E532"/>
    <mergeCell ref="D533:E533"/>
    <mergeCell ref="D535:E535"/>
    <mergeCell ref="D506:E506"/>
    <mergeCell ref="D509:E509"/>
    <mergeCell ref="D510:E510"/>
    <mergeCell ref="D512:E512"/>
    <mergeCell ref="D513:E513"/>
    <mergeCell ref="D514:E514"/>
    <mergeCell ref="D515:E515"/>
    <mergeCell ref="D517:E517"/>
    <mergeCell ref="D519:E519"/>
    <mergeCell ref="D490:E490"/>
    <mergeCell ref="D491:E491"/>
    <mergeCell ref="D493:E493"/>
    <mergeCell ref="D494:E494"/>
    <mergeCell ref="D496:E496"/>
    <mergeCell ref="D498:E498"/>
    <mergeCell ref="D500:E500"/>
    <mergeCell ref="D502:E502"/>
    <mergeCell ref="D504:E504"/>
    <mergeCell ref="D475:E475"/>
    <mergeCell ref="D476:E476"/>
    <mergeCell ref="D478:E478"/>
    <mergeCell ref="D479:E479"/>
    <mergeCell ref="D481:E481"/>
    <mergeCell ref="D483:E483"/>
    <mergeCell ref="D485:E485"/>
    <mergeCell ref="D486:E486"/>
    <mergeCell ref="D488:E488"/>
    <mergeCell ref="D458:E458"/>
    <mergeCell ref="D460:E460"/>
    <mergeCell ref="D462:E462"/>
    <mergeCell ref="D464:E464"/>
    <mergeCell ref="D466:E466"/>
    <mergeCell ref="D468:E468"/>
    <mergeCell ref="D469:E469"/>
    <mergeCell ref="D471:E471"/>
    <mergeCell ref="D473:E473"/>
    <mergeCell ref="D440:E440"/>
    <mergeCell ref="D441:E441"/>
    <mergeCell ref="D447:E447"/>
    <mergeCell ref="D449:E449"/>
    <mergeCell ref="D451:E451"/>
    <mergeCell ref="D453:E453"/>
    <mergeCell ref="D454:E454"/>
    <mergeCell ref="D455:E455"/>
    <mergeCell ref="D457:E457"/>
    <mergeCell ref="D424:E424"/>
    <mergeCell ref="D425:E425"/>
    <mergeCell ref="D427:E427"/>
    <mergeCell ref="D429:E429"/>
    <mergeCell ref="D431:E431"/>
    <mergeCell ref="D432:E432"/>
    <mergeCell ref="D434:E434"/>
    <mergeCell ref="D436:E436"/>
    <mergeCell ref="D438:E438"/>
    <mergeCell ref="D408:E408"/>
    <mergeCell ref="D410:E410"/>
    <mergeCell ref="D412:E412"/>
    <mergeCell ref="D413:E413"/>
    <mergeCell ref="D415:E415"/>
    <mergeCell ref="D417:E417"/>
    <mergeCell ref="D419:E419"/>
    <mergeCell ref="D421:E421"/>
    <mergeCell ref="D422:E422"/>
    <mergeCell ref="D393:E393"/>
    <mergeCell ref="D394:E394"/>
    <mergeCell ref="D396:E396"/>
    <mergeCell ref="D398:E398"/>
    <mergeCell ref="D399:E399"/>
    <mergeCell ref="D401:E401"/>
    <mergeCell ref="D403:E403"/>
    <mergeCell ref="D405:E405"/>
    <mergeCell ref="D406:E406"/>
    <mergeCell ref="D376:E376"/>
    <mergeCell ref="D378:E378"/>
    <mergeCell ref="D380:E380"/>
    <mergeCell ref="D382:E382"/>
    <mergeCell ref="D384:E384"/>
    <mergeCell ref="D386:E386"/>
    <mergeCell ref="D388:E388"/>
    <mergeCell ref="D390:E390"/>
    <mergeCell ref="D392:E392"/>
    <mergeCell ref="D361:E361"/>
    <mergeCell ref="D363:E363"/>
    <mergeCell ref="D365:E365"/>
    <mergeCell ref="D367:E367"/>
    <mergeCell ref="D370:E370"/>
    <mergeCell ref="D371:E371"/>
    <mergeCell ref="D373:E373"/>
    <mergeCell ref="D374:E374"/>
    <mergeCell ref="D375:E375"/>
    <mergeCell ref="D346:E346"/>
    <mergeCell ref="D347:E347"/>
    <mergeCell ref="D349:E349"/>
    <mergeCell ref="D351:E351"/>
    <mergeCell ref="D352:E352"/>
    <mergeCell ref="D354:E354"/>
    <mergeCell ref="D355:E355"/>
    <mergeCell ref="D357:E357"/>
    <mergeCell ref="D359:E359"/>
    <mergeCell ref="D330:E330"/>
    <mergeCell ref="D332:E332"/>
    <mergeCell ref="D334:E334"/>
    <mergeCell ref="D336:E336"/>
    <mergeCell ref="D337:E337"/>
    <mergeCell ref="D339:E339"/>
    <mergeCell ref="D340:E340"/>
    <mergeCell ref="D342:E342"/>
    <mergeCell ref="D344:E344"/>
    <mergeCell ref="D315:E315"/>
    <mergeCell ref="D316:E316"/>
    <mergeCell ref="D318:E318"/>
    <mergeCell ref="D319:E319"/>
    <mergeCell ref="D321:E321"/>
    <mergeCell ref="D323:E323"/>
    <mergeCell ref="D325:E325"/>
    <mergeCell ref="D327:E327"/>
    <mergeCell ref="D329:E329"/>
    <mergeCell ref="D295:E295"/>
    <mergeCell ref="D297:E297"/>
    <mergeCell ref="D299:E299"/>
    <mergeCell ref="D301:E301"/>
    <mergeCell ref="D302:E302"/>
    <mergeCell ref="D308:E308"/>
    <mergeCell ref="D310:E310"/>
    <mergeCell ref="D312:E312"/>
    <mergeCell ref="D314:E314"/>
    <mergeCell ref="D280:E280"/>
    <mergeCell ref="D282:E282"/>
    <mergeCell ref="D283:E283"/>
    <mergeCell ref="D285:E285"/>
    <mergeCell ref="D286:E286"/>
    <mergeCell ref="D288:E288"/>
    <mergeCell ref="D290:E290"/>
    <mergeCell ref="D292:E292"/>
    <mergeCell ref="D293:E293"/>
    <mergeCell ref="D264:E264"/>
    <mergeCell ref="D266:E266"/>
    <mergeCell ref="D267:E267"/>
    <mergeCell ref="D269:E269"/>
    <mergeCell ref="D271:E271"/>
    <mergeCell ref="D273:E273"/>
    <mergeCell ref="D274:E274"/>
    <mergeCell ref="D276:E276"/>
    <mergeCell ref="D278:E278"/>
    <mergeCell ref="D249:E249"/>
    <mergeCell ref="D251:E251"/>
    <mergeCell ref="D253:E253"/>
    <mergeCell ref="D254:E254"/>
    <mergeCell ref="D255:E255"/>
    <mergeCell ref="D257:E257"/>
    <mergeCell ref="D259:E259"/>
    <mergeCell ref="D260:E260"/>
    <mergeCell ref="D262:E262"/>
    <mergeCell ref="D234:E234"/>
    <mergeCell ref="D236:E236"/>
    <mergeCell ref="D237:E237"/>
    <mergeCell ref="D238:E238"/>
    <mergeCell ref="D239:E239"/>
    <mergeCell ref="D241:E241"/>
    <mergeCell ref="D243:E243"/>
    <mergeCell ref="D245:E245"/>
    <mergeCell ref="D247:E247"/>
    <mergeCell ref="D217:E217"/>
    <mergeCell ref="D218:E218"/>
    <mergeCell ref="D220:E220"/>
    <mergeCell ref="D222:E222"/>
    <mergeCell ref="D224:E224"/>
    <mergeCell ref="D226:E226"/>
    <mergeCell ref="D228:E228"/>
    <mergeCell ref="D230:E230"/>
    <mergeCell ref="D233:E233"/>
    <mergeCell ref="D202:E202"/>
    <mergeCell ref="D203:E203"/>
    <mergeCell ref="D205:E205"/>
    <mergeCell ref="D207:E207"/>
    <mergeCell ref="D209:E209"/>
    <mergeCell ref="D210:E210"/>
    <mergeCell ref="D212:E212"/>
    <mergeCell ref="D214:E214"/>
    <mergeCell ref="D215:E215"/>
    <mergeCell ref="D186:E186"/>
    <mergeCell ref="D188:E188"/>
    <mergeCell ref="D190:E190"/>
    <mergeCell ref="D192:E192"/>
    <mergeCell ref="D193:E193"/>
    <mergeCell ref="D195:E195"/>
    <mergeCell ref="D197:E197"/>
    <mergeCell ref="D199:E199"/>
    <mergeCell ref="D200:E200"/>
    <mergeCell ref="D171:E171"/>
    <mergeCell ref="D173:E173"/>
    <mergeCell ref="D175:E175"/>
    <mergeCell ref="D177:E177"/>
    <mergeCell ref="D178:E178"/>
    <mergeCell ref="D179:E179"/>
    <mergeCell ref="D181:E181"/>
    <mergeCell ref="D182:E182"/>
    <mergeCell ref="D184:E184"/>
    <mergeCell ref="D151:E151"/>
    <mergeCell ref="D153:E153"/>
    <mergeCell ref="D155:E155"/>
    <mergeCell ref="D156:E156"/>
    <mergeCell ref="D158:E158"/>
    <mergeCell ref="D160:E160"/>
    <mergeCell ref="D162:E162"/>
    <mergeCell ref="D164:E164"/>
    <mergeCell ref="D165:E165"/>
    <mergeCell ref="D136:E136"/>
    <mergeCell ref="D137:E137"/>
    <mergeCell ref="D139:E139"/>
    <mergeCell ref="D141:E141"/>
    <mergeCell ref="D143:E143"/>
    <mergeCell ref="D145:E145"/>
    <mergeCell ref="D146:E146"/>
    <mergeCell ref="D148:E148"/>
    <mergeCell ref="D149:E149"/>
    <mergeCell ref="D120:E120"/>
    <mergeCell ref="D122:E122"/>
    <mergeCell ref="D123:E123"/>
    <mergeCell ref="D125:E125"/>
    <mergeCell ref="D127:E127"/>
    <mergeCell ref="D129:E129"/>
    <mergeCell ref="D130:E130"/>
    <mergeCell ref="D132:E132"/>
    <mergeCell ref="D134:E134"/>
    <mergeCell ref="D105:E105"/>
    <mergeCell ref="D106:E106"/>
    <mergeCell ref="D108:E108"/>
    <mergeCell ref="D110:E110"/>
    <mergeCell ref="D112:E112"/>
    <mergeCell ref="D114:E114"/>
    <mergeCell ref="D116:E116"/>
    <mergeCell ref="D117:E117"/>
    <mergeCell ref="D118:E118"/>
    <mergeCell ref="D90:E90"/>
    <mergeCell ref="D92:E92"/>
    <mergeCell ref="D94:E94"/>
    <mergeCell ref="D96:E96"/>
    <mergeCell ref="D98:E98"/>
    <mergeCell ref="D100:E100"/>
    <mergeCell ref="D101:E101"/>
    <mergeCell ref="D103:E103"/>
    <mergeCell ref="D104:E104"/>
    <mergeCell ref="D76:E76"/>
    <mergeCell ref="D77:E77"/>
    <mergeCell ref="D79:E79"/>
    <mergeCell ref="D80:E80"/>
    <mergeCell ref="D82:E82"/>
    <mergeCell ref="D83:E83"/>
    <mergeCell ref="D85:E85"/>
    <mergeCell ref="D86:E86"/>
    <mergeCell ref="D89:E89"/>
    <mergeCell ref="D59:E59"/>
    <mergeCell ref="D61:E61"/>
    <mergeCell ref="D62:E62"/>
    <mergeCell ref="D63:E63"/>
    <mergeCell ref="D65:E65"/>
    <mergeCell ref="D67:E67"/>
    <mergeCell ref="D68:E68"/>
    <mergeCell ref="D71:E71"/>
    <mergeCell ref="D73:E73"/>
    <mergeCell ref="D36:E36"/>
    <mergeCell ref="D38:E38"/>
    <mergeCell ref="D40:E40"/>
    <mergeCell ref="D42:E42"/>
    <mergeCell ref="D43:E43"/>
    <mergeCell ref="D45:E45"/>
    <mergeCell ref="D53:E53"/>
    <mergeCell ref="D55:E55"/>
    <mergeCell ref="D57:E57"/>
    <mergeCell ref="D21:E21"/>
    <mergeCell ref="D23:E23"/>
    <mergeCell ref="D25:E25"/>
    <mergeCell ref="D26:E26"/>
    <mergeCell ref="D28:E28"/>
    <mergeCell ref="D30:E30"/>
    <mergeCell ref="D32:E32"/>
    <mergeCell ref="D33:E33"/>
    <mergeCell ref="D35:E35"/>
    <mergeCell ref="D10:E10"/>
    <mergeCell ref="J10:L10"/>
    <mergeCell ref="D11:E11"/>
    <mergeCell ref="D12:E12"/>
    <mergeCell ref="D13:E13"/>
    <mergeCell ref="D14:E14"/>
    <mergeCell ref="D16:E16"/>
    <mergeCell ref="D18:E18"/>
    <mergeCell ref="D19:E19"/>
    <mergeCell ref="A6:C7"/>
    <mergeCell ref="D6:E7"/>
    <mergeCell ref="F6:G7"/>
    <mergeCell ref="H6:H7"/>
    <mergeCell ref="I6:J7"/>
    <mergeCell ref="K6:M7"/>
    <mergeCell ref="A8:C9"/>
    <mergeCell ref="D8:E9"/>
    <mergeCell ref="F8:G9"/>
    <mergeCell ref="H8:H9"/>
    <mergeCell ref="I8:J9"/>
    <mergeCell ref="K8:M9"/>
    <mergeCell ref="A1:M1"/>
    <mergeCell ref="A2:C3"/>
    <mergeCell ref="D2:E3"/>
    <mergeCell ref="F2:G3"/>
    <mergeCell ref="H2:H3"/>
    <mergeCell ref="I2:J3"/>
    <mergeCell ref="K2:M3"/>
    <mergeCell ref="A4:C5"/>
    <mergeCell ref="D4:E5"/>
    <mergeCell ref="F4:G5"/>
    <mergeCell ref="H4:H5"/>
    <mergeCell ref="I4:J5"/>
    <mergeCell ref="K4:M5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zoomScaleNormal="100" workbookViewId="0">
      <selection activeCell="A45" sqref="A45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2.85546875" style="15" customWidth="1"/>
    <col min="4" max="4" width="10" style="15" customWidth="1"/>
    <col min="5" max="5" width="14" style="15" customWidth="1"/>
    <col min="6" max="6" width="22.85546875" style="15" customWidth="1"/>
    <col min="7" max="7" width="9.140625" style="15" customWidth="1"/>
    <col min="8" max="8" width="17.140625" style="15" customWidth="1"/>
    <col min="9" max="9" width="22.85546875" style="15" customWidth="1"/>
  </cols>
  <sheetData>
    <row r="1" spans="1:9" ht="54.75" customHeight="1" x14ac:dyDescent="0.2">
      <c r="A1" s="14" t="s">
        <v>53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 t="str">
        <f>'Stavební rozpočet'!H4</f>
        <v>25.01.2025</v>
      </c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40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3" spans="1:9" ht="15.75" x14ac:dyDescent="0.25">
      <c r="A13" s="90" t="s">
        <v>54</v>
      </c>
      <c r="B13" s="90"/>
      <c r="C13" s="90"/>
      <c r="D13" s="90"/>
      <c r="E13" s="90"/>
    </row>
    <row r="14" spans="1:9" ht="12.75" x14ac:dyDescent="0.2">
      <c r="A14" s="91" t="s">
        <v>55</v>
      </c>
      <c r="B14" s="91"/>
      <c r="C14" s="91"/>
      <c r="D14" s="91"/>
      <c r="E14" s="91"/>
      <c r="F14" s="32" t="s">
        <v>56</v>
      </c>
      <c r="G14" s="32" t="s">
        <v>57</v>
      </c>
      <c r="H14" s="32" t="s">
        <v>58</v>
      </c>
      <c r="I14" s="32" t="s">
        <v>56</v>
      </c>
    </row>
    <row r="15" spans="1:9" ht="12.75" x14ac:dyDescent="0.2">
      <c r="A15" s="92" t="s">
        <v>23</v>
      </c>
      <c r="B15" s="92"/>
      <c r="C15" s="92"/>
      <c r="D15" s="92"/>
      <c r="E15" s="92"/>
      <c r="F15" s="33">
        <v>0</v>
      </c>
      <c r="G15" s="34"/>
      <c r="H15" s="34"/>
      <c r="I15" s="33">
        <f>F15</f>
        <v>0</v>
      </c>
    </row>
    <row r="16" spans="1:9" ht="12.75" x14ac:dyDescent="0.2">
      <c r="A16" s="92" t="s">
        <v>26</v>
      </c>
      <c r="B16" s="92"/>
      <c r="C16" s="92"/>
      <c r="D16" s="92"/>
      <c r="E16" s="92"/>
      <c r="F16" s="33">
        <v>0</v>
      </c>
      <c r="G16" s="34"/>
      <c r="H16" s="34"/>
      <c r="I16" s="33">
        <f>F16</f>
        <v>0</v>
      </c>
    </row>
    <row r="17" spans="1:9" ht="12.75" x14ac:dyDescent="0.2">
      <c r="A17" s="93" t="s">
        <v>29</v>
      </c>
      <c r="B17" s="93"/>
      <c r="C17" s="93"/>
      <c r="D17" s="93"/>
      <c r="E17" s="93"/>
      <c r="F17" s="35">
        <v>0</v>
      </c>
      <c r="G17" s="17"/>
      <c r="H17" s="17"/>
      <c r="I17" s="35">
        <f>F17</f>
        <v>0</v>
      </c>
    </row>
    <row r="18" spans="1:9" ht="12.75" x14ac:dyDescent="0.2">
      <c r="A18" s="94" t="s">
        <v>59</v>
      </c>
      <c r="B18" s="94"/>
      <c r="C18" s="94"/>
      <c r="D18" s="94"/>
      <c r="E18" s="94"/>
      <c r="F18" s="36"/>
      <c r="G18" s="37"/>
      <c r="H18" s="37"/>
      <c r="I18" s="38">
        <f>SUM(I15:I17)</f>
        <v>0</v>
      </c>
    </row>
    <row r="20" spans="1:9" ht="12.75" x14ac:dyDescent="0.2">
      <c r="A20" s="91" t="s">
        <v>20</v>
      </c>
      <c r="B20" s="91"/>
      <c r="C20" s="91"/>
      <c r="D20" s="91"/>
      <c r="E20" s="91"/>
      <c r="F20" s="32" t="s">
        <v>56</v>
      </c>
      <c r="G20" s="32" t="s">
        <v>57</v>
      </c>
      <c r="H20" s="32" t="s">
        <v>58</v>
      </c>
      <c r="I20" s="32" t="s">
        <v>56</v>
      </c>
    </row>
    <row r="21" spans="1:9" ht="12.75" x14ac:dyDescent="0.2">
      <c r="A21" s="92" t="s">
        <v>24</v>
      </c>
      <c r="B21" s="92"/>
      <c r="C21" s="92"/>
      <c r="D21" s="92"/>
      <c r="E21" s="92"/>
      <c r="F21" s="33">
        <v>0</v>
      </c>
      <c r="G21" s="34"/>
      <c r="H21" s="34"/>
      <c r="I21" s="33">
        <f t="shared" ref="I21:I26" si="0">F21</f>
        <v>0</v>
      </c>
    </row>
    <row r="22" spans="1:9" ht="12.75" x14ac:dyDescent="0.2">
      <c r="A22" s="92" t="s">
        <v>27</v>
      </c>
      <c r="B22" s="92"/>
      <c r="C22" s="92"/>
      <c r="D22" s="92"/>
      <c r="E22" s="92"/>
      <c r="F22" s="33">
        <v>0</v>
      </c>
      <c r="G22" s="34"/>
      <c r="H22" s="34"/>
      <c r="I22" s="33">
        <f t="shared" si="0"/>
        <v>0</v>
      </c>
    </row>
    <row r="23" spans="1:9" ht="12.75" x14ac:dyDescent="0.2">
      <c r="A23" s="92" t="s">
        <v>30</v>
      </c>
      <c r="B23" s="92"/>
      <c r="C23" s="92"/>
      <c r="D23" s="92"/>
      <c r="E23" s="92"/>
      <c r="F23" s="33">
        <v>0</v>
      </c>
      <c r="G23" s="34"/>
      <c r="H23" s="34"/>
      <c r="I23" s="33">
        <f t="shared" si="0"/>
        <v>0</v>
      </c>
    </row>
    <row r="24" spans="1:9" ht="12.75" x14ac:dyDescent="0.2">
      <c r="A24" s="92" t="s">
        <v>31</v>
      </c>
      <c r="B24" s="92"/>
      <c r="C24" s="92"/>
      <c r="D24" s="92"/>
      <c r="E24" s="92"/>
      <c r="F24" s="33">
        <v>0</v>
      </c>
      <c r="G24" s="34"/>
      <c r="H24" s="34"/>
      <c r="I24" s="33">
        <f t="shared" si="0"/>
        <v>0</v>
      </c>
    </row>
    <row r="25" spans="1:9" ht="12.75" x14ac:dyDescent="0.2">
      <c r="A25" s="92" t="s">
        <v>33</v>
      </c>
      <c r="B25" s="92"/>
      <c r="C25" s="92"/>
      <c r="D25" s="92"/>
      <c r="E25" s="92"/>
      <c r="F25" s="33">
        <v>0</v>
      </c>
      <c r="G25" s="34"/>
      <c r="H25" s="34"/>
      <c r="I25" s="33">
        <f t="shared" si="0"/>
        <v>0</v>
      </c>
    </row>
    <row r="26" spans="1:9" ht="12.75" x14ac:dyDescent="0.2">
      <c r="A26" s="93" t="s">
        <v>34</v>
      </c>
      <c r="B26" s="93"/>
      <c r="C26" s="93"/>
      <c r="D26" s="93"/>
      <c r="E26" s="93"/>
      <c r="F26" s="35">
        <v>0</v>
      </c>
      <c r="G26" s="17"/>
      <c r="H26" s="17"/>
      <c r="I26" s="35">
        <f t="shared" si="0"/>
        <v>0</v>
      </c>
    </row>
    <row r="27" spans="1:9" ht="12.75" x14ac:dyDescent="0.2">
      <c r="A27" s="94" t="s">
        <v>60</v>
      </c>
      <c r="B27" s="94"/>
      <c r="C27" s="94"/>
      <c r="D27" s="94"/>
      <c r="E27" s="94"/>
      <c r="F27" s="36"/>
      <c r="G27" s="37"/>
      <c r="H27" s="37"/>
      <c r="I27" s="38">
        <f>SUM(I21:I26)</f>
        <v>0</v>
      </c>
    </row>
    <row r="29" spans="1:9" ht="15.75" x14ac:dyDescent="0.2">
      <c r="A29" s="95" t="s">
        <v>61</v>
      </c>
      <c r="B29" s="95"/>
      <c r="C29" s="95"/>
      <c r="D29" s="95"/>
      <c r="E29" s="95"/>
      <c r="F29" s="96">
        <f>I18+I27</f>
        <v>0</v>
      </c>
      <c r="G29" s="96"/>
      <c r="H29" s="96"/>
      <c r="I29" s="96"/>
    </row>
    <row r="33" spans="1:9" ht="15.75" x14ac:dyDescent="0.25">
      <c r="A33" s="90" t="s">
        <v>62</v>
      </c>
      <c r="B33" s="90"/>
      <c r="C33" s="90"/>
      <c r="D33" s="90"/>
      <c r="E33" s="90"/>
    </row>
    <row r="34" spans="1:9" ht="12.75" x14ac:dyDescent="0.2">
      <c r="A34" s="91" t="s">
        <v>63</v>
      </c>
      <c r="B34" s="91"/>
      <c r="C34" s="91"/>
      <c r="D34" s="91"/>
      <c r="E34" s="91"/>
      <c r="F34" s="32" t="s">
        <v>56</v>
      </c>
      <c r="G34" s="32" t="s">
        <v>57</v>
      </c>
      <c r="H34" s="32" t="s">
        <v>58</v>
      </c>
      <c r="I34" s="32" t="s">
        <v>56</v>
      </c>
    </row>
    <row r="35" spans="1:9" ht="12.75" x14ac:dyDescent="0.2">
      <c r="A35" s="92" t="s">
        <v>64</v>
      </c>
      <c r="B35" s="92"/>
      <c r="C35" s="92"/>
      <c r="D35" s="92"/>
      <c r="E35" s="92"/>
      <c r="F35" s="33">
        <f>SUM('Stavební rozpočet'!BM12:BM669)</f>
        <v>0</v>
      </c>
      <c r="G35" s="34"/>
      <c r="H35" s="34"/>
      <c r="I35" s="33">
        <f t="shared" ref="I35:I44" si="1">F35</f>
        <v>0</v>
      </c>
    </row>
    <row r="36" spans="1:9" ht="12.75" x14ac:dyDescent="0.2">
      <c r="A36" s="92" t="s">
        <v>65</v>
      </c>
      <c r="B36" s="92"/>
      <c r="C36" s="92"/>
      <c r="D36" s="92"/>
      <c r="E36" s="92"/>
      <c r="F36" s="33">
        <f>SUM('Stavební rozpočet'!BN12:BN669)</f>
        <v>0</v>
      </c>
      <c r="G36" s="34"/>
      <c r="H36" s="34"/>
      <c r="I36" s="33">
        <f t="shared" si="1"/>
        <v>0</v>
      </c>
    </row>
    <row r="37" spans="1:9" ht="12.75" x14ac:dyDescent="0.2">
      <c r="A37" s="92" t="s">
        <v>24</v>
      </c>
      <c r="B37" s="92"/>
      <c r="C37" s="92"/>
      <c r="D37" s="92"/>
      <c r="E37" s="92"/>
      <c r="F37" s="33">
        <f>SUM('Stavební rozpočet'!BO12:BO669)</f>
        <v>0</v>
      </c>
      <c r="G37" s="34"/>
      <c r="H37" s="34"/>
      <c r="I37" s="33">
        <f t="shared" si="1"/>
        <v>0</v>
      </c>
    </row>
    <row r="38" spans="1:9" ht="12.75" x14ac:dyDescent="0.2">
      <c r="A38" s="92" t="s">
        <v>66</v>
      </c>
      <c r="B38" s="92"/>
      <c r="C38" s="92"/>
      <c r="D38" s="92"/>
      <c r="E38" s="92"/>
      <c r="F38" s="33">
        <f>SUM('Stavební rozpočet'!BP12:BP669)</f>
        <v>0</v>
      </c>
      <c r="G38" s="34"/>
      <c r="H38" s="34"/>
      <c r="I38" s="33">
        <f t="shared" si="1"/>
        <v>0</v>
      </c>
    </row>
    <row r="39" spans="1:9" ht="12.75" x14ac:dyDescent="0.2">
      <c r="A39" s="92" t="s">
        <v>67</v>
      </c>
      <c r="B39" s="92"/>
      <c r="C39" s="92"/>
      <c r="D39" s="92"/>
      <c r="E39" s="92"/>
      <c r="F39" s="33">
        <f>SUM('Stavební rozpočet'!BQ12:BQ669)</f>
        <v>0</v>
      </c>
      <c r="G39" s="34"/>
      <c r="H39" s="34"/>
      <c r="I39" s="33">
        <f t="shared" si="1"/>
        <v>0</v>
      </c>
    </row>
    <row r="40" spans="1:9" ht="12.75" x14ac:dyDescent="0.2">
      <c r="A40" s="92" t="s">
        <v>30</v>
      </c>
      <c r="B40" s="92"/>
      <c r="C40" s="92"/>
      <c r="D40" s="92"/>
      <c r="E40" s="92"/>
      <c r="F40" s="33">
        <f>SUM('Stavební rozpočet'!BR12:BR669)</f>
        <v>0</v>
      </c>
      <c r="G40" s="34"/>
      <c r="H40" s="34"/>
      <c r="I40" s="33">
        <f t="shared" si="1"/>
        <v>0</v>
      </c>
    </row>
    <row r="41" spans="1:9" ht="12.75" x14ac:dyDescent="0.2">
      <c r="A41" s="92" t="s">
        <v>31</v>
      </c>
      <c r="B41" s="92"/>
      <c r="C41" s="92"/>
      <c r="D41" s="92"/>
      <c r="E41" s="92"/>
      <c r="F41" s="33">
        <f>SUM('Stavební rozpočet'!BS12:BS669)</f>
        <v>0</v>
      </c>
      <c r="G41" s="34"/>
      <c r="H41" s="34"/>
      <c r="I41" s="33">
        <f t="shared" si="1"/>
        <v>0</v>
      </c>
    </row>
    <row r="42" spans="1:9" ht="12.75" x14ac:dyDescent="0.2">
      <c r="A42" s="92" t="s">
        <v>68</v>
      </c>
      <c r="B42" s="92"/>
      <c r="C42" s="92"/>
      <c r="D42" s="92"/>
      <c r="E42" s="92"/>
      <c r="F42" s="33">
        <f>SUM('Stavební rozpočet'!BT12:BT669)</f>
        <v>0</v>
      </c>
      <c r="G42" s="34"/>
      <c r="H42" s="34"/>
      <c r="I42" s="33">
        <f t="shared" si="1"/>
        <v>0</v>
      </c>
    </row>
    <row r="43" spans="1:9" ht="12.75" x14ac:dyDescent="0.2">
      <c r="A43" s="92" t="s">
        <v>69</v>
      </c>
      <c r="B43" s="92"/>
      <c r="C43" s="92"/>
      <c r="D43" s="92"/>
      <c r="E43" s="92"/>
      <c r="F43" s="33">
        <f>SUM('Stavební rozpočet'!BU12:BU669)</f>
        <v>0</v>
      </c>
      <c r="G43" s="34"/>
      <c r="H43" s="34"/>
      <c r="I43" s="33">
        <f t="shared" si="1"/>
        <v>0</v>
      </c>
    </row>
    <row r="44" spans="1:9" ht="12.75" x14ac:dyDescent="0.2">
      <c r="A44" s="93" t="s">
        <v>70</v>
      </c>
      <c r="B44" s="93"/>
      <c r="C44" s="93"/>
      <c r="D44" s="93"/>
      <c r="E44" s="93"/>
      <c r="F44" s="35">
        <f>SUM('Stavební rozpočet'!BV12:BV669)</f>
        <v>0</v>
      </c>
      <c r="G44" s="17"/>
      <c r="H44" s="17"/>
      <c r="I44" s="35">
        <f t="shared" si="1"/>
        <v>0</v>
      </c>
    </row>
    <row r="45" spans="1:9" ht="12.75" x14ac:dyDescent="0.2">
      <c r="A45" s="94" t="s">
        <v>71</v>
      </c>
      <c r="B45" s="94"/>
      <c r="C45" s="94"/>
      <c r="D45" s="94"/>
      <c r="E45" s="94"/>
      <c r="F45" s="36"/>
      <c r="G45" s="37"/>
      <c r="H45" s="37"/>
      <c r="I45" s="38">
        <f>SUM(I35:I44)</f>
        <v>0</v>
      </c>
    </row>
  </sheetData>
  <mergeCells count="60">
    <mergeCell ref="A42:E42"/>
    <mergeCell ref="A43:E43"/>
    <mergeCell ref="A44:E44"/>
    <mergeCell ref="A45:E45"/>
    <mergeCell ref="A37:E37"/>
    <mergeCell ref="A38:E38"/>
    <mergeCell ref="A39:E39"/>
    <mergeCell ref="A40:E40"/>
    <mergeCell ref="A41:E41"/>
    <mergeCell ref="F29:I29"/>
    <mergeCell ref="A33:E33"/>
    <mergeCell ref="A34:E34"/>
    <mergeCell ref="A35:E35"/>
    <mergeCell ref="A36:E36"/>
    <mergeCell ref="A24:E24"/>
    <mergeCell ref="A25:E25"/>
    <mergeCell ref="A26:E26"/>
    <mergeCell ref="A27:E27"/>
    <mergeCell ref="A29:E29"/>
    <mergeCell ref="A18:E18"/>
    <mergeCell ref="A20:E20"/>
    <mergeCell ref="A21:E21"/>
    <mergeCell ref="A22:E22"/>
    <mergeCell ref="A23:E23"/>
    <mergeCell ref="A13:E13"/>
    <mergeCell ref="A14:E14"/>
    <mergeCell ref="A15:E15"/>
    <mergeCell ref="A16:E16"/>
    <mergeCell ref="A17:E17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139"/>
  <sheetViews>
    <sheetView tabSelected="1" zoomScaleNormal="100" workbookViewId="0">
      <pane ySplit="11" topLeftCell="A90" activePane="bottomLeft" state="frozen"/>
      <selection pane="bottomLeft" activeCell="D107" sqref="D107:M107"/>
    </sheetView>
  </sheetViews>
  <sheetFormatPr defaultColWidth="12.140625" defaultRowHeight="15" x14ac:dyDescent="0.25"/>
  <cols>
    <col min="1" max="1" width="3.140625" style="15" customWidth="1"/>
    <col min="2" max="2" width="7.85546875" style="15" customWidth="1"/>
    <col min="3" max="3" width="17.85546875" style="15" customWidth="1"/>
    <col min="4" max="4" width="42.85546875" style="15" customWidth="1"/>
    <col min="5" max="5" width="35.7109375" style="15" customWidth="1"/>
    <col min="6" max="6" width="7.5703125" style="15" customWidth="1"/>
    <col min="7" max="7" width="12.85546875" style="15" customWidth="1"/>
    <col min="8" max="8" width="12" style="15" customWidth="1"/>
    <col min="9" max="9" width="15.7109375" style="15" customWidth="1"/>
    <col min="10" max="12" width="11.7109375" style="15" customWidth="1"/>
    <col min="13" max="13" width="23.140625" style="15" customWidth="1"/>
    <col min="25" max="75" width="12.140625" style="15" hidden="1"/>
    <col min="76" max="76" width="78.5703125" style="15" hidden="1" customWidth="1"/>
    <col min="77" max="78" width="12.140625" style="15" hidden="1"/>
  </cols>
  <sheetData>
    <row r="1" spans="1:76" ht="54.75" customHeight="1" x14ac:dyDescent="0.25">
      <c r="A1" s="97" t="s">
        <v>72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ht="15" customHeight="1" x14ac:dyDescent="0.25">
      <c r="A2" s="13" t="s">
        <v>1</v>
      </c>
      <c r="B2" s="13"/>
      <c r="C2" s="13"/>
      <c r="D2" s="12" t="str">
        <f>'Stavební rozpočet'!D2</f>
        <v>VÝMĚNA OKEN A OPRAVA BALKONŮ - BYTOVÝ DŮM J.E. PURKYNĚ 1150, LITOMYŠL</v>
      </c>
      <c r="E2" s="12"/>
      <c r="F2" s="98" t="s">
        <v>73</v>
      </c>
      <c r="G2" s="98"/>
      <c r="H2" s="11" t="str">
        <f>'Stavební rozpočet'!H2</f>
        <v xml:space="preserve"> </v>
      </c>
      <c r="I2" s="11" t="s">
        <v>2</v>
      </c>
      <c r="J2" s="11"/>
      <c r="K2" s="99" t="str">
        <f>'Stavební rozpočet'!K2</f>
        <v> </v>
      </c>
      <c r="L2" s="99"/>
      <c r="M2" s="99"/>
    </row>
    <row r="3" spans="1:76" x14ac:dyDescent="0.25">
      <c r="A3" s="13"/>
      <c r="B3" s="13"/>
      <c r="C3" s="13"/>
      <c r="D3" s="12"/>
      <c r="E3" s="12"/>
      <c r="F3" s="98"/>
      <c r="G3" s="98"/>
      <c r="H3" s="11"/>
      <c r="I3" s="11"/>
      <c r="J3" s="11"/>
      <c r="K3" s="99"/>
      <c r="L3" s="99"/>
      <c r="M3" s="99"/>
    </row>
    <row r="4" spans="1:76" ht="15" customHeight="1" x14ac:dyDescent="0.25">
      <c r="A4" s="9" t="s">
        <v>4</v>
      </c>
      <c r="B4" s="9"/>
      <c r="C4" s="9"/>
      <c r="D4" s="8" t="str">
        <f>'Stavební rozpočet'!D4</f>
        <v xml:space="preserve"> </v>
      </c>
      <c r="E4" s="8"/>
      <c r="F4" s="6" t="s">
        <v>8</v>
      </c>
      <c r="G4" s="6"/>
      <c r="H4" s="8"/>
      <c r="I4" s="8" t="s">
        <v>5</v>
      </c>
      <c r="J4" s="8"/>
      <c r="K4" s="100" t="str">
        <f>'Stavební rozpočet'!K4</f>
        <v> </v>
      </c>
      <c r="L4" s="100"/>
      <c r="M4" s="100"/>
    </row>
    <row r="5" spans="1:76" x14ac:dyDescent="0.25">
      <c r="A5" s="9"/>
      <c r="B5" s="9"/>
      <c r="C5" s="9"/>
      <c r="D5" s="8"/>
      <c r="E5" s="8"/>
      <c r="F5" s="6"/>
      <c r="G5" s="6"/>
      <c r="H5" s="8"/>
      <c r="I5" s="8"/>
      <c r="J5" s="8"/>
      <c r="K5" s="100"/>
      <c r="L5" s="100"/>
      <c r="M5" s="100"/>
    </row>
    <row r="6" spans="1:76" ht="15" customHeight="1" x14ac:dyDescent="0.25">
      <c r="A6" s="9" t="s">
        <v>6</v>
      </c>
      <c r="B6" s="9"/>
      <c r="C6" s="9"/>
      <c r="D6" s="8" t="str">
        <f>'Stavební rozpočet'!D6</f>
        <v>LITOMYŠL</v>
      </c>
      <c r="E6" s="8"/>
      <c r="F6" s="6" t="s">
        <v>9</v>
      </c>
      <c r="G6" s="6"/>
      <c r="H6" s="8" t="str">
        <f>'Stavební rozpočet'!H6</f>
        <v xml:space="preserve"> </v>
      </c>
      <c r="I6" s="8" t="s">
        <v>7</v>
      </c>
      <c r="J6" s="8"/>
      <c r="K6" s="100" t="str">
        <f>'Stavební rozpočet'!K6</f>
        <v> </v>
      </c>
      <c r="L6" s="100"/>
      <c r="M6" s="100"/>
    </row>
    <row r="7" spans="1:76" x14ac:dyDescent="0.25">
      <c r="A7" s="9"/>
      <c r="B7" s="9"/>
      <c r="C7" s="9"/>
      <c r="D7" s="8"/>
      <c r="E7" s="8"/>
      <c r="F7" s="6"/>
      <c r="G7" s="6"/>
      <c r="H7" s="8"/>
      <c r="I7" s="8"/>
      <c r="J7" s="8"/>
      <c r="K7" s="100"/>
      <c r="L7" s="100"/>
      <c r="M7" s="100"/>
    </row>
    <row r="8" spans="1:76" ht="15" customHeight="1" x14ac:dyDescent="0.25">
      <c r="A8" s="9" t="s">
        <v>11</v>
      </c>
      <c r="B8" s="9"/>
      <c r="C8" s="9"/>
      <c r="D8" s="8" t="str">
        <f>'Stavební rozpočet'!D8</f>
        <v xml:space="preserve"> </v>
      </c>
      <c r="E8" s="8"/>
      <c r="F8" s="6" t="s">
        <v>74</v>
      </c>
      <c r="G8" s="6"/>
      <c r="H8" s="8" t="str">
        <f>'Stavební rozpočet'!H8</f>
        <v>25.01.2025</v>
      </c>
      <c r="I8" s="8" t="s">
        <v>12</v>
      </c>
      <c r="J8" s="8"/>
      <c r="K8" s="100" t="str">
        <f>'Stavební rozpočet'!K8</f>
        <v>MARTIN ČERNÝ, DIS.</v>
      </c>
      <c r="L8" s="100"/>
      <c r="M8" s="100"/>
    </row>
    <row r="9" spans="1:76" x14ac:dyDescent="0.25">
      <c r="A9" s="9"/>
      <c r="B9" s="9"/>
      <c r="C9" s="9"/>
      <c r="D9" s="8"/>
      <c r="E9" s="8"/>
      <c r="F9" s="6"/>
      <c r="G9" s="6"/>
      <c r="H9" s="8"/>
      <c r="I9" s="8"/>
      <c r="J9" s="8"/>
      <c r="K9" s="100"/>
      <c r="L9" s="100"/>
      <c r="M9" s="100"/>
    </row>
    <row r="10" spans="1:76" x14ac:dyDescent="0.25">
      <c r="A10" s="40" t="s">
        <v>75</v>
      </c>
      <c r="B10" s="41" t="s">
        <v>76</v>
      </c>
      <c r="C10" s="41" t="s">
        <v>77</v>
      </c>
      <c r="D10" s="101" t="s">
        <v>78</v>
      </c>
      <c r="E10" s="101"/>
      <c r="F10" s="41" t="s">
        <v>79</v>
      </c>
      <c r="G10" s="42" t="s">
        <v>80</v>
      </c>
      <c r="H10" s="43" t="s">
        <v>81</v>
      </c>
      <c r="I10" s="44" t="s">
        <v>82</v>
      </c>
      <c r="J10" s="102" t="s">
        <v>83</v>
      </c>
      <c r="K10" s="102"/>
      <c r="L10" s="102"/>
      <c r="M10" s="45" t="s">
        <v>84</v>
      </c>
      <c r="BK10" s="46" t="s">
        <v>85</v>
      </c>
      <c r="BL10" s="47" t="s">
        <v>86</v>
      </c>
      <c r="BW10" s="47" t="s">
        <v>87</v>
      </c>
    </row>
    <row r="11" spans="1:76" x14ac:dyDescent="0.25">
      <c r="A11" s="48" t="s">
        <v>88</v>
      </c>
      <c r="B11" s="49" t="s">
        <v>88</v>
      </c>
      <c r="C11" s="49" t="s">
        <v>88</v>
      </c>
      <c r="D11" s="103" t="s">
        <v>89</v>
      </c>
      <c r="E11" s="103"/>
      <c r="F11" s="49" t="s">
        <v>88</v>
      </c>
      <c r="G11" s="49" t="s">
        <v>88</v>
      </c>
      <c r="H11" s="50" t="s">
        <v>90</v>
      </c>
      <c r="I11" s="51" t="s">
        <v>91</v>
      </c>
      <c r="J11" s="50" t="s">
        <v>92</v>
      </c>
      <c r="K11" s="50" t="s">
        <v>93</v>
      </c>
      <c r="L11" s="52" t="s">
        <v>91</v>
      </c>
      <c r="M11" s="53" t="s">
        <v>94</v>
      </c>
      <c r="Z11" s="46" t="s">
        <v>95</v>
      </c>
      <c r="AA11" s="46" t="s">
        <v>96</v>
      </c>
      <c r="AB11" s="46" t="s">
        <v>97</v>
      </c>
      <c r="AC11" s="46" t="s">
        <v>98</v>
      </c>
      <c r="AD11" s="46" t="s">
        <v>99</v>
      </c>
      <c r="AE11" s="46" t="s">
        <v>100</v>
      </c>
      <c r="AF11" s="46" t="s">
        <v>101</v>
      </c>
      <c r="AG11" s="46" t="s">
        <v>102</v>
      </c>
      <c r="AH11" s="46" t="s">
        <v>103</v>
      </c>
      <c r="BH11" s="46" t="s">
        <v>104</v>
      </c>
      <c r="BI11" s="46" t="s">
        <v>105</v>
      </c>
      <c r="BJ11" s="46" t="s">
        <v>106</v>
      </c>
    </row>
    <row r="12" spans="1:76" ht="15" customHeight="1" x14ac:dyDescent="0.25">
      <c r="A12" s="54"/>
      <c r="B12" s="55" t="s">
        <v>107</v>
      </c>
      <c r="C12" s="55"/>
      <c r="D12" s="104" t="s">
        <v>108</v>
      </c>
      <c r="E12" s="104"/>
      <c r="F12" s="56" t="s">
        <v>88</v>
      </c>
      <c r="G12" s="56" t="s">
        <v>88</v>
      </c>
      <c r="H12" s="56" t="s">
        <v>88</v>
      </c>
      <c r="I12" s="39">
        <f>I13+I19+I28+I36+I40+I49+I75+I82+I94+I98+I102+I105+I110+I121+I124+I126</f>
        <v>0</v>
      </c>
      <c r="J12" s="46"/>
      <c r="K12" s="46"/>
      <c r="L12" s="39">
        <f>L13+L19+L28+L36+L40+L49+L75+L82+L94+L98+L102+L105+L110+L121+L124+L126</f>
        <v>7.3053869699999989</v>
      </c>
      <c r="M12" s="57"/>
    </row>
    <row r="13" spans="1:76" ht="15" customHeight="1" x14ac:dyDescent="0.25">
      <c r="A13" s="54"/>
      <c r="B13" s="55" t="s">
        <v>107</v>
      </c>
      <c r="C13" s="55" t="s">
        <v>109</v>
      </c>
      <c r="D13" s="104" t="s">
        <v>110</v>
      </c>
      <c r="E13" s="104"/>
      <c r="F13" s="56" t="s">
        <v>88</v>
      </c>
      <c r="G13" s="56" t="s">
        <v>88</v>
      </c>
      <c r="H13" s="56" t="s">
        <v>88</v>
      </c>
      <c r="I13" s="39">
        <f>SUM(I14:I17)</f>
        <v>0</v>
      </c>
      <c r="J13" s="46"/>
      <c r="K13" s="46"/>
      <c r="L13" s="39">
        <f>SUM(L14:L17)</f>
        <v>0.14842520000000001</v>
      </c>
      <c r="M13" s="57"/>
      <c r="AI13" s="46" t="s">
        <v>107</v>
      </c>
      <c r="AS13" s="39">
        <f>SUM(AJ14:AJ17)</f>
        <v>0</v>
      </c>
      <c r="AT13" s="39">
        <f>SUM(AK14:AK17)</f>
        <v>0</v>
      </c>
      <c r="AU13" s="39">
        <f>SUM(AL14:AL17)</f>
        <v>0</v>
      </c>
    </row>
    <row r="14" spans="1:76" ht="15" customHeight="1" x14ac:dyDescent="0.25">
      <c r="A14" s="58" t="s">
        <v>111</v>
      </c>
      <c r="B14" s="18" t="s">
        <v>107</v>
      </c>
      <c r="C14" s="18" t="s">
        <v>112</v>
      </c>
      <c r="D14" s="8" t="s">
        <v>113</v>
      </c>
      <c r="E14" s="8"/>
      <c r="F14" s="18" t="s">
        <v>114</v>
      </c>
      <c r="G14" s="59">
        <f>'Stavební rozpočet'!G14</f>
        <v>26.84</v>
      </c>
      <c r="H14" s="59">
        <f>'Stavební rozpočet'!H14</f>
        <v>0</v>
      </c>
      <c r="I14" s="59">
        <f>ROUND(G14*H14,2)</f>
        <v>0</v>
      </c>
      <c r="J14" s="59">
        <f>'Stavební rozpočet'!J14</f>
        <v>4.5900000000000003E-3</v>
      </c>
      <c r="K14" s="59">
        <f>'Stavební rozpočet'!K14</f>
        <v>4.5900000000000003E-3</v>
      </c>
      <c r="L14" s="59">
        <f>G14*K14</f>
        <v>0.1231956</v>
      </c>
      <c r="M14" s="60" t="s">
        <v>115</v>
      </c>
      <c r="Z14" s="59">
        <f>ROUND(IF(AQ14="5",BJ14,0),2)</f>
        <v>0</v>
      </c>
      <c r="AB14" s="59">
        <f>ROUND(IF(AQ14="1",BH14,0),2)</f>
        <v>0</v>
      </c>
      <c r="AC14" s="59">
        <f>ROUND(IF(AQ14="1",BI14,0),2)</f>
        <v>0</v>
      </c>
      <c r="AD14" s="59">
        <f>ROUND(IF(AQ14="7",BH14,0),2)</f>
        <v>0</v>
      </c>
      <c r="AE14" s="59">
        <f>ROUND(IF(AQ14="7",BI14,0),2)</f>
        <v>0</v>
      </c>
      <c r="AF14" s="59">
        <f>ROUND(IF(AQ14="2",BH14,0),2)</f>
        <v>0</v>
      </c>
      <c r="AG14" s="59">
        <f>ROUND(IF(AQ14="2",BI14,0),2)</f>
        <v>0</v>
      </c>
      <c r="AH14" s="59">
        <f>ROUND(IF(AQ14="0",BJ14,0),2)</f>
        <v>0</v>
      </c>
      <c r="AI14" s="46" t="s">
        <v>107</v>
      </c>
      <c r="AJ14" s="59">
        <f>IF(AN14=0,I14,0)</f>
        <v>0</v>
      </c>
      <c r="AK14" s="59">
        <f>IF(AN14=12,I14,0)</f>
        <v>0</v>
      </c>
      <c r="AL14" s="59">
        <f>IF(AN14=21,I14,0)</f>
        <v>0</v>
      </c>
      <c r="AN14" s="59">
        <v>12</v>
      </c>
      <c r="AO14" s="59">
        <f>H14*0.151837697</f>
        <v>0</v>
      </c>
      <c r="AP14" s="59">
        <f>H14*(1-0.151837697)</f>
        <v>0</v>
      </c>
      <c r="AQ14" s="61" t="s">
        <v>111</v>
      </c>
      <c r="AV14" s="59">
        <f>ROUND(AW14+AX14,2)</f>
        <v>0</v>
      </c>
      <c r="AW14" s="59">
        <f>ROUND(G14*AO14,2)</f>
        <v>0</v>
      </c>
      <c r="AX14" s="59">
        <f>ROUND(G14*AP14,2)</f>
        <v>0</v>
      </c>
      <c r="AY14" s="61" t="s">
        <v>116</v>
      </c>
      <c r="AZ14" s="61" t="s">
        <v>117</v>
      </c>
      <c r="BA14" s="46" t="s">
        <v>118</v>
      </c>
      <c r="BC14" s="59">
        <f>AW14+AX14</f>
        <v>0</v>
      </c>
      <c r="BD14" s="59">
        <f>H14/(100-BE14)*100</f>
        <v>0</v>
      </c>
      <c r="BE14" s="59">
        <v>0</v>
      </c>
      <c r="BF14" s="59">
        <f>L14</f>
        <v>0.1231956</v>
      </c>
      <c r="BH14" s="59">
        <f>G14*AO14</f>
        <v>0</v>
      </c>
      <c r="BI14" s="59">
        <f>G14*AP14</f>
        <v>0</v>
      </c>
      <c r="BJ14" s="59">
        <f>G14*H14</f>
        <v>0</v>
      </c>
      <c r="BK14" s="59"/>
      <c r="BL14" s="59">
        <v>60</v>
      </c>
      <c r="BW14" s="59">
        <v>12</v>
      </c>
      <c r="BX14" s="16" t="s">
        <v>113</v>
      </c>
    </row>
    <row r="15" spans="1:76" ht="13.5" customHeight="1" x14ac:dyDescent="0.25">
      <c r="A15" s="62"/>
      <c r="D15" s="105" t="s">
        <v>119</v>
      </c>
      <c r="E15" s="105"/>
      <c r="F15" s="105"/>
      <c r="G15" s="105"/>
      <c r="H15" s="105"/>
      <c r="I15" s="105"/>
      <c r="J15" s="105"/>
      <c r="K15" s="105"/>
      <c r="L15" s="105"/>
      <c r="M15" s="105"/>
    </row>
    <row r="16" spans="1:76" x14ac:dyDescent="0.25">
      <c r="A16" s="62"/>
      <c r="D16" s="63" t="s">
        <v>120</v>
      </c>
      <c r="E16" s="63"/>
      <c r="G16" s="64">
        <v>26.84</v>
      </c>
      <c r="M16" s="65"/>
    </row>
    <row r="17" spans="1:76" ht="15" customHeight="1" x14ac:dyDescent="0.25">
      <c r="A17" s="58" t="s">
        <v>121</v>
      </c>
      <c r="B17" s="18" t="s">
        <v>107</v>
      </c>
      <c r="C17" s="18" t="s">
        <v>122</v>
      </c>
      <c r="D17" s="8" t="s">
        <v>123</v>
      </c>
      <c r="E17" s="8"/>
      <c r="F17" s="18" t="s">
        <v>114</v>
      </c>
      <c r="G17" s="59">
        <f>'Stavební rozpočet'!G16</f>
        <v>53.68</v>
      </c>
      <c r="H17" s="59">
        <f>'Stavební rozpočet'!H16</f>
        <v>0</v>
      </c>
      <c r="I17" s="59">
        <f>ROUND(G17*H17,2)</f>
        <v>0</v>
      </c>
      <c r="J17" s="59">
        <f>'Stavební rozpočet'!J16</f>
        <v>4.6999999999999999E-4</v>
      </c>
      <c r="K17" s="59">
        <f>'Stavební rozpočet'!K16</f>
        <v>4.6999999999999999E-4</v>
      </c>
      <c r="L17" s="59">
        <f>G17*K17</f>
        <v>2.5229599999999998E-2</v>
      </c>
      <c r="M17" s="60" t="s">
        <v>115</v>
      </c>
      <c r="Z17" s="59">
        <f>ROUND(IF(AQ17="5",BJ17,0),2)</f>
        <v>0</v>
      </c>
      <c r="AB17" s="59">
        <f>ROUND(IF(AQ17="1",BH17,0),2)</f>
        <v>0</v>
      </c>
      <c r="AC17" s="59">
        <f>ROUND(IF(AQ17="1",BI17,0),2)</f>
        <v>0</v>
      </c>
      <c r="AD17" s="59">
        <f>ROUND(IF(AQ17="7",BH17,0),2)</f>
        <v>0</v>
      </c>
      <c r="AE17" s="59">
        <f>ROUND(IF(AQ17="7",BI17,0),2)</f>
        <v>0</v>
      </c>
      <c r="AF17" s="59">
        <f>ROUND(IF(AQ17="2",BH17,0),2)</f>
        <v>0</v>
      </c>
      <c r="AG17" s="59">
        <f>ROUND(IF(AQ17="2",BI17,0),2)</f>
        <v>0</v>
      </c>
      <c r="AH17" s="59">
        <f>ROUND(IF(AQ17="0",BJ17,0),2)</f>
        <v>0</v>
      </c>
      <c r="AI17" s="46" t="s">
        <v>107</v>
      </c>
      <c r="AJ17" s="59">
        <f>IF(AN17=0,I17,0)</f>
        <v>0</v>
      </c>
      <c r="AK17" s="59">
        <f>IF(AN17=12,I17,0)</f>
        <v>0</v>
      </c>
      <c r="AL17" s="59">
        <f>IF(AN17=21,I17,0)</f>
        <v>0</v>
      </c>
      <c r="AN17" s="59">
        <v>12</v>
      </c>
      <c r="AO17" s="59">
        <f>H17*0.50964582</f>
        <v>0</v>
      </c>
      <c r="AP17" s="59">
        <f>H17*(1-0.50964582)</f>
        <v>0</v>
      </c>
      <c r="AQ17" s="61" t="s">
        <v>111</v>
      </c>
      <c r="AV17" s="59">
        <f>ROUND(AW17+AX17,2)</f>
        <v>0</v>
      </c>
      <c r="AW17" s="59">
        <f>ROUND(G17*AO17,2)</f>
        <v>0</v>
      </c>
      <c r="AX17" s="59">
        <f>ROUND(G17*AP17,2)</f>
        <v>0</v>
      </c>
      <c r="AY17" s="61" t="s">
        <v>116</v>
      </c>
      <c r="AZ17" s="61" t="s">
        <v>117</v>
      </c>
      <c r="BA17" s="46" t="s">
        <v>118</v>
      </c>
      <c r="BC17" s="59">
        <f>AW17+AX17</f>
        <v>0</v>
      </c>
      <c r="BD17" s="59">
        <f>H17/(100-BE17)*100</f>
        <v>0</v>
      </c>
      <c r="BE17" s="59">
        <v>0</v>
      </c>
      <c r="BF17" s="59">
        <f>L17</f>
        <v>2.5229599999999998E-2</v>
      </c>
      <c r="BH17" s="59">
        <f>G17*AO17</f>
        <v>0</v>
      </c>
      <c r="BI17" s="59">
        <f>G17*AP17</f>
        <v>0</v>
      </c>
      <c r="BJ17" s="59">
        <f>G17*H17</f>
        <v>0</v>
      </c>
      <c r="BK17" s="59"/>
      <c r="BL17" s="59">
        <v>60</v>
      </c>
      <c r="BW17" s="59">
        <v>12</v>
      </c>
      <c r="BX17" s="16" t="s">
        <v>123</v>
      </c>
    </row>
    <row r="18" spans="1:76" x14ac:dyDescent="0.25">
      <c r="A18" s="62"/>
      <c r="D18" s="63" t="s">
        <v>124</v>
      </c>
      <c r="E18" s="63"/>
      <c r="G18" s="64">
        <v>53.68</v>
      </c>
      <c r="M18" s="65"/>
    </row>
    <row r="19" spans="1:76" ht="15" customHeight="1" x14ac:dyDescent="0.25">
      <c r="A19" s="54"/>
      <c r="B19" s="55" t="s">
        <v>107</v>
      </c>
      <c r="C19" s="55" t="s">
        <v>125</v>
      </c>
      <c r="D19" s="104" t="s">
        <v>126</v>
      </c>
      <c r="E19" s="104"/>
      <c r="F19" s="56" t="s">
        <v>88</v>
      </c>
      <c r="G19" s="56" t="s">
        <v>88</v>
      </c>
      <c r="H19" s="56" t="s">
        <v>88</v>
      </c>
      <c r="I19" s="39">
        <f>SUM(I20:I25)</f>
        <v>0</v>
      </c>
      <c r="J19" s="46"/>
      <c r="K19" s="46"/>
      <c r="L19" s="39">
        <f>SUM(L20:L25)</f>
        <v>0.84428859999999983</v>
      </c>
      <c r="M19" s="57"/>
      <c r="AI19" s="46" t="s">
        <v>107</v>
      </c>
      <c r="AS19" s="39">
        <f>SUM(AJ20:AJ25)</f>
        <v>0</v>
      </c>
      <c r="AT19" s="39">
        <f>SUM(AK20:AK25)</f>
        <v>0</v>
      </c>
      <c r="AU19" s="39">
        <f>SUM(AL20:AL25)</f>
        <v>0</v>
      </c>
    </row>
    <row r="20" spans="1:76" ht="15" customHeight="1" x14ac:dyDescent="0.25">
      <c r="A20" s="58" t="s">
        <v>127</v>
      </c>
      <c r="B20" s="18" t="s">
        <v>107</v>
      </c>
      <c r="C20" s="18" t="s">
        <v>128</v>
      </c>
      <c r="D20" s="8" t="s">
        <v>129</v>
      </c>
      <c r="E20" s="8"/>
      <c r="F20" s="18" t="s">
        <v>114</v>
      </c>
      <c r="G20" s="59">
        <f>'Stavební rozpočet'!G19</f>
        <v>23.29</v>
      </c>
      <c r="H20" s="59">
        <f>'Stavební rozpočet'!H19</f>
        <v>0</v>
      </c>
      <c r="I20" s="59">
        <f>ROUND(G20*H20,2)</f>
        <v>0</v>
      </c>
      <c r="J20" s="59">
        <f>'Stavební rozpočet'!J19</f>
        <v>3.5659999999999997E-2</v>
      </c>
      <c r="K20" s="59">
        <f>'Stavební rozpočet'!K19</f>
        <v>3.5659999999999997E-2</v>
      </c>
      <c r="L20" s="59">
        <f>G20*K20</f>
        <v>0.83052139999999985</v>
      </c>
      <c r="M20" s="60" t="s">
        <v>115</v>
      </c>
      <c r="Z20" s="59">
        <f>ROUND(IF(AQ20="5",BJ20,0),2)</f>
        <v>0</v>
      </c>
      <c r="AB20" s="59">
        <f>ROUND(IF(AQ20="1",BH20,0),2)</f>
        <v>0</v>
      </c>
      <c r="AC20" s="59">
        <f>ROUND(IF(AQ20="1",BI20,0),2)</f>
        <v>0</v>
      </c>
      <c r="AD20" s="59">
        <f>ROUND(IF(AQ20="7",BH20,0),2)</f>
        <v>0</v>
      </c>
      <c r="AE20" s="59">
        <f>ROUND(IF(AQ20="7",BI20,0),2)</f>
        <v>0</v>
      </c>
      <c r="AF20" s="59">
        <f>ROUND(IF(AQ20="2",BH20,0),2)</f>
        <v>0</v>
      </c>
      <c r="AG20" s="59">
        <f>ROUND(IF(AQ20="2",BI20,0),2)</f>
        <v>0</v>
      </c>
      <c r="AH20" s="59">
        <f>ROUND(IF(AQ20="0",BJ20,0),2)</f>
        <v>0</v>
      </c>
      <c r="AI20" s="46" t="s">
        <v>107</v>
      </c>
      <c r="AJ20" s="59">
        <f>IF(AN20=0,I20,0)</f>
        <v>0</v>
      </c>
      <c r="AK20" s="59">
        <f>IF(AN20=12,I20,0)</f>
        <v>0</v>
      </c>
      <c r="AL20" s="59">
        <f>IF(AN20=21,I20,0)</f>
        <v>0</v>
      </c>
      <c r="AN20" s="59">
        <v>12</v>
      </c>
      <c r="AO20" s="59">
        <f>H20*0.283684244</f>
        <v>0</v>
      </c>
      <c r="AP20" s="59">
        <f>H20*(1-0.283684244)</f>
        <v>0</v>
      </c>
      <c r="AQ20" s="61" t="s">
        <v>111</v>
      </c>
      <c r="AV20" s="59">
        <f>ROUND(AW20+AX20,2)</f>
        <v>0</v>
      </c>
      <c r="AW20" s="59">
        <f>ROUND(G20*AO20,2)</f>
        <v>0</v>
      </c>
      <c r="AX20" s="59">
        <f>ROUND(G20*AP20,2)</f>
        <v>0</v>
      </c>
      <c r="AY20" s="61" t="s">
        <v>130</v>
      </c>
      <c r="AZ20" s="61" t="s">
        <v>117</v>
      </c>
      <c r="BA20" s="46" t="s">
        <v>118</v>
      </c>
      <c r="BC20" s="59">
        <f>AW20+AX20</f>
        <v>0</v>
      </c>
      <c r="BD20" s="59">
        <f>H20/(100-BE20)*100</f>
        <v>0</v>
      </c>
      <c r="BE20" s="59">
        <v>0</v>
      </c>
      <c r="BF20" s="59">
        <f>L20</f>
        <v>0.83052139999999985</v>
      </c>
      <c r="BH20" s="59">
        <f>G20*AO20</f>
        <v>0</v>
      </c>
      <c r="BI20" s="59">
        <f>G20*AP20</f>
        <v>0</v>
      </c>
      <c r="BJ20" s="59">
        <f>G20*H20</f>
        <v>0</v>
      </c>
      <c r="BK20" s="59"/>
      <c r="BL20" s="59">
        <v>61</v>
      </c>
      <c r="BW20" s="59">
        <v>12</v>
      </c>
      <c r="BX20" s="16" t="s">
        <v>129</v>
      </c>
    </row>
    <row r="21" spans="1:76" ht="13.5" customHeight="1" x14ac:dyDescent="0.25">
      <c r="A21" s="62"/>
      <c r="D21" s="105" t="s">
        <v>131</v>
      </c>
      <c r="E21" s="105"/>
      <c r="F21" s="105"/>
      <c r="G21" s="105"/>
      <c r="H21" s="105"/>
      <c r="I21" s="105"/>
      <c r="J21" s="105"/>
      <c r="K21" s="105"/>
      <c r="L21" s="105"/>
      <c r="M21" s="105"/>
    </row>
    <row r="22" spans="1:76" x14ac:dyDescent="0.25">
      <c r="A22" s="62"/>
      <c r="D22" s="63" t="s">
        <v>132</v>
      </c>
      <c r="E22" s="63"/>
      <c r="G22" s="64">
        <v>23.29</v>
      </c>
      <c r="M22" s="65"/>
    </row>
    <row r="23" spans="1:76" ht="15" customHeight="1" x14ac:dyDescent="0.25">
      <c r="A23" s="58" t="s">
        <v>133</v>
      </c>
      <c r="B23" s="18" t="s">
        <v>107</v>
      </c>
      <c r="C23" s="18" t="s">
        <v>134</v>
      </c>
      <c r="D23" s="8" t="s">
        <v>135</v>
      </c>
      <c r="E23" s="8"/>
      <c r="F23" s="18" t="s">
        <v>114</v>
      </c>
      <c r="G23" s="59">
        <f>'Stavební rozpočet'!G21</f>
        <v>53.055</v>
      </c>
      <c r="H23" s="59">
        <f>'Stavební rozpočet'!H21</f>
        <v>0</v>
      </c>
      <c r="I23" s="59">
        <f>ROUND(G23*H23,2)</f>
        <v>0</v>
      </c>
      <c r="J23" s="59">
        <f>'Stavební rozpočet'!J21</f>
        <v>4.0000000000000003E-5</v>
      </c>
      <c r="K23" s="59">
        <f>'Stavební rozpočet'!K21</f>
        <v>4.0000000000000003E-5</v>
      </c>
      <c r="L23" s="59">
        <f>G23*K23</f>
        <v>2.1222000000000003E-3</v>
      </c>
      <c r="M23" s="60" t="s">
        <v>115</v>
      </c>
      <c r="Z23" s="59">
        <f>ROUND(IF(AQ23="5",BJ23,0),2)</f>
        <v>0</v>
      </c>
      <c r="AB23" s="59">
        <f>ROUND(IF(AQ23="1",BH23,0),2)</f>
        <v>0</v>
      </c>
      <c r="AC23" s="59">
        <f>ROUND(IF(AQ23="1",BI23,0),2)</f>
        <v>0</v>
      </c>
      <c r="AD23" s="59">
        <f>ROUND(IF(AQ23="7",BH23,0),2)</f>
        <v>0</v>
      </c>
      <c r="AE23" s="59">
        <f>ROUND(IF(AQ23="7",BI23,0),2)</f>
        <v>0</v>
      </c>
      <c r="AF23" s="59">
        <f>ROUND(IF(AQ23="2",BH23,0),2)</f>
        <v>0</v>
      </c>
      <c r="AG23" s="59">
        <f>ROUND(IF(AQ23="2",BI23,0),2)</f>
        <v>0</v>
      </c>
      <c r="AH23" s="59">
        <f>ROUND(IF(AQ23="0",BJ23,0),2)</f>
        <v>0</v>
      </c>
      <c r="AI23" s="46" t="s">
        <v>107</v>
      </c>
      <c r="AJ23" s="59">
        <f>IF(AN23=0,I23,0)</f>
        <v>0</v>
      </c>
      <c r="AK23" s="59">
        <f>IF(AN23=12,I23,0)</f>
        <v>0</v>
      </c>
      <c r="AL23" s="59">
        <f>IF(AN23=21,I23,0)</f>
        <v>0</v>
      </c>
      <c r="AN23" s="59">
        <v>12</v>
      </c>
      <c r="AO23" s="59">
        <f>H23*0.267962593</f>
        <v>0</v>
      </c>
      <c r="AP23" s="59">
        <f>H23*(1-0.267962593)</f>
        <v>0</v>
      </c>
      <c r="AQ23" s="61" t="s">
        <v>111</v>
      </c>
      <c r="AV23" s="59">
        <f>ROUND(AW23+AX23,2)</f>
        <v>0</v>
      </c>
      <c r="AW23" s="59">
        <f>ROUND(G23*AO23,2)</f>
        <v>0</v>
      </c>
      <c r="AX23" s="59">
        <f>ROUND(G23*AP23,2)</f>
        <v>0</v>
      </c>
      <c r="AY23" s="61" t="s">
        <v>130</v>
      </c>
      <c r="AZ23" s="61" t="s">
        <v>117</v>
      </c>
      <c r="BA23" s="46" t="s">
        <v>118</v>
      </c>
      <c r="BC23" s="59">
        <f>AW23+AX23</f>
        <v>0</v>
      </c>
      <c r="BD23" s="59">
        <f>H23/(100-BE23)*100</f>
        <v>0</v>
      </c>
      <c r="BE23" s="59">
        <v>0</v>
      </c>
      <c r="BF23" s="59">
        <f>L23</f>
        <v>2.1222000000000003E-3</v>
      </c>
      <c r="BH23" s="59">
        <f>G23*AO23</f>
        <v>0</v>
      </c>
      <c r="BI23" s="59">
        <f>G23*AP23</f>
        <v>0</v>
      </c>
      <c r="BJ23" s="59">
        <f>G23*H23</f>
        <v>0</v>
      </c>
      <c r="BK23" s="59"/>
      <c r="BL23" s="59">
        <v>61</v>
      </c>
      <c r="BW23" s="59">
        <v>12</v>
      </c>
      <c r="BX23" s="16" t="s">
        <v>135</v>
      </c>
    </row>
    <row r="24" spans="1:76" x14ac:dyDescent="0.25">
      <c r="A24" s="62"/>
      <c r="D24" s="63" t="s">
        <v>136</v>
      </c>
      <c r="E24" s="63"/>
      <c r="G24" s="64">
        <v>53.055</v>
      </c>
      <c r="M24" s="65"/>
    </row>
    <row r="25" spans="1:76" ht="15" customHeight="1" x14ac:dyDescent="0.25">
      <c r="A25" s="58" t="s">
        <v>137</v>
      </c>
      <c r="B25" s="18" t="s">
        <v>107</v>
      </c>
      <c r="C25" s="18" t="s">
        <v>138</v>
      </c>
      <c r="D25" s="8" t="s">
        <v>139</v>
      </c>
      <c r="E25" s="8"/>
      <c r="F25" s="18" t="s">
        <v>140</v>
      </c>
      <c r="G25" s="59">
        <f>'Stavební rozpočet'!G23</f>
        <v>116.45</v>
      </c>
      <c r="H25" s="59">
        <f>'Stavební rozpočet'!H23</f>
        <v>0</v>
      </c>
      <c r="I25" s="59">
        <f>ROUND(G25*H25,2)</f>
        <v>0</v>
      </c>
      <c r="J25" s="59">
        <f>'Stavební rozpočet'!J23</f>
        <v>1E-4</v>
      </c>
      <c r="K25" s="59">
        <f>'Stavební rozpočet'!K23</f>
        <v>1E-4</v>
      </c>
      <c r="L25" s="59">
        <f>G25*K25</f>
        <v>1.1645000000000001E-2</v>
      </c>
      <c r="M25" s="60" t="s">
        <v>115</v>
      </c>
      <c r="Z25" s="59">
        <f>ROUND(IF(AQ25="5",BJ25,0),2)</f>
        <v>0</v>
      </c>
      <c r="AB25" s="59">
        <f>ROUND(IF(AQ25="1",BH25,0),2)</f>
        <v>0</v>
      </c>
      <c r="AC25" s="59">
        <f>ROUND(IF(AQ25="1",BI25,0),2)</f>
        <v>0</v>
      </c>
      <c r="AD25" s="59">
        <f>ROUND(IF(AQ25="7",BH25,0),2)</f>
        <v>0</v>
      </c>
      <c r="AE25" s="59">
        <f>ROUND(IF(AQ25="7",BI25,0),2)</f>
        <v>0</v>
      </c>
      <c r="AF25" s="59">
        <f>ROUND(IF(AQ25="2",BH25,0),2)</f>
        <v>0</v>
      </c>
      <c r="AG25" s="59">
        <f>ROUND(IF(AQ25="2",BI25,0),2)</f>
        <v>0</v>
      </c>
      <c r="AH25" s="59">
        <f>ROUND(IF(AQ25="0",BJ25,0),2)</f>
        <v>0</v>
      </c>
      <c r="AI25" s="46" t="s">
        <v>107</v>
      </c>
      <c r="AJ25" s="59">
        <f>IF(AN25=0,I25,0)</f>
        <v>0</v>
      </c>
      <c r="AK25" s="59">
        <f>IF(AN25=12,I25,0)</f>
        <v>0</v>
      </c>
      <c r="AL25" s="59">
        <f>IF(AN25=21,I25,0)</f>
        <v>0</v>
      </c>
      <c r="AN25" s="59">
        <v>12</v>
      </c>
      <c r="AO25" s="59">
        <f>H25*0.367459507</f>
        <v>0</v>
      </c>
      <c r="AP25" s="59">
        <f>H25*(1-0.367459507)</f>
        <v>0</v>
      </c>
      <c r="AQ25" s="61" t="s">
        <v>111</v>
      </c>
      <c r="AV25" s="59">
        <f>ROUND(AW25+AX25,2)</f>
        <v>0</v>
      </c>
      <c r="AW25" s="59">
        <f>ROUND(G25*AO25,2)</f>
        <v>0</v>
      </c>
      <c r="AX25" s="59">
        <f>ROUND(G25*AP25,2)</f>
        <v>0</v>
      </c>
      <c r="AY25" s="61" t="s">
        <v>130</v>
      </c>
      <c r="AZ25" s="61" t="s">
        <v>117</v>
      </c>
      <c r="BA25" s="46" t="s">
        <v>118</v>
      </c>
      <c r="BC25" s="59">
        <f>AW25+AX25</f>
        <v>0</v>
      </c>
      <c r="BD25" s="59">
        <f>H25/(100-BE25)*100</f>
        <v>0</v>
      </c>
      <c r="BE25" s="59">
        <v>0</v>
      </c>
      <c r="BF25" s="59">
        <f>L25</f>
        <v>1.1645000000000001E-2</v>
      </c>
      <c r="BH25" s="59">
        <f>G25*AO25</f>
        <v>0</v>
      </c>
      <c r="BI25" s="59">
        <f>G25*AP25</f>
        <v>0</v>
      </c>
      <c r="BJ25" s="59">
        <f>G25*H25</f>
        <v>0</v>
      </c>
      <c r="BK25" s="59"/>
      <c r="BL25" s="59">
        <v>61</v>
      </c>
      <c r="BW25" s="59">
        <v>12</v>
      </c>
      <c r="BX25" s="16" t="s">
        <v>139</v>
      </c>
    </row>
    <row r="26" spans="1:76" ht="13.5" customHeight="1" x14ac:dyDescent="0.25">
      <c r="A26" s="62"/>
      <c r="D26" s="105" t="s">
        <v>141</v>
      </c>
      <c r="E26" s="105"/>
      <c r="F26" s="105"/>
      <c r="G26" s="105"/>
      <c r="H26" s="105"/>
      <c r="I26" s="105"/>
      <c r="J26" s="105"/>
      <c r="K26" s="105"/>
      <c r="L26" s="105"/>
      <c r="M26" s="105"/>
    </row>
    <row r="27" spans="1:76" x14ac:dyDescent="0.25">
      <c r="A27" s="62"/>
      <c r="D27" s="63" t="s">
        <v>142</v>
      </c>
      <c r="E27" s="63"/>
      <c r="G27" s="64">
        <v>116.45</v>
      </c>
      <c r="M27" s="65"/>
    </row>
    <row r="28" spans="1:76" ht="15" customHeight="1" x14ac:dyDescent="0.25">
      <c r="A28" s="54"/>
      <c r="B28" s="55" t="s">
        <v>107</v>
      </c>
      <c r="C28" s="55" t="s">
        <v>143</v>
      </c>
      <c r="D28" s="104" t="s">
        <v>144</v>
      </c>
      <c r="E28" s="104"/>
      <c r="F28" s="56" t="s">
        <v>88</v>
      </c>
      <c r="G28" s="56" t="s">
        <v>88</v>
      </c>
      <c r="H28" s="56" t="s">
        <v>88</v>
      </c>
      <c r="I28" s="39">
        <f>SUM(I29:I34)</f>
        <v>0</v>
      </c>
      <c r="J28" s="46"/>
      <c r="K28" s="46"/>
      <c r="L28" s="39">
        <f>SUM(L29:L34)</f>
        <v>0.38913170000000002</v>
      </c>
      <c r="M28" s="57"/>
      <c r="AI28" s="46" t="s">
        <v>107</v>
      </c>
      <c r="AS28" s="39">
        <f>SUM(AJ29:AJ34)</f>
        <v>0</v>
      </c>
      <c r="AT28" s="39">
        <f>SUM(AK29:AK34)</f>
        <v>0</v>
      </c>
      <c r="AU28" s="39">
        <f>SUM(AL29:AL34)</f>
        <v>0</v>
      </c>
    </row>
    <row r="29" spans="1:76" ht="15" customHeight="1" x14ac:dyDescent="0.25">
      <c r="A29" s="58" t="s">
        <v>145</v>
      </c>
      <c r="B29" s="18" t="s">
        <v>107</v>
      </c>
      <c r="C29" s="18" t="s">
        <v>146</v>
      </c>
      <c r="D29" s="8" t="s">
        <v>147</v>
      </c>
      <c r="E29" s="8"/>
      <c r="F29" s="18" t="s">
        <v>114</v>
      </c>
      <c r="G29" s="59">
        <f>'Stavební rozpočet'!G26</f>
        <v>26.835000000000001</v>
      </c>
      <c r="H29" s="59">
        <f>'Stavební rozpočet'!H26</f>
        <v>0</v>
      </c>
      <c r="I29" s="59">
        <f>ROUND(G29*H29,2)</f>
        <v>0</v>
      </c>
      <c r="J29" s="59">
        <f>'Stavební rozpočet'!J26</f>
        <v>9.6600000000000002E-3</v>
      </c>
      <c r="K29" s="59">
        <f>'Stavební rozpočet'!K26</f>
        <v>9.6600000000000002E-3</v>
      </c>
      <c r="L29" s="59">
        <f>G29*K29</f>
        <v>0.25922610000000001</v>
      </c>
      <c r="M29" s="60" t="s">
        <v>115</v>
      </c>
      <c r="Z29" s="59">
        <f>ROUND(IF(AQ29="5",BJ29,0),2)</f>
        <v>0</v>
      </c>
      <c r="AB29" s="59">
        <f>ROUND(IF(AQ29="1",BH29,0),2)</f>
        <v>0</v>
      </c>
      <c r="AC29" s="59">
        <f>ROUND(IF(AQ29="1",BI29,0),2)</f>
        <v>0</v>
      </c>
      <c r="AD29" s="59">
        <f>ROUND(IF(AQ29="7",BH29,0),2)</f>
        <v>0</v>
      </c>
      <c r="AE29" s="59">
        <f>ROUND(IF(AQ29="7",BI29,0),2)</f>
        <v>0</v>
      </c>
      <c r="AF29" s="59">
        <f>ROUND(IF(AQ29="2",BH29,0),2)</f>
        <v>0</v>
      </c>
      <c r="AG29" s="59">
        <f>ROUND(IF(AQ29="2",BI29,0),2)</f>
        <v>0</v>
      </c>
      <c r="AH29" s="59">
        <f>ROUND(IF(AQ29="0",BJ29,0),2)</f>
        <v>0</v>
      </c>
      <c r="AI29" s="46" t="s">
        <v>107</v>
      </c>
      <c r="AJ29" s="59">
        <f>IF(AN29=0,I29,0)</f>
        <v>0</v>
      </c>
      <c r="AK29" s="59">
        <f>IF(AN29=12,I29,0)</f>
        <v>0</v>
      </c>
      <c r="AL29" s="59">
        <f>IF(AN29=21,I29,0)</f>
        <v>0</v>
      </c>
      <c r="AN29" s="59">
        <v>12</v>
      </c>
      <c r="AO29" s="59">
        <f>H29*0.218564986</f>
        <v>0</v>
      </c>
      <c r="AP29" s="59">
        <f>H29*(1-0.218564986)</f>
        <v>0</v>
      </c>
      <c r="AQ29" s="61" t="s">
        <v>111</v>
      </c>
      <c r="AV29" s="59">
        <f>ROUND(AW29+AX29,2)</f>
        <v>0</v>
      </c>
      <c r="AW29" s="59">
        <f>ROUND(G29*AO29,2)</f>
        <v>0</v>
      </c>
      <c r="AX29" s="59">
        <f>ROUND(G29*AP29,2)</f>
        <v>0</v>
      </c>
      <c r="AY29" s="61" t="s">
        <v>148</v>
      </c>
      <c r="AZ29" s="61" t="s">
        <v>117</v>
      </c>
      <c r="BA29" s="46" t="s">
        <v>118</v>
      </c>
      <c r="BC29" s="59">
        <f>AW29+AX29</f>
        <v>0</v>
      </c>
      <c r="BD29" s="59">
        <f>H29/(100-BE29)*100</f>
        <v>0</v>
      </c>
      <c r="BE29" s="59">
        <v>0</v>
      </c>
      <c r="BF29" s="59">
        <f>L29</f>
        <v>0.25922610000000001</v>
      </c>
      <c r="BH29" s="59">
        <f>G29*AO29</f>
        <v>0</v>
      </c>
      <c r="BI29" s="59">
        <f>G29*AP29</f>
        <v>0</v>
      </c>
      <c r="BJ29" s="59">
        <f>G29*H29</f>
        <v>0</v>
      </c>
      <c r="BK29" s="59"/>
      <c r="BL29" s="59">
        <v>62</v>
      </c>
      <c r="BW29" s="59">
        <v>12</v>
      </c>
      <c r="BX29" s="16" t="s">
        <v>147</v>
      </c>
    </row>
    <row r="30" spans="1:76" x14ac:dyDescent="0.25">
      <c r="A30" s="62"/>
      <c r="D30" s="63" t="s">
        <v>149</v>
      </c>
      <c r="E30" s="63"/>
      <c r="G30" s="64">
        <v>26.835000000000001</v>
      </c>
      <c r="M30" s="65"/>
    </row>
    <row r="31" spans="1:76" ht="15" customHeight="1" x14ac:dyDescent="0.25">
      <c r="A31" s="58" t="s">
        <v>150</v>
      </c>
      <c r="B31" s="18" t="s">
        <v>107</v>
      </c>
      <c r="C31" s="18" t="s">
        <v>151</v>
      </c>
      <c r="D31" s="8" t="s">
        <v>152</v>
      </c>
      <c r="E31" s="8"/>
      <c r="F31" s="18" t="s">
        <v>114</v>
      </c>
      <c r="G31" s="59">
        <f>'Stavební rozpočet'!G28</f>
        <v>26.84</v>
      </c>
      <c r="H31" s="59">
        <f>'Stavební rozpočet'!H28</f>
        <v>0</v>
      </c>
      <c r="I31" s="59">
        <f>ROUND(G31*H31,2)</f>
        <v>0</v>
      </c>
      <c r="J31" s="59">
        <f>'Stavební rozpočet'!J28</f>
        <v>4.3099999999999996E-3</v>
      </c>
      <c r="K31" s="59">
        <f>'Stavební rozpočet'!K28</f>
        <v>4.3099999999999996E-3</v>
      </c>
      <c r="L31" s="59">
        <f>G31*K31</f>
        <v>0.11568039999999999</v>
      </c>
      <c r="M31" s="60" t="s">
        <v>115</v>
      </c>
      <c r="Z31" s="59">
        <f>ROUND(IF(AQ31="5",BJ31,0),2)</f>
        <v>0</v>
      </c>
      <c r="AB31" s="59">
        <f>ROUND(IF(AQ31="1",BH31,0),2)</f>
        <v>0</v>
      </c>
      <c r="AC31" s="59">
        <f>ROUND(IF(AQ31="1",BI31,0),2)</f>
        <v>0</v>
      </c>
      <c r="AD31" s="59">
        <f>ROUND(IF(AQ31="7",BH31,0),2)</f>
        <v>0</v>
      </c>
      <c r="AE31" s="59">
        <f>ROUND(IF(AQ31="7",BI31,0),2)</f>
        <v>0</v>
      </c>
      <c r="AF31" s="59">
        <f>ROUND(IF(AQ31="2",BH31,0),2)</f>
        <v>0</v>
      </c>
      <c r="AG31" s="59">
        <f>ROUND(IF(AQ31="2",BI31,0),2)</f>
        <v>0</v>
      </c>
      <c r="AH31" s="59">
        <f>ROUND(IF(AQ31="0",BJ31,0),2)</f>
        <v>0</v>
      </c>
      <c r="AI31" s="46" t="s">
        <v>107</v>
      </c>
      <c r="AJ31" s="59">
        <f>IF(AN31=0,I31,0)</f>
        <v>0</v>
      </c>
      <c r="AK31" s="59">
        <f>IF(AN31=12,I31,0)</f>
        <v>0</v>
      </c>
      <c r="AL31" s="59">
        <f>IF(AN31=21,I31,0)</f>
        <v>0</v>
      </c>
      <c r="AN31" s="59">
        <v>12</v>
      </c>
      <c r="AO31" s="59">
        <f>H31*0.224526803</f>
        <v>0</v>
      </c>
      <c r="AP31" s="59">
        <f>H31*(1-0.224526803)</f>
        <v>0</v>
      </c>
      <c r="AQ31" s="61" t="s">
        <v>111</v>
      </c>
      <c r="AV31" s="59">
        <f>ROUND(AW31+AX31,2)</f>
        <v>0</v>
      </c>
      <c r="AW31" s="59">
        <f>ROUND(G31*AO31,2)</f>
        <v>0</v>
      </c>
      <c r="AX31" s="59">
        <f>ROUND(G31*AP31,2)</f>
        <v>0</v>
      </c>
      <c r="AY31" s="61" t="s">
        <v>148</v>
      </c>
      <c r="AZ31" s="61" t="s">
        <v>117</v>
      </c>
      <c r="BA31" s="46" t="s">
        <v>118</v>
      </c>
      <c r="BC31" s="59">
        <f>AW31+AX31</f>
        <v>0</v>
      </c>
      <c r="BD31" s="59">
        <f>H31/(100-BE31)*100</f>
        <v>0</v>
      </c>
      <c r="BE31" s="59">
        <v>0</v>
      </c>
      <c r="BF31" s="59">
        <f>L31</f>
        <v>0.11568039999999999</v>
      </c>
      <c r="BH31" s="59">
        <f>G31*AO31</f>
        <v>0</v>
      </c>
      <c r="BI31" s="59">
        <f>G31*AP31</f>
        <v>0</v>
      </c>
      <c r="BJ31" s="59">
        <f>G31*H31</f>
        <v>0</v>
      </c>
      <c r="BK31" s="59"/>
      <c r="BL31" s="59">
        <v>62</v>
      </c>
      <c r="BW31" s="59">
        <v>12</v>
      </c>
      <c r="BX31" s="16" t="s">
        <v>152</v>
      </c>
    </row>
    <row r="32" spans="1:76" ht="13.5" customHeight="1" x14ac:dyDescent="0.25">
      <c r="A32" s="62"/>
      <c r="D32" s="105" t="s">
        <v>153</v>
      </c>
      <c r="E32" s="105"/>
      <c r="F32" s="105"/>
      <c r="G32" s="105"/>
      <c r="H32" s="105"/>
      <c r="I32" s="105"/>
      <c r="J32" s="105"/>
      <c r="K32" s="105"/>
      <c r="L32" s="105"/>
      <c r="M32" s="105"/>
    </row>
    <row r="33" spans="1:76" x14ac:dyDescent="0.25">
      <c r="A33" s="62"/>
      <c r="D33" s="63" t="s">
        <v>120</v>
      </c>
      <c r="E33" s="63"/>
      <c r="G33" s="64">
        <v>26.84</v>
      </c>
      <c r="M33" s="65"/>
    </row>
    <row r="34" spans="1:76" ht="15" customHeight="1" x14ac:dyDescent="0.25">
      <c r="A34" s="58" t="s">
        <v>154</v>
      </c>
      <c r="B34" s="18" t="s">
        <v>107</v>
      </c>
      <c r="C34" s="18" t="s">
        <v>155</v>
      </c>
      <c r="D34" s="8" t="s">
        <v>156</v>
      </c>
      <c r="E34" s="8"/>
      <c r="F34" s="18" t="s">
        <v>114</v>
      </c>
      <c r="G34" s="59">
        <f>'Stavební rozpočet'!G30</f>
        <v>26.84</v>
      </c>
      <c r="H34" s="59">
        <f>'Stavební rozpočet'!H30</f>
        <v>0</v>
      </c>
      <c r="I34" s="59">
        <f>ROUND(G34*H34,2)</f>
        <v>0</v>
      </c>
      <c r="J34" s="59">
        <f>'Stavební rozpočet'!J30</f>
        <v>5.2999999999999998E-4</v>
      </c>
      <c r="K34" s="59">
        <f>'Stavební rozpočet'!K30</f>
        <v>5.2999999999999998E-4</v>
      </c>
      <c r="L34" s="59">
        <f>G34*K34</f>
        <v>1.4225199999999999E-2</v>
      </c>
      <c r="M34" s="60" t="s">
        <v>115</v>
      </c>
      <c r="Z34" s="59">
        <f>ROUND(IF(AQ34="5",BJ34,0),2)</f>
        <v>0</v>
      </c>
      <c r="AB34" s="59">
        <f>ROUND(IF(AQ34="1",BH34,0),2)</f>
        <v>0</v>
      </c>
      <c r="AC34" s="59">
        <f>ROUND(IF(AQ34="1",BI34,0),2)</f>
        <v>0</v>
      </c>
      <c r="AD34" s="59">
        <f>ROUND(IF(AQ34="7",BH34,0),2)</f>
        <v>0</v>
      </c>
      <c r="AE34" s="59">
        <f>ROUND(IF(AQ34="7",BI34,0),2)</f>
        <v>0</v>
      </c>
      <c r="AF34" s="59">
        <f>ROUND(IF(AQ34="2",BH34,0),2)</f>
        <v>0</v>
      </c>
      <c r="AG34" s="59">
        <f>ROUND(IF(AQ34="2",BI34,0),2)</f>
        <v>0</v>
      </c>
      <c r="AH34" s="59">
        <f>ROUND(IF(AQ34="0",BJ34,0),2)</f>
        <v>0</v>
      </c>
      <c r="AI34" s="46" t="s">
        <v>107</v>
      </c>
      <c r="AJ34" s="59">
        <f>IF(AN34=0,I34,0)</f>
        <v>0</v>
      </c>
      <c r="AK34" s="59">
        <f>IF(AN34=12,I34,0)</f>
        <v>0</v>
      </c>
      <c r="AL34" s="59">
        <f>IF(AN34=21,I34,0)</f>
        <v>0</v>
      </c>
      <c r="AN34" s="59">
        <v>12</v>
      </c>
      <c r="AO34" s="59">
        <f>H34*0.475328947</f>
        <v>0</v>
      </c>
      <c r="AP34" s="59">
        <f>H34*(1-0.475328947)</f>
        <v>0</v>
      </c>
      <c r="AQ34" s="61" t="s">
        <v>111</v>
      </c>
      <c r="AV34" s="59">
        <f>ROUND(AW34+AX34,2)</f>
        <v>0</v>
      </c>
      <c r="AW34" s="59">
        <f>ROUND(G34*AO34,2)</f>
        <v>0</v>
      </c>
      <c r="AX34" s="59">
        <f>ROUND(G34*AP34,2)</f>
        <v>0</v>
      </c>
      <c r="AY34" s="61" t="s">
        <v>148</v>
      </c>
      <c r="AZ34" s="61" t="s">
        <v>117</v>
      </c>
      <c r="BA34" s="46" t="s">
        <v>118</v>
      </c>
      <c r="BC34" s="59">
        <f>AW34+AX34</f>
        <v>0</v>
      </c>
      <c r="BD34" s="59">
        <f>H34/(100-BE34)*100</f>
        <v>0</v>
      </c>
      <c r="BE34" s="59">
        <v>0</v>
      </c>
      <c r="BF34" s="59">
        <f>L34</f>
        <v>1.4225199999999999E-2</v>
      </c>
      <c r="BH34" s="59">
        <f>G34*AO34</f>
        <v>0</v>
      </c>
      <c r="BI34" s="59">
        <f>G34*AP34</f>
        <v>0</v>
      </c>
      <c r="BJ34" s="59">
        <f>G34*H34</f>
        <v>0</v>
      </c>
      <c r="BK34" s="59"/>
      <c r="BL34" s="59">
        <v>62</v>
      </c>
      <c r="BW34" s="59">
        <v>12</v>
      </c>
      <c r="BX34" s="16" t="s">
        <v>156</v>
      </c>
    </row>
    <row r="35" spans="1:76" x14ac:dyDescent="0.25">
      <c r="A35" s="62"/>
      <c r="D35" s="63" t="s">
        <v>120</v>
      </c>
      <c r="E35" s="63"/>
      <c r="G35" s="64">
        <v>26.84</v>
      </c>
      <c r="M35" s="65"/>
    </row>
    <row r="36" spans="1:76" ht="15" customHeight="1" x14ac:dyDescent="0.25">
      <c r="A36" s="54"/>
      <c r="B36" s="55" t="s">
        <v>107</v>
      </c>
      <c r="C36" s="55" t="s">
        <v>157</v>
      </c>
      <c r="D36" s="104" t="s">
        <v>158</v>
      </c>
      <c r="E36" s="104"/>
      <c r="F36" s="56" t="s">
        <v>88</v>
      </c>
      <c r="G36" s="56" t="s">
        <v>88</v>
      </c>
      <c r="H36" s="56" t="s">
        <v>88</v>
      </c>
      <c r="I36" s="39">
        <f>SUM(I37)</f>
        <v>0</v>
      </c>
      <c r="J36" s="46"/>
      <c r="K36" s="46"/>
      <c r="L36" s="39">
        <f>SUM(L37)</f>
        <v>0.207592</v>
      </c>
      <c r="M36" s="57"/>
      <c r="AI36" s="46" t="s">
        <v>107</v>
      </c>
      <c r="AS36" s="39">
        <f>SUM(AJ37)</f>
        <v>0</v>
      </c>
      <c r="AT36" s="39">
        <f>SUM(AK37)</f>
        <v>0</v>
      </c>
      <c r="AU36" s="39">
        <f>SUM(AL37)</f>
        <v>0</v>
      </c>
    </row>
    <row r="37" spans="1:76" ht="15" customHeight="1" x14ac:dyDescent="0.25">
      <c r="A37" s="58" t="s">
        <v>159</v>
      </c>
      <c r="B37" s="18" t="s">
        <v>107</v>
      </c>
      <c r="C37" s="18" t="s">
        <v>160</v>
      </c>
      <c r="D37" s="8" t="s">
        <v>161</v>
      </c>
      <c r="E37" s="8"/>
      <c r="F37" s="18" t="s">
        <v>140</v>
      </c>
      <c r="G37" s="59">
        <f>'Stavební rozpočet'!G33</f>
        <v>33.700000000000003</v>
      </c>
      <c r="H37" s="59">
        <f>'Stavební rozpočet'!H33</f>
        <v>0</v>
      </c>
      <c r="I37" s="59">
        <f>ROUND(G37*H37,2)</f>
        <v>0</v>
      </c>
      <c r="J37" s="59">
        <f>'Stavební rozpočet'!J33</f>
        <v>6.1599999999999997E-3</v>
      </c>
      <c r="K37" s="59">
        <f>'Stavební rozpočet'!K33</f>
        <v>6.1599999999999997E-3</v>
      </c>
      <c r="L37" s="59">
        <f>G37*K37</f>
        <v>0.207592</v>
      </c>
      <c r="M37" s="60" t="s">
        <v>115</v>
      </c>
      <c r="Z37" s="59">
        <f>ROUND(IF(AQ37="5",BJ37,0),2)</f>
        <v>0</v>
      </c>
      <c r="AB37" s="59">
        <f>ROUND(IF(AQ37="1",BH37,0),2)</f>
        <v>0</v>
      </c>
      <c r="AC37" s="59">
        <f>ROUND(IF(AQ37="1",BI37,0),2)</f>
        <v>0</v>
      </c>
      <c r="AD37" s="59">
        <f>ROUND(IF(AQ37="7",BH37,0),2)</f>
        <v>0</v>
      </c>
      <c r="AE37" s="59">
        <f>ROUND(IF(AQ37="7",BI37,0),2)</f>
        <v>0</v>
      </c>
      <c r="AF37" s="59">
        <f>ROUND(IF(AQ37="2",BH37,0),2)</f>
        <v>0</v>
      </c>
      <c r="AG37" s="59">
        <f>ROUND(IF(AQ37="2",BI37,0),2)</f>
        <v>0</v>
      </c>
      <c r="AH37" s="59">
        <f>ROUND(IF(AQ37="0",BJ37,0),2)</f>
        <v>0</v>
      </c>
      <c r="AI37" s="46" t="s">
        <v>107</v>
      </c>
      <c r="AJ37" s="59">
        <f>IF(AN37=0,I37,0)</f>
        <v>0</v>
      </c>
      <c r="AK37" s="59">
        <f>IF(AN37=12,I37,0)</f>
        <v>0</v>
      </c>
      <c r="AL37" s="59">
        <f>IF(AN37=21,I37,0)</f>
        <v>0</v>
      </c>
      <c r="AN37" s="59">
        <v>12</v>
      </c>
      <c r="AO37" s="59">
        <f>H37*0.526177778</f>
        <v>0</v>
      </c>
      <c r="AP37" s="59">
        <f>H37*(1-0.526177778)</f>
        <v>0</v>
      </c>
      <c r="AQ37" s="61" t="s">
        <v>111</v>
      </c>
      <c r="AV37" s="59">
        <f>ROUND(AW37+AX37,2)</f>
        <v>0</v>
      </c>
      <c r="AW37" s="59">
        <f>ROUND(G37*AO37,2)</f>
        <v>0</v>
      </c>
      <c r="AX37" s="59">
        <f>ROUND(G37*AP37,2)</f>
        <v>0</v>
      </c>
      <c r="AY37" s="61" t="s">
        <v>162</v>
      </c>
      <c r="AZ37" s="61" t="s">
        <v>117</v>
      </c>
      <c r="BA37" s="46" t="s">
        <v>118</v>
      </c>
      <c r="BC37" s="59">
        <f>AW37+AX37</f>
        <v>0</v>
      </c>
      <c r="BD37" s="59">
        <f>H37/(100-BE37)*100</f>
        <v>0</v>
      </c>
      <c r="BE37" s="59">
        <v>0</v>
      </c>
      <c r="BF37" s="59">
        <f>L37</f>
        <v>0.207592</v>
      </c>
      <c r="BH37" s="59">
        <f>G37*AO37</f>
        <v>0</v>
      </c>
      <c r="BI37" s="59">
        <f>G37*AP37</f>
        <v>0</v>
      </c>
      <c r="BJ37" s="59">
        <f>G37*H37</f>
        <v>0</v>
      </c>
      <c r="BK37" s="59"/>
      <c r="BL37" s="59">
        <v>64</v>
      </c>
      <c r="BW37" s="59">
        <v>12</v>
      </c>
      <c r="BX37" s="16" t="s">
        <v>161</v>
      </c>
    </row>
    <row r="38" spans="1:76" ht="13.5" customHeight="1" x14ac:dyDescent="0.25">
      <c r="A38" s="62"/>
      <c r="D38" s="105" t="s">
        <v>163</v>
      </c>
      <c r="E38" s="105"/>
      <c r="F38" s="105"/>
      <c r="G38" s="105"/>
      <c r="H38" s="105"/>
      <c r="I38" s="105"/>
      <c r="J38" s="105"/>
      <c r="K38" s="105"/>
      <c r="L38" s="105"/>
      <c r="M38" s="105"/>
    </row>
    <row r="39" spans="1:76" x14ac:dyDescent="0.25">
      <c r="A39" s="62"/>
      <c r="D39" s="63" t="s">
        <v>164</v>
      </c>
      <c r="E39" s="63"/>
      <c r="G39" s="64">
        <v>33.700000000000003</v>
      </c>
      <c r="M39" s="65"/>
    </row>
    <row r="40" spans="1:76" ht="15" customHeight="1" x14ac:dyDescent="0.25">
      <c r="A40" s="54"/>
      <c r="B40" s="55" t="s">
        <v>107</v>
      </c>
      <c r="C40" s="55" t="s">
        <v>165</v>
      </c>
      <c r="D40" s="104" t="s">
        <v>166</v>
      </c>
      <c r="E40" s="104"/>
      <c r="F40" s="56" t="s">
        <v>88</v>
      </c>
      <c r="G40" s="56" t="s">
        <v>88</v>
      </c>
      <c r="H40" s="56" t="s">
        <v>88</v>
      </c>
      <c r="I40" s="39">
        <f>SUM(I41:I46)</f>
        <v>0</v>
      </c>
      <c r="J40" s="46"/>
      <c r="K40" s="46"/>
      <c r="L40" s="39">
        <f>SUM(L41:L46)</f>
        <v>8.1439999999999999E-2</v>
      </c>
      <c r="M40" s="57"/>
      <c r="AI40" s="46" t="s">
        <v>107</v>
      </c>
      <c r="AS40" s="39">
        <f>SUM(AJ41:AJ46)</f>
        <v>0</v>
      </c>
      <c r="AT40" s="39">
        <f>SUM(AK41:AK46)</f>
        <v>0</v>
      </c>
      <c r="AU40" s="39">
        <f>SUM(AL41:AL46)</f>
        <v>0</v>
      </c>
    </row>
    <row r="41" spans="1:76" ht="15" customHeight="1" x14ac:dyDescent="0.25">
      <c r="A41" s="58" t="s">
        <v>167</v>
      </c>
      <c r="B41" s="18" t="s">
        <v>107</v>
      </c>
      <c r="C41" s="18" t="s">
        <v>168</v>
      </c>
      <c r="D41" s="8" t="s">
        <v>169</v>
      </c>
      <c r="E41" s="8"/>
      <c r="F41" s="18" t="s">
        <v>140</v>
      </c>
      <c r="G41" s="59">
        <f>'Stavební rozpočet'!G36</f>
        <v>6</v>
      </c>
      <c r="H41" s="59">
        <f>'Stavební rozpočet'!H36</f>
        <v>0</v>
      </c>
      <c r="I41" s="59">
        <f>ROUND(G41*H41,2)</f>
        <v>0</v>
      </c>
      <c r="J41" s="59">
        <f>'Stavební rozpočet'!J36</f>
        <v>0</v>
      </c>
      <c r="K41" s="59">
        <f>'Stavební rozpočet'!K36</f>
        <v>1.3500000000000001E-3</v>
      </c>
      <c r="L41" s="59">
        <f>G41*K41</f>
        <v>8.0999999999999996E-3</v>
      </c>
      <c r="M41" s="60" t="s">
        <v>115</v>
      </c>
      <c r="Z41" s="59">
        <f>ROUND(IF(AQ41="5",BJ41,0),2)</f>
        <v>0</v>
      </c>
      <c r="AB41" s="59">
        <f>ROUND(IF(AQ41="1",BH41,0),2)</f>
        <v>0</v>
      </c>
      <c r="AC41" s="59">
        <f>ROUND(IF(AQ41="1",BI41,0),2)</f>
        <v>0</v>
      </c>
      <c r="AD41" s="59">
        <f>ROUND(IF(AQ41="7",BH41,0),2)</f>
        <v>0</v>
      </c>
      <c r="AE41" s="59">
        <f>ROUND(IF(AQ41="7",BI41,0),2)</f>
        <v>0</v>
      </c>
      <c r="AF41" s="59">
        <f>ROUND(IF(AQ41="2",BH41,0),2)</f>
        <v>0</v>
      </c>
      <c r="AG41" s="59">
        <f>ROUND(IF(AQ41="2",BI41,0),2)</f>
        <v>0</v>
      </c>
      <c r="AH41" s="59">
        <f>ROUND(IF(AQ41="0",BJ41,0),2)</f>
        <v>0</v>
      </c>
      <c r="AI41" s="46" t="s">
        <v>107</v>
      </c>
      <c r="AJ41" s="59">
        <f>IF(AN41=0,I41,0)</f>
        <v>0</v>
      </c>
      <c r="AK41" s="59">
        <f>IF(AN41=12,I41,0)</f>
        <v>0</v>
      </c>
      <c r="AL41" s="59">
        <f>IF(AN41=21,I41,0)</f>
        <v>0</v>
      </c>
      <c r="AN41" s="59">
        <v>12</v>
      </c>
      <c r="AO41" s="59">
        <f>H41*0</f>
        <v>0</v>
      </c>
      <c r="AP41" s="59">
        <f>H41*(1-0)</f>
        <v>0</v>
      </c>
      <c r="AQ41" s="61" t="s">
        <v>150</v>
      </c>
      <c r="AV41" s="59">
        <f>ROUND(AW41+AX41,2)</f>
        <v>0</v>
      </c>
      <c r="AW41" s="59">
        <f>ROUND(G41*AO41,2)</f>
        <v>0</v>
      </c>
      <c r="AX41" s="59">
        <f>ROUND(G41*AP41,2)</f>
        <v>0</v>
      </c>
      <c r="AY41" s="61" t="s">
        <v>170</v>
      </c>
      <c r="AZ41" s="61" t="s">
        <v>171</v>
      </c>
      <c r="BA41" s="46" t="s">
        <v>118</v>
      </c>
      <c r="BC41" s="59">
        <f>AW41+AX41</f>
        <v>0</v>
      </c>
      <c r="BD41" s="59">
        <f>H41/(100-BE41)*100</f>
        <v>0</v>
      </c>
      <c r="BE41" s="59">
        <v>0</v>
      </c>
      <c r="BF41" s="59">
        <f>L41</f>
        <v>8.0999999999999996E-3</v>
      </c>
      <c r="BH41" s="59">
        <f>G41*AO41</f>
        <v>0</v>
      </c>
      <c r="BI41" s="59">
        <f>G41*AP41</f>
        <v>0</v>
      </c>
      <c r="BJ41" s="59">
        <f>G41*H41</f>
        <v>0</v>
      </c>
      <c r="BK41" s="59"/>
      <c r="BL41" s="59">
        <v>764</v>
      </c>
      <c r="BW41" s="59">
        <v>12</v>
      </c>
      <c r="BX41" s="16" t="s">
        <v>169</v>
      </c>
    </row>
    <row r="42" spans="1:76" x14ac:dyDescent="0.25">
      <c r="A42" s="62"/>
      <c r="D42" s="63" t="s">
        <v>145</v>
      </c>
      <c r="E42" s="63"/>
      <c r="G42" s="64">
        <v>6</v>
      </c>
      <c r="M42" s="65"/>
    </row>
    <row r="43" spans="1:76" ht="15" customHeight="1" x14ac:dyDescent="0.25">
      <c r="A43" s="58" t="s">
        <v>172</v>
      </c>
      <c r="B43" s="18" t="s">
        <v>107</v>
      </c>
      <c r="C43" s="18" t="s">
        <v>173</v>
      </c>
      <c r="D43" s="8" t="s">
        <v>174</v>
      </c>
      <c r="E43" s="8"/>
      <c r="F43" s="18" t="s">
        <v>140</v>
      </c>
      <c r="G43" s="59">
        <f>'Stavební rozpočet'!G38</f>
        <v>6</v>
      </c>
      <c r="H43" s="59">
        <f>'Stavební rozpočet'!H38</f>
        <v>0</v>
      </c>
      <c r="I43" s="59">
        <f>ROUND(G43*H43,2)</f>
        <v>0</v>
      </c>
      <c r="J43" s="59">
        <f>'Stavební rozpočet'!J38</f>
        <v>3.9500000000000004E-3</v>
      </c>
      <c r="K43" s="59">
        <f>'Stavební rozpočet'!K38</f>
        <v>3.9500000000000004E-3</v>
      </c>
      <c r="L43" s="59">
        <f>G43*K43</f>
        <v>2.3700000000000002E-2</v>
      </c>
      <c r="M43" s="60" t="s">
        <v>115</v>
      </c>
      <c r="Z43" s="59">
        <f>ROUND(IF(AQ43="5",BJ43,0),2)</f>
        <v>0</v>
      </c>
      <c r="AB43" s="59">
        <f>ROUND(IF(AQ43="1",BH43,0),2)</f>
        <v>0</v>
      </c>
      <c r="AC43" s="59">
        <f>ROUND(IF(AQ43="1",BI43,0),2)</f>
        <v>0</v>
      </c>
      <c r="AD43" s="59">
        <f>ROUND(IF(AQ43="7",BH43,0),2)</f>
        <v>0</v>
      </c>
      <c r="AE43" s="59">
        <f>ROUND(IF(AQ43="7",BI43,0),2)</f>
        <v>0</v>
      </c>
      <c r="AF43" s="59">
        <f>ROUND(IF(AQ43="2",BH43,0),2)</f>
        <v>0</v>
      </c>
      <c r="AG43" s="59">
        <f>ROUND(IF(AQ43="2",BI43,0),2)</f>
        <v>0</v>
      </c>
      <c r="AH43" s="59">
        <f>ROUND(IF(AQ43="0",BJ43,0),2)</f>
        <v>0</v>
      </c>
      <c r="AI43" s="46" t="s">
        <v>107</v>
      </c>
      <c r="AJ43" s="59">
        <f>IF(AN43=0,I43,0)</f>
        <v>0</v>
      </c>
      <c r="AK43" s="59">
        <f>IF(AN43=12,I43,0)</f>
        <v>0</v>
      </c>
      <c r="AL43" s="59">
        <f>IF(AN43=21,I43,0)</f>
        <v>0</v>
      </c>
      <c r="AN43" s="59">
        <v>12</v>
      </c>
      <c r="AO43" s="59">
        <f>H43*0.565634409</f>
        <v>0</v>
      </c>
      <c r="AP43" s="59">
        <f>H43*(1-0.565634409)</f>
        <v>0</v>
      </c>
      <c r="AQ43" s="61" t="s">
        <v>150</v>
      </c>
      <c r="AV43" s="59">
        <f>ROUND(AW43+AX43,2)</f>
        <v>0</v>
      </c>
      <c r="AW43" s="59">
        <f>ROUND(G43*AO43,2)</f>
        <v>0</v>
      </c>
      <c r="AX43" s="59">
        <f>ROUND(G43*AP43,2)</f>
        <v>0</v>
      </c>
      <c r="AY43" s="61" t="s">
        <v>170</v>
      </c>
      <c r="AZ43" s="61" t="s">
        <v>171</v>
      </c>
      <c r="BA43" s="46" t="s">
        <v>118</v>
      </c>
      <c r="BC43" s="59">
        <f>AW43+AX43</f>
        <v>0</v>
      </c>
      <c r="BD43" s="59">
        <f>H43/(100-BE43)*100</f>
        <v>0</v>
      </c>
      <c r="BE43" s="59">
        <v>0</v>
      </c>
      <c r="BF43" s="59">
        <f>L43</f>
        <v>2.3700000000000002E-2</v>
      </c>
      <c r="BH43" s="59">
        <f>G43*AO43</f>
        <v>0</v>
      </c>
      <c r="BI43" s="59">
        <f>G43*AP43</f>
        <v>0</v>
      </c>
      <c r="BJ43" s="59">
        <f>G43*H43</f>
        <v>0</v>
      </c>
      <c r="BK43" s="59"/>
      <c r="BL43" s="59">
        <v>764</v>
      </c>
      <c r="BW43" s="59">
        <v>12</v>
      </c>
      <c r="BX43" s="16" t="s">
        <v>174</v>
      </c>
    </row>
    <row r="44" spans="1:76" ht="13.5" customHeight="1" x14ac:dyDescent="0.25">
      <c r="A44" s="62"/>
      <c r="D44" s="105" t="s">
        <v>175</v>
      </c>
      <c r="E44" s="105"/>
      <c r="F44" s="105"/>
      <c r="G44" s="105"/>
      <c r="H44" s="105"/>
      <c r="I44" s="105"/>
      <c r="J44" s="105"/>
      <c r="K44" s="105"/>
      <c r="L44" s="105"/>
      <c r="M44" s="105"/>
    </row>
    <row r="45" spans="1:76" x14ac:dyDescent="0.25">
      <c r="A45" s="62"/>
      <c r="D45" s="63" t="s">
        <v>145</v>
      </c>
      <c r="E45" s="63"/>
      <c r="G45" s="64">
        <v>6</v>
      </c>
      <c r="M45" s="65"/>
    </row>
    <row r="46" spans="1:76" ht="15" customHeight="1" x14ac:dyDescent="0.25">
      <c r="A46" s="58" t="s">
        <v>176</v>
      </c>
      <c r="B46" s="18" t="s">
        <v>107</v>
      </c>
      <c r="C46" s="18" t="s">
        <v>177</v>
      </c>
      <c r="D46" s="8" t="s">
        <v>178</v>
      </c>
      <c r="E46" s="8"/>
      <c r="F46" s="18" t="s">
        <v>140</v>
      </c>
      <c r="G46" s="59">
        <f>'Stavební rozpočet'!G40</f>
        <v>34</v>
      </c>
      <c r="H46" s="59">
        <f>'Stavební rozpočet'!H40</f>
        <v>0</v>
      </c>
      <c r="I46" s="59">
        <f>ROUND(G46*H46,2)</f>
        <v>0</v>
      </c>
      <c r="J46" s="59">
        <f>'Stavební rozpočet'!J40</f>
        <v>1.4599999999999999E-3</v>
      </c>
      <c r="K46" s="59">
        <f>'Stavební rozpočet'!K40</f>
        <v>1.4599999999999999E-3</v>
      </c>
      <c r="L46" s="59">
        <f>G46*K46</f>
        <v>4.9639999999999997E-2</v>
      </c>
      <c r="M46" s="60" t="s">
        <v>115</v>
      </c>
      <c r="Z46" s="59">
        <f>ROUND(IF(AQ46="5",BJ46,0),2)</f>
        <v>0</v>
      </c>
      <c r="AB46" s="59">
        <f>ROUND(IF(AQ46="1",BH46,0),2)</f>
        <v>0</v>
      </c>
      <c r="AC46" s="59">
        <f>ROUND(IF(AQ46="1",BI46,0),2)</f>
        <v>0</v>
      </c>
      <c r="AD46" s="59">
        <f>ROUND(IF(AQ46="7",BH46,0),2)</f>
        <v>0</v>
      </c>
      <c r="AE46" s="59">
        <f>ROUND(IF(AQ46="7",BI46,0),2)</f>
        <v>0</v>
      </c>
      <c r="AF46" s="59">
        <f>ROUND(IF(AQ46="2",BH46,0),2)</f>
        <v>0</v>
      </c>
      <c r="AG46" s="59">
        <f>ROUND(IF(AQ46="2",BI46,0),2)</f>
        <v>0</v>
      </c>
      <c r="AH46" s="59">
        <f>ROUND(IF(AQ46="0",BJ46,0),2)</f>
        <v>0</v>
      </c>
      <c r="AI46" s="46" t="s">
        <v>107</v>
      </c>
      <c r="AJ46" s="59">
        <f>IF(AN46=0,I46,0)</f>
        <v>0</v>
      </c>
      <c r="AK46" s="59">
        <f>IF(AN46=12,I46,0)</f>
        <v>0</v>
      </c>
      <c r="AL46" s="59">
        <f>IF(AN46=21,I46,0)</f>
        <v>0</v>
      </c>
      <c r="AN46" s="59">
        <v>12</v>
      </c>
      <c r="AO46" s="59">
        <f>H46*0.113897883</f>
        <v>0</v>
      </c>
      <c r="AP46" s="59">
        <f>H46*(1-0.113897883)</f>
        <v>0</v>
      </c>
      <c r="AQ46" s="61" t="s">
        <v>150</v>
      </c>
      <c r="AV46" s="59">
        <f>ROUND(AW46+AX46,2)</f>
        <v>0</v>
      </c>
      <c r="AW46" s="59">
        <f>ROUND(G46*AO46,2)</f>
        <v>0</v>
      </c>
      <c r="AX46" s="59">
        <f>ROUND(G46*AP46,2)</f>
        <v>0</v>
      </c>
      <c r="AY46" s="61" t="s">
        <v>170</v>
      </c>
      <c r="AZ46" s="61" t="s">
        <v>171</v>
      </c>
      <c r="BA46" s="46" t="s">
        <v>118</v>
      </c>
      <c r="BC46" s="59">
        <f>AW46+AX46</f>
        <v>0</v>
      </c>
      <c r="BD46" s="59">
        <f>H46/(100-BE46)*100</f>
        <v>0</v>
      </c>
      <c r="BE46" s="59">
        <v>0</v>
      </c>
      <c r="BF46" s="59">
        <f>L46</f>
        <v>4.9639999999999997E-2</v>
      </c>
      <c r="BH46" s="59">
        <f>G46*AO46</f>
        <v>0</v>
      </c>
      <c r="BI46" s="59">
        <f>G46*AP46</f>
        <v>0</v>
      </c>
      <c r="BJ46" s="59">
        <f>G46*H46</f>
        <v>0</v>
      </c>
      <c r="BK46" s="59"/>
      <c r="BL46" s="59">
        <v>764</v>
      </c>
      <c r="BW46" s="59">
        <v>12</v>
      </c>
      <c r="BX46" s="16" t="s">
        <v>178</v>
      </c>
    </row>
    <row r="47" spans="1:76" ht="13.5" customHeight="1" x14ac:dyDescent="0.25">
      <c r="A47" s="62"/>
      <c r="D47" s="105" t="s">
        <v>179</v>
      </c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76" x14ac:dyDescent="0.25">
      <c r="A48" s="62"/>
      <c r="D48" s="63" t="s">
        <v>180</v>
      </c>
      <c r="E48" s="63"/>
      <c r="G48" s="64">
        <v>34</v>
      </c>
      <c r="M48" s="65"/>
    </row>
    <row r="49" spans="1:76" ht="15" customHeight="1" x14ac:dyDescent="0.25">
      <c r="A49" s="54"/>
      <c r="B49" s="55" t="s">
        <v>107</v>
      </c>
      <c r="C49" s="55" t="s">
        <v>181</v>
      </c>
      <c r="D49" s="104" t="s">
        <v>182</v>
      </c>
      <c r="E49" s="104"/>
      <c r="F49" s="56" t="s">
        <v>88</v>
      </c>
      <c r="G49" s="56" t="s">
        <v>88</v>
      </c>
      <c r="H49" s="56" t="s">
        <v>88</v>
      </c>
      <c r="I49" s="39">
        <f>SUM(I50:I74)</f>
        <v>0</v>
      </c>
      <c r="J49" s="46"/>
      <c r="K49" s="46"/>
      <c r="L49" s="39">
        <f>SUM(L50:L74)</f>
        <v>1.8672886000000002</v>
      </c>
      <c r="M49" s="57"/>
      <c r="AI49" s="46" t="s">
        <v>107</v>
      </c>
      <c r="AS49" s="39">
        <f>SUM(AJ50:AJ74)</f>
        <v>0</v>
      </c>
      <c r="AT49" s="39">
        <f>SUM(AK50:AK74)</f>
        <v>0</v>
      </c>
      <c r="AU49" s="39">
        <f>SUM(AL50:AL74)</f>
        <v>0</v>
      </c>
    </row>
    <row r="50" spans="1:76" ht="15" customHeight="1" x14ac:dyDescent="0.25">
      <c r="A50" s="58" t="s">
        <v>183</v>
      </c>
      <c r="B50" s="18" t="s">
        <v>107</v>
      </c>
      <c r="C50" s="18" t="s">
        <v>184</v>
      </c>
      <c r="D50" s="8" t="s">
        <v>185</v>
      </c>
      <c r="E50" s="8"/>
      <c r="F50" s="18" t="s">
        <v>186</v>
      </c>
      <c r="G50" s="59">
        <f>'Stavební rozpočet'!G43</f>
        <v>2</v>
      </c>
      <c r="H50" s="59">
        <f>'Stavební rozpočet'!H43</f>
        <v>0</v>
      </c>
      <c r="I50" s="59">
        <f>ROUND(G50*H50,2)</f>
        <v>0</v>
      </c>
      <c r="J50" s="59">
        <f>'Stavební rozpočet'!J43</f>
        <v>0.04</v>
      </c>
      <c r="K50" s="59">
        <f>'Stavební rozpočet'!K43</f>
        <v>0.04</v>
      </c>
      <c r="L50" s="59">
        <f>G50*K50</f>
        <v>0.08</v>
      </c>
      <c r="M50" s="60"/>
      <c r="Z50" s="59">
        <f>ROUND(IF(AQ50="5",BJ50,0),2)</f>
        <v>0</v>
      </c>
      <c r="AB50" s="59">
        <f>ROUND(IF(AQ50="1",BH50,0),2)</f>
        <v>0</v>
      </c>
      <c r="AC50" s="59">
        <f>ROUND(IF(AQ50="1",BI50,0),2)</f>
        <v>0</v>
      </c>
      <c r="AD50" s="59">
        <f>ROUND(IF(AQ50="7",BH50,0),2)</f>
        <v>0</v>
      </c>
      <c r="AE50" s="59">
        <f>ROUND(IF(AQ50="7",BI50,0),2)</f>
        <v>0</v>
      </c>
      <c r="AF50" s="59">
        <f>ROUND(IF(AQ50="2",BH50,0),2)</f>
        <v>0</v>
      </c>
      <c r="AG50" s="59">
        <f>ROUND(IF(AQ50="2",BI50,0),2)</f>
        <v>0</v>
      </c>
      <c r="AH50" s="59">
        <f>ROUND(IF(AQ50="0",BJ50,0),2)</f>
        <v>0</v>
      </c>
      <c r="AI50" s="46" t="s">
        <v>107</v>
      </c>
      <c r="AJ50" s="59">
        <f>IF(AN50=0,I50,0)</f>
        <v>0</v>
      </c>
      <c r="AK50" s="59">
        <f>IF(AN50=12,I50,0)</f>
        <v>0</v>
      </c>
      <c r="AL50" s="59">
        <f>IF(AN50=21,I50,0)</f>
        <v>0</v>
      </c>
      <c r="AN50" s="59">
        <v>12</v>
      </c>
      <c r="AO50" s="59">
        <f>H50*0</f>
        <v>0</v>
      </c>
      <c r="AP50" s="59">
        <f>H50*(1-0)</f>
        <v>0</v>
      </c>
      <c r="AQ50" s="61" t="s">
        <v>150</v>
      </c>
      <c r="AV50" s="59">
        <f>ROUND(AW50+AX50,2)</f>
        <v>0</v>
      </c>
      <c r="AW50" s="59">
        <f>ROUND(G50*AO50,2)</f>
        <v>0</v>
      </c>
      <c r="AX50" s="59">
        <f>ROUND(G50*AP50,2)</f>
        <v>0</v>
      </c>
      <c r="AY50" s="61" t="s">
        <v>187</v>
      </c>
      <c r="AZ50" s="61" t="s">
        <v>171</v>
      </c>
      <c r="BA50" s="46" t="s">
        <v>118</v>
      </c>
      <c r="BC50" s="59">
        <f>AW50+AX50</f>
        <v>0</v>
      </c>
      <c r="BD50" s="59">
        <f>H50/(100-BE50)*100</f>
        <v>0</v>
      </c>
      <c r="BE50" s="59">
        <v>0</v>
      </c>
      <c r="BF50" s="59">
        <f>L50</f>
        <v>0.08</v>
      </c>
      <c r="BH50" s="59">
        <f>G50*AO50</f>
        <v>0</v>
      </c>
      <c r="BI50" s="59">
        <f>G50*AP50</f>
        <v>0</v>
      </c>
      <c r="BJ50" s="59">
        <f>G50*H50</f>
        <v>0</v>
      </c>
      <c r="BK50" s="59"/>
      <c r="BL50" s="59">
        <v>766</v>
      </c>
      <c r="BW50" s="59">
        <v>12</v>
      </c>
      <c r="BX50" s="16" t="s">
        <v>185</v>
      </c>
    </row>
    <row r="51" spans="1:76" ht="13.5" customHeight="1" x14ac:dyDescent="0.25">
      <c r="A51" s="62"/>
      <c r="D51" s="105" t="s">
        <v>188</v>
      </c>
      <c r="E51" s="105"/>
      <c r="F51" s="105"/>
      <c r="G51" s="105"/>
      <c r="H51" s="105"/>
      <c r="I51" s="105"/>
      <c r="J51" s="105"/>
      <c r="K51" s="105"/>
      <c r="L51" s="105"/>
      <c r="M51" s="105"/>
    </row>
    <row r="52" spans="1:76" x14ac:dyDescent="0.25">
      <c r="A52" s="62"/>
      <c r="D52" s="63" t="s">
        <v>189</v>
      </c>
      <c r="E52" s="63"/>
      <c r="G52" s="64">
        <v>2</v>
      </c>
      <c r="M52" s="65"/>
    </row>
    <row r="53" spans="1:76" ht="15" customHeight="1" x14ac:dyDescent="0.25">
      <c r="A53" s="58" t="s">
        <v>190</v>
      </c>
      <c r="B53" s="18" t="s">
        <v>107</v>
      </c>
      <c r="C53" s="18" t="s">
        <v>191</v>
      </c>
      <c r="D53" s="8" t="s">
        <v>192</v>
      </c>
      <c r="E53" s="8"/>
      <c r="F53" s="18" t="s">
        <v>114</v>
      </c>
      <c r="G53" s="59">
        <f>'Stavební rozpočet'!G45</f>
        <v>41.58</v>
      </c>
      <c r="H53" s="59">
        <f>'Stavební rozpočet'!H45</f>
        <v>0</v>
      </c>
      <c r="I53" s="59">
        <f>ROUND(G53*H53,2)</f>
        <v>0</v>
      </c>
      <c r="J53" s="59">
        <f>'Stavební rozpočet'!J45</f>
        <v>4.0370000000000003E-2</v>
      </c>
      <c r="K53" s="59">
        <f>'Stavební rozpočet'!K45</f>
        <v>4.0370000000000003E-2</v>
      </c>
      <c r="L53" s="59">
        <f>G53*K53</f>
        <v>1.6785846</v>
      </c>
      <c r="M53" s="60" t="s">
        <v>115</v>
      </c>
      <c r="Z53" s="59">
        <f>ROUND(IF(AQ53="5",BJ53,0),2)</f>
        <v>0</v>
      </c>
      <c r="AB53" s="59">
        <f>ROUND(IF(AQ53="1",BH53,0),2)</f>
        <v>0</v>
      </c>
      <c r="AC53" s="59">
        <f>ROUND(IF(AQ53="1",BI53,0),2)</f>
        <v>0</v>
      </c>
      <c r="AD53" s="59">
        <f>ROUND(IF(AQ53="7",BH53,0),2)</f>
        <v>0</v>
      </c>
      <c r="AE53" s="59">
        <f>ROUND(IF(AQ53="7",BI53,0),2)</f>
        <v>0</v>
      </c>
      <c r="AF53" s="59">
        <f>ROUND(IF(AQ53="2",BH53,0),2)</f>
        <v>0</v>
      </c>
      <c r="AG53" s="59">
        <f>ROUND(IF(AQ53="2",BI53,0),2)</f>
        <v>0</v>
      </c>
      <c r="AH53" s="59">
        <f>ROUND(IF(AQ53="0",BJ53,0),2)</f>
        <v>0</v>
      </c>
      <c r="AI53" s="46" t="s">
        <v>107</v>
      </c>
      <c r="AJ53" s="59">
        <f>IF(AN53=0,I53,0)</f>
        <v>0</v>
      </c>
      <c r="AK53" s="59">
        <f>IF(AN53=12,I53,0)</f>
        <v>0</v>
      </c>
      <c r="AL53" s="59">
        <f>IF(AN53=21,I53,0)</f>
        <v>0</v>
      </c>
      <c r="AN53" s="59">
        <v>12</v>
      </c>
      <c r="AO53" s="59">
        <f>H53*0.920036764</f>
        <v>0</v>
      </c>
      <c r="AP53" s="59">
        <f>H53*(1-0.920036764)</f>
        <v>0</v>
      </c>
      <c r="AQ53" s="61" t="s">
        <v>150</v>
      </c>
      <c r="AV53" s="59">
        <f>ROUND(AW53+AX53,2)</f>
        <v>0</v>
      </c>
      <c r="AW53" s="59">
        <f>ROUND(G53*AO53,2)</f>
        <v>0</v>
      </c>
      <c r="AX53" s="59">
        <f>ROUND(G53*AP53,2)</f>
        <v>0</v>
      </c>
      <c r="AY53" s="61" t="s">
        <v>187</v>
      </c>
      <c r="AZ53" s="61" t="s">
        <v>171</v>
      </c>
      <c r="BA53" s="46" t="s">
        <v>118</v>
      </c>
      <c r="BC53" s="59">
        <f>AW53+AX53</f>
        <v>0</v>
      </c>
      <c r="BD53" s="59">
        <f>H53/(100-BE53)*100</f>
        <v>0</v>
      </c>
      <c r="BE53" s="59">
        <v>0</v>
      </c>
      <c r="BF53" s="59">
        <f>L53</f>
        <v>1.6785846</v>
      </c>
      <c r="BH53" s="59">
        <f>G53*AO53</f>
        <v>0</v>
      </c>
      <c r="BI53" s="59">
        <f>G53*AP53</f>
        <v>0</v>
      </c>
      <c r="BJ53" s="59">
        <f>G53*H53</f>
        <v>0</v>
      </c>
      <c r="BK53" s="59"/>
      <c r="BL53" s="59">
        <v>766</v>
      </c>
      <c r="BW53" s="59">
        <v>12</v>
      </c>
      <c r="BX53" s="16" t="s">
        <v>192</v>
      </c>
    </row>
    <row r="54" spans="1:76" ht="13.5" customHeight="1" x14ac:dyDescent="0.25">
      <c r="A54" s="62"/>
      <c r="D54" s="105" t="s">
        <v>193</v>
      </c>
      <c r="E54" s="105"/>
      <c r="F54" s="105"/>
      <c r="G54" s="105"/>
      <c r="H54" s="105"/>
      <c r="I54" s="105"/>
      <c r="J54" s="105"/>
      <c r="K54" s="105"/>
      <c r="L54" s="105"/>
      <c r="M54" s="105"/>
    </row>
    <row r="55" spans="1:76" x14ac:dyDescent="0.25">
      <c r="A55" s="62"/>
      <c r="D55" s="63" t="s">
        <v>194</v>
      </c>
      <c r="E55" s="63"/>
      <c r="G55" s="64">
        <v>2.25</v>
      </c>
      <c r="M55" s="65"/>
    </row>
    <row r="56" spans="1:76" x14ac:dyDescent="0.25">
      <c r="A56" s="62"/>
      <c r="D56" s="63" t="s">
        <v>195</v>
      </c>
      <c r="E56" s="63"/>
      <c r="G56" s="64">
        <v>17.28</v>
      </c>
      <c r="M56" s="65"/>
    </row>
    <row r="57" spans="1:76" x14ac:dyDescent="0.25">
      <c r="A57" s="62"/>
      <c r="D57" s="63" t="s">
        <v>196</v>
      </c>
      <c r="E57" s="63"/>
      <c r="G57" s="64">
        <v>3.24</v>
      </c>
      <c r="M57" s="65"/>
    </row>
    <row r="58" spans="1:76" x14ac:dyDescent="0.25">
      <c r="A58" s="62"/>
      <c r="D58" s="63" t="s">
        <v>197</v>
      </c>
      <c r="E58" s="63"/>
      <c r="G58" s="64">
        <v>5.4</v>
      </c>
      <c r="M58" s="65"/>
    </row>
    <row r="59" spans="1:76" x14ac:dyDescent="0.25">
      <c r="A59" s="62"/>
      <c r="D59" s="63" t="s">
        <v>198</v>
      </c>
      <c r="E59" s="63"/>
      <c r="G59" s="64">
        <v>3.15</v>
      </c>
      <c r="M59" s="65"/>
    </row>
    <row r="60" spans="1:76" x14ac:dyDescent="0.25">
      <c r="A60" s="62"/>
      <c r="D60" s="63" t="s">
        <v>199</v>
      </c>
      <c r="E60" s="63"/>
      <c r="G60" s="64">
        <v>7.56</v>
      </c>
      <c r="M60" s="65"/>
    </row>
    <row r="61" spans="1:76" x14ac:dyDescent="0.25">
      <c r="A61" s="62"/>
      <c r="D61" s="63" t="s">
        <v>200</v>
      </c>
      <c r="E61" s="63"/>
      <c r="G61" s="64">
        <v>2.7</v>
      </c>
      <c r="M61" s="65"/>
    </row>
    <row r="62" spans="1:76" ht="15" customHeight="1" x14ac:dyDescent="0.25">
      <c r="A62" s="58" t="s">
        <v>201</v>
      </c>
      <c r="B62" s="18" t="s">
        <v>107</v>
      </c>
      <c r="C62" s="18" t="s">
        <v>202</v>
      </c>
      <c r="D62" s="8" t="s">
        <v>203</v>
      </c>
      <c r="E62" s="8"/>
      <c r="F62" s="18" t="s">
        <v>186</v>
      </c>
      <c r="G62" s="59">
        <f>'Stavební rozpočet'!G53</f>
        <v>1</v>
      </c>
      <c r="H62" s="59">
        <f>'Stavební rozpočet'!H53</f>
        <v>0</v>
      </c>
      <c r="I62" s="59">
        <f>ROUND(G62*H62,2)</f>
        <v>0</v>
      </c>
      <c r="J62" s="59">
        <f>'Stavební rozpočet'!J53</f>
        <v>0.1</v>
      </c>
      <c r="K62" s="59">
        <f>'Stavební rozpočet'!K53</f>
        <v>0.1</v>
      </c>
      <c r="L62" s="59">
        <f>G62*K62</f>
        <v>0.1</v>
      </c>
      <c r="M62" s="60"/>
      <c r="Z62" s="59">
        <f>ROUND(IF(AQ62="5",BJ62,0),2)</f>
        <v>0</v>
      </c>
      <c r="AB62" s="59">
        <f>ROUND(IF(AQ62="1",BH62,0),2)</f>
        <v>0</v>
      </c>
      <c r="AC62" s="59">
        <f>ROUND(IF(AQ62="1",BI62,0),2)</f>
        <v>0</v>
      </c>
      <c r="AD62" s="59">
        <f>ROUND(IF(AQ62="7",BH62,0),2)</f>
        <v>0</v>
      </c>
      <c r="AE62" s="59">
        <f>ROUND(IF(AQ62="7",BI62,0),2)</f>
        <v>0</v>
      </c>
      <c r="AF62" s="59">
        <f>ROUND(IF(AQ62="2",BH62,0),2)</f>
        <v>0</v>
      </c>
      <c r="AG62" s="59">
        <f>ROUND(IF(AQ62="2",BI62,0),2)</f>
        <v>0</v>
      </c>
      <c r="AH62" s="59">
        <f>ROUND(IF(AQ62="0",BJ62,0),2)</f>
        <v>0</v>
      </c>
      <c r="AI62" s="46" t="s">
        <v>107</v>
      </c>
      <c r="AJ62" s="59">
        <f>IF(AN62=0,I62,0)</f>
        <v>0</v>
      </c>
      <c r="AK62" s="59">
        <f>IF(AN62=12,I62,0)</f>
        <v>0</v>
      </c>
      <c r="AL62" s="59">
        <f>IF(AN62=21,I62,0)</f>
        <v>0</v>
      </c>
      <c r="AN62" s="59">
        <v>12</v>
      </c>
      <c r="AO62" s="59">
        <f>H62*0</f>
        <v>0</v>
      </c>
      <c r="AP62" s="59">
        <f>H62*(1-0)</f>
        <v>0</v>
      </c>
      <c r="AQ62" s="61" t="s">
        <v>150</v>
      </c>
      <c r="AV62" s="59">
        <f>ROUND(AW62+AX62,2)</f>
        <v>0</v>
      </c>
      <c r="AW62" s="59">
        <f>ROUND(G62*AO62,2)</f>
        <v>0</v>
      </c>
      <c r="AX62" s="59">
        <f>ROUND(G62*AP62,2)</f>
        <v>0</v>
      </c>
      <c r="AY62" s="61" t="s">
        <v>187</v>
      </c>
      <c r="AZ62" s="61" t="s">
        <v>171</v>
      </c>
      <c r="BA62" s="46" t="s">
        <v>118</v>
      </c>
      <c r="BC62" s="59">
        <f>AW62+AX62</f>
        <v>0</v>
      </c>
      <c r="BD62" s="59">
        <f>H62/(100-BE62)*100</f>
        <v>0</v>
      </c>
      <c r="BE62" s="59">
        <v>0</v>
      </c>
      <c r="BF62" s="59">
        <f>L62</f>
        <v>0.1</v>
      </c>
      <c r="BH62" s="59">
        <f>G62*AO62</f>
        <v>0</v>
      </c>
      <c r="BI62" s="59">
        <f>G62*AP62</f>
        <v>0</v>
      </c>
      <c r="BJ62" s="59">
        <f>G62*H62</f>
        <v>0</v>
      </c>
      <c r="BK62" s="59"/>
      <c r="BL62" s="59">
        <v>766</v>
      </c>
      <c r="BW62" s="59">
        <v>12</v>
      </c>
      <c r="BX62" s="16" t="s">
        <v>203</v>
      </c>
    </row>
    <row r="63" spans="1:76" ht="13.5" customHeight="1" x14ac:dyDescent="0.25">
      <c r="A63" s="62"/>
      <c r="D63" s="105" t="s">
        <v>188</v>
      </c>
      <c r="E63" s="105"/>
      <c r="F63" s="105"/>
      <c r="G63" s="105"/>
      <c r="H63" s="105"/>
      <c r="I63" s="105"/>
      <c r="J63" s="105"/>
      <c r="K63" s="105"/>
      <c r="L63" s="105"/>
      <c r="M63" s="105"/>
    </row>
    <row r="64" spans="1:76" x14ac:dyDescent="0.25">
      <c r="A64" s="62"/>
      <c r="D64" s="63" t="s">
        <v>204</v>
      </c>
      <c r="E64" s="63"/>
      <c r="G64" s="64">
        <v>1</v>
      </c>
      <c r="M64" s="65"/>
    </row>
    <row r="65" spans="1:76" ht="15" customHeight="1" x14ac:dyDescent="0.25">
      <c r="A65" s="58" t="s">
        <v>205</v>
      </c>
      <c r="B65" s="18" t="s">
        <v>107</v>
      </c>
      <c r="C65" s="18" t="s">
        <v>206</v>
      </c>
      <c r="D65" s="8" t="s">
        <v>207</v>
      </c>
      <c r="E65" s="8"/>
      <c r="F65" s="18" t="s">
        <v>140</v>
      </c>
      <c r="G65" s="59">
        <f>'Stavební rozpočet'!G55</f>
        <v>116.5</v>
      </c>
      <c r="H65" s="59">
        <f>'Stavební rozpočet'!H55</f>
        <v>0</v>
      </c>
      <c r="I65" s="59">
        <f>ROUND(G65*H65,2)</f>
        <v>0</v>
      </c>
      <c r="J65" s="59">
        <f>'Stavební rozpočet'!J55</f>
        <v>4.0000000000000003E-5</v>
      </c>
      <c r="K65" s="59">
        <f>'Stavební rozpočet'!K55</f>
        <v>4.0000000000000003E-5</v>
      </c>
      <c r="L65" s="59">
        <f>G65*K65</f>
        <v>4.6600000000000001E-3</v>
      </c>
      <c r="M65" s="60" t="s">
        <v>115</v>
      </c>
      <c r="Z65" s="59">
        <f>ROUND(IF(AQ65="5",BJ65,0),2)</f>
        <v>0</v>
      </c>
      <c r="AB65" s="59">
        <f>ROUND(IF(AQ65="1",BH65,0),2)</f>
        <v>0</v>
      </c>
      <c r="AC65" s="59">
        <f>ROUND(IF(AQ65="1",BI65,0),2)</f>
        <v>0</v>
      </c>
      <c r="AD65" s="59">
        <f>ROUND(IF(AQ65="7",BH65,0),2)</f>
        <v>0</v>
      </c>
      <c r="AE65" s="59">
        <f>ROUND(IF(AQ65="7",BI65,0),2)</f>
        <v>0</v>
      </c>
      <c r="AF65" s="59">
        <f>ROUND(IF(AQ65="2",BH65,0),2)</f>
        <v>0</v>
      </c>
      <c r="AG65" s="59">
        <f>ROUND(IF(AQ65="2",BI65,0),2)</f>
        <v>0</v>
      </c>
      <c r="AH65" s="59">
        <f>ROUND(IF(AQ65="0",BJ65,0),2)</f>
        <v>0</v>
      </c>
      <c r="AI65" s="46" t="s">
        <v>107</v>
      </c>
      <c r="AJ65" s="59">
        <f>IF(AN65=0,I65,0)</f>
        <v>0</v>
      </c>
      <c r="AK65" s="59">
        <f>IF(AN65=12,I65,0)</f>
        <v>0</v>
      </c>
      <c r="AL65" s="59">
        <f>IF(AN65=21,I65,0)</f>
        <v>0</v>
      </c>
      <c r="AN65" s="59">
        <v>12</v>
      </c>
      <c r="AO65" s="59">
        <f>H65*0.412553191</f>
        <v>0</v>
      </c>
      <c r="AP65" s="59">
        <f>H65*(1-0.412553191)</f>
        <v>0</v>
      </c>
      <c r="AQ65" s="61" t="s">
        <v>150</v>
      </c>
      <c r="AV65" s="59">
        <f>ROUND(AW65+AX65,2)</f>
        <v>0</v>
      </c>
      <c r="AW65" s="59">
        <f>ROUND(G65*AO65,2)</f>
        <v>0</v>
      </c>
      <c r="AX65" s="59">
        <f>ROUND(G65*AP65,2)</f>
        <v>0</v>
      </c>
      <c r="AY65" s="61" t="s">
        <v>187</v>
      </c>
      <c r="AZ65" s="61" t="s">
        <v>171</v>
      </c>
      <c r="BA65" s="46" t="s">
        <v>118</v>
      </c>
      <c r="BC65" s="59">
        <f>AW65+AX65</f>
        <v>0</v>
      </c>
      <c r="BD65" s="59">
        <f>H65/(100-BE65)*100</f>
        <v>0</v>
      </c>
      <c r="BE65" s="59">
        <v>0</v>
      </c>
      <c r="BF65" s="59">
        <f>L65</f>
        <v>4.6600000000000001E-3</v>
      </c>
      <c r="BH65" s="59">
        <f>G65*AO65</f>
        <v>0</v>
      </c>
      <c r="BI65" s="59">
        <f>G65*AP65</f>
        <v>0</v>
      </c>
      <c r="BJ65" s="59">
        <f>G65*H65</f>
        <v>0</v>
      </c>
      <c r="BK65" s="59"/>
      <c r="BL65" s="59">
        <v>766</v>
      </c>
      <c r="BW65" s="59">
        <v>12</v>
      </c>
      <c r="BX65" s="16" t="s">
        <v>207</v>
      </c>
    </row>
    <row r="66" spans="1:76" ht="13.5" customHeight="1" x14ac:dyDescent="0.25">
      <c r="A66" s="62"/>
      <c r="D66" s="105" t="s">
        <v>208</v>
      </c>
      <c r="E66" s="105"/>
      <c r="F66" s="105"/>
      <c r="G66" s="105"/>
      <c r="H66" s="105"/>
      <c r="I66" s="105"/>
      <c r="J66" s="105"/>
      <c r="K66" s="105"/>
      <c r="L66" s="105"/>
      <c r="M66" s="105"/>
    </row>
    <row r="67" spans="1:76" x14ac:dyDescent="0.25">
      <c r="A67" s="62"/>
      <c r="D67" s="63" t="s">
        <v>209</v>
      </c>
      <c r="E67" s="63"/>
      <c r="G67" s="64">
        <v>116.5</v>
      </c>
      <c r="M67" s="65"/>
    </row>
    <row r="68" spans="1:76" ht="15" customHeight="1" x14ac:dyDescent="0.25">
      <c r="A68" s="58" t="s">
        <v>210</v>
      </c>
      <c r="B68" s="18" t="s">
        <v>107</v>
      </c>
      <c r="C68" s="18" t="s">
        <v>211</v>
      </c>
      <c r="D68" s="8" t="s">
        <v>212</v>
      </c>
      <c r="E68" s="8"/>
      <c r="F68" s="18" t="s">
        <v>140</v>
      </c>
      <c r="G68" s="59">
        <f>'Stavební rozpočet'!G57</f>
        <v>33.700000000000003</v>
      </c>
      <c r="H68" s="59">
        <f>'Stavební rozpočet'!H57</f>
        <v>0</v>
      </c>
      <c r="I68" s="59">
        <f>ROUND(G68*H68,2)</f>
        <v>0</v>
      </c>
      <c r="J68" s="59">
        <f>'Stavební rozpočet'!J57</f>
        <v>1.2E-4</v>
      </c>
      <c r="K68" s="59">
        <f>'Stavební rozpočet'!K57</f>
        <v>1.2E-4</v>
      </c>
      <c r="L68" s="59">
        <f>G68*K68</f>
        <v>4.0440000000000007E-3</v>
      </c>
      <c r="M68" s="60" t="s">
        <v>115</v>
      </c>
      <c r="Z68" s="59">
        <f>ROUND(IF(AQ68="5",BJ68,0),2)</f>
        <v>0</v>
      </c>
      <c r="AB68" s="59">
        <f>ROUND(IF(AQ68="1",BH68,0),2)</f>
        <v>0</v>
      </c>
      <c r="AC68" s="59">
        <f>ROUND(IF(AQ68="1",BI68,0),2)</f>
        <v>0</v>
      </c>
      <c r="AD68" s="59">
        <f>ROUND(IF(AQ68="7",BH68,0),2)</f>
        <v>0</v>
      </c>
      <c r="AE68" s="59">
        <f>ROUND(IF(AQ68="7",BI68,0),2)</f>
        <v>0</v>
      </c>
      <c r="AF68" s="59">
        <f>ROUND(IF(AQ68="2",BH68,0),2)</f>
        <v>0</v>
      </c>
      <c r="AG68" s="59">
        <f>ROUND(IF(AQ68="2",BI68,0),2)</f>
        <v>0</v>
      </c>
      <c r="AH68" s="59">
        <f>ROUND(IF(AQ68="0",BJ68,0),2)</f>
        <v>0</v>
      </c>
      <c r="AI68" s="46" t="s">
        <v>107</v>
      </c>
      <c r="AJ68" s="59">
        <f>IF(AN68=0,I68,0)</f>
        <v>0</v>
      </c>
      <c r="AK68" s="59">
        <f>IF(AN68=12,I68,0)</f>
        <v>0</v>
      </c>
      <c r="AL68" s="59">
        <f>IF(AN68=21,I68,0)</f>
        <v>0</v>
      </c>
      <c r="AN68" s="59">
        <v>12</v>
      </c>
      <c r="AO68" s="59">
        <f>H68*0.319457101</f>
        <v>0</v>
      </c>
      <c r="AP68" s="59">
        <f>H68*(1-0.319457101)</f>
        <v>0</v>
      </c>
      <c r="AQ68" s="61" t="s">
        <v>150</v>
      </c>
      <c r="AV68" s="59">
        <f>ROUND(AW68+AX68,2)</f>
        <v>0</v>
      </c>
      <c r="AW68" s="59">
        <f>ROUND(G68*AO68,2)</f>
        <v>0</v>
      </c>
      <c r="AX68" s="59">
        <f>ROUND(G68*AP68,2)</f>
        <v>0</v>
      </c>
      <c r="AY68" s="61" t="s">
        <v>187</v>
      </c>
      <c r="AZ68" s="61" t="s">
        <v>171</v>
      </c>
      <c r="BA68" s="46" t="s">
        <v>118</v>
      </c>
      <c r="BC68" s="59">
        <f>AW68+AX68</f>
        <v>0</v>
      </c>
      <c r="BD68" s="59">
        <f>H68/(100-BE68)*100</f>
        <v>0</v>
      </c>
      <c r="BE68" s="59">
        <v>0</v>
      </c>
      <c r="BF68" s="59">
        <f>L68</f>
        <v>4.0440000000000007E-3</v>
      </c>
      <c r="BH68" s="59">
        <f>G68*AO68</f>
        <v>0</v>
      </c>
      <c r="BI68" s="59">
        <f>G68*AP68</f>
        <v>0</v>
      </c>
      <c r="BJ68" s="59">
        <f>G68*H68</f>
        <v>0</v>
      </c>
      <c r="BK68" s="59"/>
      <c r="BL68" s="59">
        <v>766</v>
      </c>
      <c r="BW68" s="59">
        <v>12</v>
      </c>
      <c r="BX68" s="16" t="s">
        <v>212</v>
      </c>
    </row>
    <row r="69" spans="1:76" ht="13.5" customHeight="1" x14ac:dyDescent="0.25">
      <c r="A69" s="62"/>
      <c r="D69" s="105" t="s">
        <v>213</v>
      </c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76" x14ac:dyDescent="0.25">
      <c r="A70" s="62"/>
      <c r="D70" s="63" t="s">
        <v>214</v>
      </c>
      <c r="E70" s="63"/>
      <c r="G70" s="64">
        <v>33.700000000000003</v>
      </c>
      <c r="M70" s="65"/>
    </row>
    <row r="71" spans="1:76" ht="15" customHeight="1" x14ac:dyDescent="0.25">
      <c r="A71" s="58" t="s">
        <v>215</v>
      </c>
      <c r="B71" s="18" t="s">
        <v>107</v>
      </c>
      <c r="C71" s="18" t="s">
        <v>216</v>
      </c>
      <c r="D71" s="8" t="s">
        <v>217</v>
      </c>
      <c r="E71" s="8"/>
      <c r="F71" s="18" t="s">
        <v>218</v>
      </c>
      <c r="G71" s="59">
        <f>'Stavební rozpočet'!G59</f>
        <v>23</v>
      </c>
      <c r="H71" s="59">
        <f>'Stavební rozpočet'!H59</f>
        <v>0</v>
      </c>
      <c r="I71" s="59">
        <f>ROUND(G71*H71,2)</f>
        <v>0</v>
      </c>
      <c r="J71" s="59">
        <f>'Stavební rozpočet'!J59</f>
        <v>0</v>
      </c>
      <c r="K71" s="59">
        <f>'Stavební rozpočet'!K59</f>
        <v>0</v>
      </c>
      <c r="L71" s="59">
        <f>G71*K71</f>
        <v>0</v>
      </c>
      <c r="M71" s="60"/>
      <c r="Z71" s="59">
        <f>ROUND(IF(AQ71="5",BJ71,0),2)</f>
        <v>0</v>
      </c>
      <c r="AB71" s="59">
        <f>ROUND(IF(AQ71="1",BH71,0),2)</f>
        <v>0</v>
      </c>
      <c r="AC71" s="59">
        <f>ROUND(IF(AQ71="1",BI71,0),2)</f>
        <v>0</v>
      </c>
      <c r="AD71" s="59">
        <f>ROUND(IF(AQ71="7",BH71,0),2)</f>
        <v>0</v>
      </c>
      <c r="AE71" s="59">
        <f>ROUND(IF(AQ71="7",BI71,0),2)</f>
        <v>0</v>
      </c>
      <c r="AF71" s="59">
        <f>ROUND(IF(AQ71="2",BH71,0),2)</f>
        <v>0</v>
      </c>
      <c r="AG71" s="59">
        <f>ROUND(IF(AQ71="2",BI71,0),2)</f>
        <v>0</v>
      </c>
      <c r="AH71" s="59">
        <f>ROUND(IF(AQ71="0",BJ71,0),2)</f>
        <v>0</v>
      </c>
      <c r="AI71" s="46" t="s">
        <v>107</v>
      </c>
      <c r="AJ71" s="59">
        <f>IF(AN71=0,I71,0)</f>
        <v>0</v>
      </c>
      <c r="AK71" s="59">
        <f>IF(AN71=12,I71,0)</f>
        <v>0</v>
      </c>
      <c r="AL71" s="59">
        <f>IF(AN71=21,I71,0)</f>
        <v>0</v>
      </c>
      <c r="AN71" s="59">
        <v>12</v>
      </c>
      <c r="AO71" s="59">
        <f>H71*0</f>
        <v>0</v>
      </c>
      <c r="AP71" s="59">
        <f>H71*(1-0)</f>
        <v>0</v>
      </c>
      <c r="AQ71" s="61" t="s">
        <v>150</v>
      </c>
      <c r="AV71" s="59">
        <f>ROUND(AW71+AX71,2)</f>
        <v>0</v>
      </c>
      <c r="AW71" s="59">
        <f>ROUND(G71*AO71,2)</f>
        <v>0</v>
      </c>
      <c r="AX71" s="59">
        <f>ROUND(G71*AP71,2)</f>
        <v>0</v>
      </c>
      <c r="AY71" s="61" t="s">
        <v>187</v>
      </c>
      <c r="AZ71" s="61" t="s">
        <v>171</v>
      </c>
      <c r="BA71" s="46" t="s">
        <v>118</v>
      </c>
      <c r="BC71" s="59">
        <f>AW71+AX71</f>
        <v>0</v>
      </c>
      <c r="BD71" s="59">
        <f>H71/(100-BE71)*100</f>
        <v>0</v>
      </c>
      <c r="BE71" s="59">
        <v>0</v>
      </c>
      <c r="BF71" s="59">
        <f>L71</f>
        <v>0</v>
      </c>
      <c r="BH71" s="59">
        <f>G71*AO71</f>
        <v>0</v>
      </c>
      <c r="BI71" s="59">
        <f>G71*AP71</f>
        <v>0</v>
      </c>
      <c r="BJ71" s="59">
        <f>G71*H71</f>
        <v>0</v>
      </c>
      <c r="BK71" s="59"/>
      <c r="BL71" s="59">
        <v>766</v>
      </c>
      <c r="BW71" s="59">
        <v>12</v>
      </c>
      <c r="BX71" s="16" t="s">
        <v>217</v>
      </c>
    </row>
    <row r="72" spans="1:76" ht="13.5" customHeight="1" x14ac:dyDescent="0.25">
      <c r="A72" s="62"/>
      <c r="D72" s="105" t="s">
        <v>219</v>
      </c>
      <c r="E72" s="105"/>
      <c r="F72" s="105"/>
      <c r="G72" s="105"/>
      <c r="H72" s="105"/>
      <c r="I72" s="105"/>
      <c r="J72" s="105"/>
      <c r="K72" s="105"/>
      <c r="L72" s="105"/>
      <c r="M72" s="105"/>
    </row>
    <row r="73" spans="1:76" x14ac:dyDescent="0.25">
      <c r="A73" s="62"/>
      <c r="D73" s="63" t="s">
        <v>220</v>
      </c>
      <c r="E73" s="63"/>
      <c r="G73" s="64">
        <v>23</v>
      </c>
      <c r="M73" s="65"/>
    </row>
    <row r="74" spans="1:76" ht="15" customHeight="1" x14ac:dyDescent="0.25">
      <c r="A74" s="58" t="s">
        <v>221</v>
      </c>
      <c r="B74" s="18" t="s">
        <v>107</v>
      </c>
      <c r="C74" s="18" t="s">
        <v>222</v>
      </c>
      <c r="D74" s="8" t="s">
        <v>223</v>
      </c>
      <c r="E74" s="8"/>
      <c r="F74" s="18" t="s">
        <v>224</v>
      </c>
      <c r="G74" s="59">
        <f>'Stavební rozpočet'!G61</f>
        <v>1.859</v>
      </c>
      <c r="H74" s="59">
        <f>'Stavební rozpočet'!H61</f>
        <v>0</v>
      </c>
      <c r="I74" s="59">
        <f>ROUND(G74*H74,2)</f>
        <v>0</v>
      </c>
      <c r="J74" s="59">
        <f>'Stavební rozpočet'!J61</f>
        <v>0</v>
      </c>
      <c r="K74" s="59">
        <f>'Stavební rozpočet'!K61</f>
        <v>0</v>
      </c>
      <c r="L74" s="59">
        <f>G74*K74</f>
        <v>0</v>
      </c>
      <c r="M74" s="60" t="s">
        <v>115</v>
      </c>
      <c r="Z74" s="59">
        <f>ROUND(IF(AQ74="5",BJ74,0),2)</f>
        <v>0</v>
      </c>
      <c r="AB74" s="59">
        <f>ROUND(IF(AQ74="1",BH74,0),2)</f>
        <v>0</v>
      </c>
      <c r="AC74" s="59">
        <f>ROUND(IF(AQ74="1",BI74,0),2)</f>
        <v>0</v>
      </c>
      <c r="AD74" s="59">
        <f>ROUND(IF(AQ74="7",BH74,0),2)</f>
        <v>0</v>
      </c>
      <c r="AE74" s="59">
        <f>ROUND(IF(AQ74="7",BI74,0),2)</f>
        <v>0</v>
      </c>
      <c r="AF74" s="59">
        <f>ROUND(IF(AQ74="2",BH74,0),2)</f>
        <v>0</v>
      </c>
      <c r="AG74" s="59">
        <f>ROUND(IF(AQ74="2",BI74,0),2)</f>
        <v>0</v>
      </c>
      <c r="AH74" s="59">
        <f>ROUND(IF(AQ74="0",BJ74,0),2)</f>
        <v>0</v>
      </c>
      <c r="AI74" s="46" t="s">
        <v>107</v>
      </c>
      <c r="AJ74" s="59">
        <f>IF(AN74=0,I74,0)</f>
        <v>0</v>
      </c>
      <c r="AK74" s="59">
        <f>IF(AN74=12,I74,0)</f>
        <v>0</v>
      </c>
      <c r="AL74" s="59">
        <f>IF(AN74=21,I74,0)</f>
        <v>0</v>
      </c>
      <c r="AN74" s="59">
        <v>12</v>
      </c>
      <c r="AO74" s="59">
        <f>H74*0</f>
        <v>0</v>
      </c>
      <c r="AP74" s="59">
        <f>H74*(1-0)</f>
        <v>0</v>
      </c>
      <c r="AQ74" s="61" t="s">
        <v>137</v>
      </c>
      <c r="AV74" s="59">
        <f>ROUND(AW74+AX74,2)</f>
        <v>0</v>
      </c>
      <c r="AW74" s="59">
        <f>ROUND(G74*AO74,2)</f>
        <v>0</v>
      </c>
      <c r="AX74" s="59">
        <f>ROUND(G74*AP74,2)</f>
        <v>0</v>
      </c>
      <c r="AY74" s="61" t="s">
        <v>187</v>
      </c>
      <c r="AZ74" s="61" t="s">
        <v>171</v>
      </c>
      <c r="BA74" s="46" t="s">
        <v>118</v>
      </c>
      <c r="BC74" s="59">
        <f>AW74+AX74</f>
        <v>0</v>
      </c>
      <c r="BD74" s="59">
        <f>H74/(100-BE74)*100</f>
        <v>0</v>
      </c>
      <c r="BE74" s="59">
        <v>0</v>
      </c>
      <c r="BF74" s="59">
        <f>L74</f>
        <v>0</v>
      </c>
      <c r="BH74" s="59">
        <f>G74*AO74</f>
        <v>0</v>
      </c>
      <c r="BI74" s="59">
        <f>G74*AP74</f>
        <v>0</v>
      </c>
      <c r="BJ74" s="59">
        <f>G74*H74</f>
        <v>0</v>
      </c>
      <c r="BK74" s="59"/>
      <c r="BL74" s="59">
        <v>766</v>
      </c>
      <c r="BW74" s="59">
        <v>12</v>
      </c>
      <c r="BX74" s="16" t="s">
        <v>223</v>
      </c>
    </row>
    <row r="75" spans="1:76" ht="15" customHeight="1" x14ac:dyDescent="0.25">
      <c r="A75" s="54"/>
      <c r="B75" s="55" t="s">
        <v>107</v>
      </c>
      <c r="C75" s="55" t="s">
        <v>225</v>
      </c>
      <c r="D75" s="104" t="s">
        <v>226</v>
      </c>
      <c r="E75" s="104"/>
      <c r="F75" s="56" t="s">
        <v>88</v>
      </c>
      <c r="G75" s="56" t="s">
        <v>88</v>
      </c>
      <c r="H75" s="56" t="s">
        <v>88</v>
      </c>
      <c r="I75" s="39">
        <f>SUM(I76:I79)</f>
        <v>0</v>
      </c>
      <c r="J75" s="46"/>
      <c r="K75" s="46"/>
      <c r="L75" s="39">
        <f>SUM(L76:L79)</f>
        <v>4.1053299999999999E-3</v>
      </c>
      <c r="M75" s="57"/>
      <c r="AI75" s="46" t="s">
        <v>107</v>
      </c>
      <c r="AS75" s="39">
        <f>SUM(AJ76:AJ79)</f>
        <v>0</v>
      </c>
      <c r="AT75" s="39">
        <f>SUM(AK76:AK79)</f>
        <v>0</v>
      </c>
      <c r="AU75" s="39">
        <f>SUM(AL76:AL79)</f>
        <v>0</v>
      </c>
    </row>
    <row r="76" spans="1:76" ht="15" customHeight="1" x14ac:dyDescent="0.25">
      <c r="A76" s="58" t="s">
        <v>227</v>
      </c>
      <c r="B76" s="18" t="s">
        <v>107</v>
      </c>
      <c r="C76" s="18" t="s">
        <v>228</v>
      </c>
      <c r="D76" s="8" t="s">
        <v>229</v>
      </c>
      <c r="E76" s="8"/>
      <c r="F76" s="18" t="s">
        <v>114</v>
      </c>
      <c r="G76" s="59">
        <f>'Stavební rozpočet'!G63</f>
        <v>3.077</v>
      </c>
      <c r="H76" s="59">
        <f>'Stavební rozpočet'!H63</f>
        <v>0</v>
      </c>
      <c r="I76" s="59">
        <f>ROUND(G76*H76,2)</f>
        <v>0</v>
      </c>
      <c r="J76" s="59">
        <f>'Stavební rozpočet'!J63</f>
        <v>2.9E-4</v>
      </c>
      <c r="K76" s="59">
        <f>'Stavební rozpočet'!K63</f>
        <v>2.9E-4</v>
      </c>
      <c r="L76" s="59">
        <f>G76*K76</f>
        <v>8.9232999999999999E-4</v>
      </c>
      <c r="M76" s="60" t="s">
        <v>115</v>
      </c>
      <c r="Z76" s="59">
        <f>ROUND(IF(AQ76="5",BJ76,0),2)</f>
        <v>0</v>
      </c>
      <c r="AB76" s="59">
        <f>ROUND(IF(AQ76="1",BH76,0),2)</f>
        <v>0</v>
      </c>
      <c r="AC76" s="59">
        <f>ROUND(IF(AQ76="1",BI76,0),2)</f>
        <v>0</v>
      </c>
      <c r="AD76" s="59">
        <f>ROUND(IF(AQ76="7",BH76,0),2)</f>
        <v>0</v>
      </c>
      <c r="AE76" s="59">
        <f>ROUND(IF(AQ76="7",BI76,0),2)</f>
        <v>0</v>
      </c>
      <c r="AF76" s="59">
        <f>ROUND(IF(AQ76="2",BH76,0),2)</f>
        <v>0</v>
      </c>
      <c r="AG76" s="59">
        <f>ROUND(IF(AQ76="2",BI76,0),2)</f>
        <v>0</v>
      </c>
      <c r="AH76" s="59">
        <f>ROUND(IF(AQ76="0",BJ76,0),2)</f>
        <v>0</v>
      </c>
      <c r="AI76" s="46" t="s">
        <v>107</v>
      </c>
      <c r="AJ76" s="59">
        <f>IF(AN76=0,I76,0)</f>
        <v>0</v>
      </c>
      <c r="AK76" s="59">
        <f>IF(AN76=12,I76,0)</f>
        <v>0</v>
      </c>
      <c r="AL76" s="59">
        <f>IF(AN76=21,I76,0)</f>
        <v>0</v>
      </c>
      <c r="AN76" s="59">
        <v>12</v>
      </c>
      <c r="AO76" s="59">
        <f>H76*0.178146593</f>
        <v>0</v>
      </c>
      <c r="AP76" s="59">
        <f>H76*(1-0.178146593)</f>
        <v>0</v>
      </c>
      <c r="AQ76" s="61" t="s">
        <v>150</v>
      </c>
      <c r="AV76" s="59">
        <f>ROUND(AW76+AX76,2)</f>
        <v>0</v>
      </c>
      <c r="AW76" s="59">
        <f>ROUND(G76*AO76,2)</f>
        <v>0</v>
      </c>
      <c r="AX76" s="59">
        <f>ROUND(G76*AP76,2)</f>
        <v>0</v>
      </c>
      <c r="AY76" s="61" t="s">
        <v>230</v>
      </c>
      <c r="AZ76" s="61" t="s">
        <v>231</v>
      </c>
      <c r="BA76" s="46" t="s">
        <v>118</v>
      </c>
      <c r="BC76" s="59">
        <f>AW76+AX76</f>
        <v>0</v>
      </c>
      <c r="BD76" s="59">
        <f>H76/(100-BE76)*100</f>
        <v>0</v>
      </c>
      <c r="BE76" s="59">
        <v>0</v>
      </c>
      <c r="BF76" s="59">
        <f>L76</f>
        <v>8.9232999999999999E-4</v>
      </c>
      <c r="BH76" s="59">
        <f>G76*AO76</f>
        <v>0</v>
      </c>
      <c r="BI76" s="59">
        <f>G76*AP76</f>
        <v>0</v>
      </c>
      <c r="BJ76" s="59">
        <f>G76*H76</f>
        <v>0</v>
      </c>
      <c r="BK76" s="59"/>
      <c r="BL76" s="59">
        <v>783</v>
      </c>
      <c r="BW76" s="59">
        <v>12</v>
      </c>
      <c r="BX76" s="16" t="s">
        <v>229</v>
      </c>
    </row>
    <row r="77" spans="1:76" ht="13.5" customHeight="1" x14ac:dyDescent="0.25">
      <c r="A77" s="62"/>
      <c r="D77" s="105" t="s">
        <v>232</v>
      </c>
      <c r="E77" s="105"/>
      <c r="F77" s="105"/>
      <c r="G77" s="105"/>
      <c r="H77" s="105"/>
      <c r="I77" s="105"/>
      <c r="J77" s="105"/>
      <c r="K77" s="105"/>
      <c r="L77" s="105"/>
      <c r="M77" s="105"/>
    </row>
    <row r="78" spans="1:76" x14ac:dyDescent="0.25">
      <c r="A78" s="62"/>
      <c r="D78" s="63" t="s">
        <v>233</v>
      </c>
      <c r="E78" s="63"/>
      <c r="G78" s="64">
        <v>3.077</v>
      </c>
      <c r="M78" s="65"/>
    </row>
    <row r="79" spans="1:76" ht="15" customHeight="1" x14ac:dyDescent="0.25">
      <c r="A79" s="58" t="s">
        <v>234</v>
      </c>
      <c r="B79" s="18" t="s">
        <v>107</v>
      </c>
      <c r="C79" s="18" t="s">
        <v>235</v>
      </c>
      <c r="D79" s="8" t="s">
        <v>236</v>
      </c>
      <c r="E79" s="8"/>
      <c r="F79" s="18" t="s">
        <v>114</v>
      </c>
      <c r="G79" s="59">
        <f>'Stavební rozpočet'!G65</f>
        <v>11.9</v>
      </c>
      <c r="H79" s="59">
        <f>'Stavební rozpočet'!H65</f>
        <v>0</v>
      </c>
      <c r="I79" s="59">
        <f>ROUND(G79*H79,2)</f>
        <v>0</v>
      </c>
      <c r="J79" s="59">
        <f>'Stavební rozpočet'!J65</f>
        <v>2.7E-4</v>
      </c>
      <c r="K79" s="59">
        <f>'Stavební rozpočet'!K65</f>
        <v>2.7E-4</v>
      </c>
      <c r="L79" s="59">
        <f>G79*K79</f>
        <v>3.2130000000000001E-3</v>
      </c>
      <c r="M79" s="60" t="s">
        <v>115</v>
      </c>
      <c r="Z79" s="59">
        <f>ROUND(IF(AQ79="5",BJ79,0),2)</f>
        <v>0</v>
      </c>
      <c r="AB79" s="59">
        <f>ROUND(IF(AQ79="1",BH79,0),2)</f>
        <v>0</v>
      </c>
      <c r="AC79" s="59">
        <f>ROUND(IF(AQ79="1",BI79,0),2)</f>
        <v>0</v>
      </c>
      <c r="AD79" s="59">
        <f>ROUND(IF(AQ79="7",BH79,0),2)</f>
        <v>0</v>
      </c>
      <c r="AE79" s="59">
        <f>ROUND(IF(AQ79="7",BI79,0),2)</f>
        <v>0</v>
      </c>
      <c r="AF79" s="59">
        <f>ROUND(IF(AQ79="2",BH79,0),2)</f>
        <v>0</v>
      </c>
      <c r="AG79" s="59">
        <f>ROUND(IF(AQ79="2",BI79,0),2)</f>
        <v>0</v>
      </c>
      <c r="AH79" s="59">
        <f>ROUND(IF(AQ79="0",BJ79,0),2)</f>
        <v>0</v>
      </c>
      <c r="AI79" s="46" t="s">
        <v>107</v>
      </c>
      <c r="AJ79" s="59">
        <f>IF(AN79=0,I79,0)</f>
        <v>0</v>
      </c>
      <c r="AK79" s="59">
        <f>IF(AN79=12,I79,0)</f>
        <v>0</v>
      </c>
      <c r="AL79" s="59">
        <f>IF(AN79=21,I79,0)</f>
        <v>0</v>
      </c>
      <c r="AN79" s="59">
        <v>12</v>
      </c>
      <c r="AO79" s="59">
        <f>H79*0.140415462</f>
        <v>0</v>
      </c>
      <c r="AP79" s="59">
        <f>H79*(1-0.140415462)</f>
        <v>0</v>
      </c>
      <c r="AQ79" s="61" t="s">
        <v>150</v>
      </c>
      <c r="AV79" s="59">
        <f>ROUND(AW79+AX79,2)</f>
        <v>0</v>
      </c>
      <c r="AW79" s="59">
        <f>ROUND(G79*AO79,2)</f>
        <v>0</v>
      </c>
      <c r="AX79" s="59">
        <f>ROUND(G79*AP79,2)</f>
        <v>0</v>
      </c>
      <c r="AY79" s="61" t="s">
        <v>230</v>
      </c>
      <c r="AZ79" s="61" t="s">
        <v>231</v>
      </c>
      <c r="BA79" s="46" t="s">
        <v>118</v>
      </c>
      <c r="BC79" s="59">
        <f>AW79+AX79</f>
        <v>0</v>
      </c>
      <c r="BD79" s="59">
        <f>H79/(100-BE79)*100</f>
        <v>0</v>
      </c>
      <c r="BE79" s="59">
        <v>0</v>
      </c>
      <c r="BF79" s="59">
        <f>L79</f>
        <v>3.2130000000000001E-3</v>
      </c>
      <c r="BH79" s="59">
        <f>G79*AO79</f>
        <v>0</v>
      </c>
      <c r="BI79" s="59">
        <f>G79*AP79</f>
        <v>0</v>
      </c>
      <c r="BJ79" s="59">
        <f>G79*H79</f>
        <v>0</v>
      </c>
      <c r="BK79" s="59"/>
      <c r="BL79" s="59">
        <v>783</v>
      </c>
      <c r="BW79" s="59">
        <v>12</v>
      </c>
      <c r="BX79" s="16" t="s">
        <v>236</v>
      </c>
    </row>
    <row r="80" spans="1:76" ht="13.5" customHeight="1" x14ac:dyDescent="0.25">
      <c r="A80" s="62"/>
      <c r="D80" s="105" t="s">
        <v>237</v>
      </c>
      <c r="E80" s="105"/>
      <c r="F80" s="105"/>
      <c r="G80" s="105"/>
      <c r="H80" s="105"/>
      <c r="I80" s="105"/>
      <c r="J80" s="105"/>
      <c r="K80" s="105"/>
      <c r="L80" s="105"/>
      <c r="M80" s="105"/>
    </row>
    <row r="81" spans="1:76" x14ac:dyDescent="0.25">
      <c r="A81" s="62"/>
      <c r="D81" s="63" t="s">
        <v>238</v>
      </c>
      <c r="E81" s="63"/>
      <c r="G81" s="64">
        <v>11.9</v>
      </c>
      <c r="M81" s="65"/>
    </row>
    <row r="82" spans="1:76" ht="15" customHeight="1" x14ac:dyDescent="0.25">
      <c r="A82" s="54"/>
      <c r="B82" s="55" t="s">
        <v>107</v>
      </c>
      <c r="C82" s="55" t="s">
        <v>239</v>
      </c>
      <c r="D82" s="104" t="s">
        <v>240</v>
      </c>
      <c r="E82" s="104"/>
      <c r="F82" s="56" t="s">
        <v>88</v>
      </c>
      <c r="G82" s="56" t="s">
        <v>88</v>
      </c>
      <c r="H82" s="56" t="s">
        <v>88</v>
      </c>
      <c r="I82" s="39">
        <f>SUM(I83:I90)</f>
        <v>0</v>
      </c>
      <c r="J82" s="46"/>
      <c r="K82" s="46"/>
      <c r="L82" s="39">
        <f>SUM(L83:L90)</f>
        <v>9.9647940000000004E-2</v>
      </c>
      <c r="M82" s="57"/>
      <c r="AI82" s="46" t="s">
        <v>107</v>
      </c>
      <c r="AS82" s="39">
        <f>SUM(AJ83:AJ90)</f>
        <v>0</v>
      </c>
      <c r="AT82" s="39">
        <f>SUM(AK83:AK90)</f>
        <v>0</v>
      </c>
      <c r="AU82" s="39">
        <f>SUM(AL83:AL90)</f>
        <v>0</v>
      </c>
    </row>
    <row r="83" spans="1:76" ht="15" customHeight="1" x14ac:dyDescent="0.25">
      <c r="A83" s="58" t="s">
        <v>241</v>
      </c>
      <c r="B83" s="18" t="s">
        <v>107</v>
      </c>
      <c r="C83" s="18" t="s">
        <v>242</v>
      </c>
      <c r="D83" s="8" t="s">
        <v>243</v>
      </c>
      <c r="E83" s="8"/>
      <c r="F83" s="18" t="s">
        <v>114</v>
      </c>
      <c r="G83" s="59">
        <f>'Stavební rozpočet'!G68</f>
        <v>222.67500000000001</v>
      </c>
      <c r="H83" s="59">
        <f>'Stavební rozpočet'!H68</f>
        <v>0</v>
      </c>
      <c r="I83" s="59">
        <f>ROUND(G83*H83,2)</f>
        <v>0</v>
      </c>
      <c r="J83" s="59">
        <f>'Stavební rozpočet'!J68</f>
        <v>3.5E-4</v>
      </c>
      <c r="K83" s="59">
        <f>'Stavební rozpočet'!K68</f>
        <v>3.5E-4</v>
      </c>
      <c r="L83" s="59">
        <f>G83*K83</f>
        <v>7.7936249999999999E-2</v>
      </c>
      <c r="M83" s="60" t="s">
        <v>115</v>
      </c>
      <c r="Z83" s="59">
        <f>ROUND(IF(AQ83="5",BJ83,0),2)</f>
        <v>0</v>
      </c>
      <c r="AB83" s="59">
        <f>ROUND(IF(AQ83="1",BH83,0),2)</f>
        <v>0</v>
      </c>
      <c r="AC83" s="59">
        <f>ROUND(IF(AQ83="1",BI83,0),2)</f>
        <v>0</v>
      </c>
      <c r="AD83" s="59">
        <f>ROUND(IF(AQ83="7",BH83,0),2)</f>
        <v>0</v>
      </c>
      <c r="AE83" s="59">
        <f>ROUND(IF(AQ83="7",BI83,0),2)</f>
        <v>0</v>
      </c>
      <c r="AF83" s="59">
        <f>ROUND(IF(AQ83="2",BH83,0),2)</f>
        <v>0</v>
      </c>
      <c r="AG83" s="59">
        <f>ROUND(IF(AQ83="2",BI83,0),2)</f>
        <v>0</v>
      </c>
      <c r="AH83" s="59">
        <f>ROUND(IF(AQ83="0",BJ83,0),2)</f>
        <v>0</v>
      </c>
      <c r="AI83" s="46" t="s">
        <v>107</v>
      </c>
      <c r="AJ83" s="59">
        <f>IF(AN83=0,I83,0)</f>
        <v>0</v>
      </c>
      <c r="AK83" s="59">
        <f>IF(AN83=12,I83,0)</f>
        <v>0</v>
      </c>
      <c r="AL83" s="59">
        <f>IF(AN83=21,I83,0)</f>
        <v>0</v>
      </c>
      <c r="AN83" s="59">
        <v>12</v>
      </c>
      <c r="AO83" s="59">
        <f>H83*0.57722441</f>
        <v>0</v>
      </c>
      <c r="AP83" s="59">
        <f>H83*(1-0.57722441)</f>
        <v>0</v>
      </c>
      <c r="AQ83" s="61" t="s">
        <v>150</v>
      </c>
      <c r="AV83" s="59">
        <f>ROUND(AW83+AX83,2)</f>
        <v>0</v>
      </c>
      <c r="AW83" s="59">
        <f>ROUND(G83*AO83,2)</f>
        <v>0</v>
      </c>
      <c r="AX83" s="59">
        <f>ROUND(G83*AP83,2)</f>
        <v>0</v>
      </c>
      <c r="AY83" s="61" t="s">
        <v>244</v>
      </c>
      <c r="AZ83" s="61" t="s">
        <v>231</v>
      </c>
      <c r="BA83" s="46" t="s">
        <v>118</v>
      </c>
      <c r="BC83" s="59">
        <f>AW83+AX83</f>
        <v>0</v>
      </c>
      <c r="BD83" s="59">
        <f>H83/(100-BE83)*100</f>
        <v>0</v>
      </c>
      <c r="BE83" s="59">
        <v>0</v>
      </c>
      <c r="BF83" s="59">
        <f>L83</f>
        <v>7.7936249999999999E-2</v>
      </c>
      <c r="BH83" s="59">
        <f>G83*AO83</f>
        <v>0</v>
      </c>
      <c r="BI83" s="59">
        <f>G83*AP83</f>
        <v>0</v>
      </c>
      <c r="BJ83" s="59">
        <f>G83*H83</f>
        <v>0</v>
      </c>
      <c r="BK83" s="59"/>
      <c r="BL83" s="59">
        <v>784</v>
      </c>
      <c r="BW83" s="59">
        <v>12</v>
      </c>
      <c r="BX83" s="16" t="s">
        <v>243</v>
      </c>
    </row>
    <row r="84" spans="1:76" ht="13.5" customHeight="1" x14ac:dyDescent="0.25">
      <c r="A84" s="62"/>
      <c r="D84" s="105" t="s">
        <v>245</v>
      </c>
      <c r="E84" s="105"/>
      <c r="F84" s="105"/>
      <c r="G84" s="105"/>
      <c r="H84" s="105"/>
      <c r="I84" s="105"/>
      <c r="J84" s="105"/>
      <c r="K84" s="105"/>
      <c r="L84" s="105"/>
      <c r="M84" s="105"/>
    </row>
    <row r="85" spans="1:76" x14ac:dyDescent="0.25">
      <c r="A85" s="62"/>
      <c r="D85" s="63" t="s">
        <v>246</v>
      </c>
      <c r="E85" s="63"/>
      <c r="G85" s="64">
        <v>137.322</v>
      </c>
      <c r="M85" s="65"/>
    </row>
    <row r="86" spans="1:76" x14ac:dyDescent="0.25">
      <c r="A86" s="62"/>
      <c r="D86" s="63" t="s">
        <v>247</v>
      </c>
      <c r="E86" s="63"/>
      <c r="G86" s="64">
        <v>85.352999999999994</v>
      </c>
      <c r="M86" s="65"/>
    </row>
    <row r="87" spans="1:76" ht="15" customHeight="1" x14ac:dyDescent="0.25">
      <c r="A87" s="58" t="s">
        <v>248</v>
      </c>
      <c r="B87" s="18" t="s">
        <v>107</v>
      </c>
      <c r="C87" s="18" t="s">
        <v>249</v>
      </c>
      <c r="D87" s="8" t="s">
        <v>250</v>
      </c>
      <c r="E87" s="8"/>
      <c r="F87" s="18" t="s">
        <v>114</v>
      </c>
      <c r="G87" s="59">
        <f>'Stavební rozpočet'!G71</f>
        <v>23.3</v>
      </c>
      <c r="H87" s="59">
        <f>'Stavební rozpočet'!H71</f>
        <v>0</v>
      </c>
      <c r="I87" s="59">
        <f>ROUND(G87*H87,2)</f>
        <v>0</v>
      </c>
      <c r="J87" s="59">
        <f>'Stavební rozpočet'!J71</f>
        <v>7.6999999999999996E-4</v>
      </c>
      <c r="K87" s="59">
        <f>'Stavební rozpočet'!K71</f>
        <v>7.6999999999999996E-4</v>
      </c>
      <c r="L87" s="59">
        <f>G87*K87</f>
        <v>1.7940999999999999E-2</v>
      </c>
      <c r="M87" s="60" t="s">
        <v>115</v>
      </c>
      <c r="Z87" s="59">
        <f>ROUND(IF(AQ87="5",BJ87,0),2)</f>
        <v>0</v>
      </c>
      <c r="AB87" s="59">
        <f>ROUND(IF(AQ87="1",BH87,0),2)</f>
        <v>0</v>
      </c>
      <c r="AC87" s="59">
        <f>ROUND(IF(AQ87="1",BI87,0),2)</f>
        <v>0</v>
      </c>
      <c r="AD87" s="59">
        <f>ROUND(IF(AQ87="7",BH87,0),2)</f>
        <v>0</v>
      </c>
      <c r="AE87" s="59">
        <f>ROUND(IF(AQ87="7",BI87,0),2)</f>
        <v>0</v>
      </c>
      <c r="AF87" s="59">
        <f>ROUND(IF(AQ87="2",BH87,0),2)</f>
        <v>0</v>
      </c>
      <c r="AG87" s="59">
        <f>ROUND(IF(AQ87="2",BI87,0),2)</f>
        <v>0</v>
      </c>
      <c r="AH87" s="59">
        <f>ROUND(IF(AQ87="0",BJ87,0),2)</f>
        <v>0</v>
      </c>
      <c r="AI87" s="46" t="s">
        <v>107</v>
      </c>
      <c r="AJ87" s="59">
        <f>IF(AN87=0,I87,0)</f>
        <v>0</v>
      </c>
      <c r="AK87" s="59">
        <f>IF(AN87=12,I87,0)</f>
        <v>0</v>
      </c>
      <c r="AL87" s="59">
        <f>IF(AN87=21,I87,0)</f>
        <v>0</v>
      </c>
      <c r="AN87" s="59">
        <v>12</v>
      </c>
      <c r="AO87" s="59">
        <f>H87*0.24888957</f>
        <v>0</v>
      </c>
      <c r="AP87" s="59">
        <f>H87*(1-0.24888957)</f>
        <v>0</v>
      </c>
      <c r="AQ87" s="61" t="s">
        <v>150</v>
      </c>
      <c r="AV87" s="59">
        <f>ROUND(AW87+AX87,2)</f>
        <v>0</v>
      </c>
      <c r="AW87" s="59">
        <f>ROUND(G87*AO87,2)</f>
        <v>0</v>
      </c>
      <c r="AX87" s="59">
        <f>ROUND(G87*AP87,2)</f>
        <v>0</v>
      </c>
      <c r="AY87" s="61" t="s">
        <v>244</v>
      </c>
      <c r="AZ87" s="61" t="s">
        <v>231</v>
      </c>
      <c r="BA87" s="46" t="s">
        <v>118</v>
      </c>
      <c r="BC87" s="59">
        <f>AW87+AX87</f>
        <v>0</v>
      </c>
      <c r="BD87" s="59">
        <f>H87/(100-BE87)*100</f>
        <v>0</v>
      </c>
      <c r="BE87" s="59">
        <v>0</v>
      </c>
      <c r="BF87" s="59">
        <f>L87</f>
        <v>1.7940999999999999E-2</v>
      </c>
      <c r="BH87" s="59">
        <f>G87*AO87</f>
        <v>0</v>
      </c>
      <c r="BI87" s="59">
        <f>G87*AP87</f>
        <v>0</v>
      </c>
      <c r="BJ87" s="59">
        <f>G87*H87</f>
        <v>0</v>
      </c>
      <c r="BK87" s="59"/>
      <c r="BL87" s="59">
        <v>784</v>
      </c>
      <c r="BW87" s="59">
        <v>12</v>
      </c>
      <c r="BX87" s="16" t="s">
        <v>250</v>
      </c>
    </row>
    <row r="88" spans="1:76" ht="13.5" customHeight="1" x14ac:dyDescent="0.25">
      <c r="A88" s="62"/>
      <c r="D88" s="105" t="s">
        <v>251</v>
      </c>
      <c r="E88" s="105"/>
      <c r="F88" s="105"/>
      <c r="G88" s="105"/>
      <c r="H88" s="105"/>
      <c r="I88" s="105"/>
      <c r="J88" s="105"/>
      <c r="K88" s="105"/>
      <c r="L88" s="105"/>
      <c r="M88" s="105"/>
    </row>
    <row r="89" spans="1:76" x14ac:dyDescent="0.25">
      <c r="A89" s="62"/>
      <c r="D89" s="63" t="s">
        <v>252</v>
      </c>
      <c r="E89" s="63"/>
      <c r="G89" s="64">
        <v>23.3</v>
      </c>
      <c r="M89" s="65"/>
    </row>
    <row r="90" spans="1:76" ht="15" customHeight="1" x14ac:dyDescent="0.25">
      <c r="A90" s="58" t="s">
        <v>253</v>
      </c>
      <c r="B90" s="18" t="s">
        <v>107</v>
      </c>
      <c r="C90" s="18" t="s">
        <v>254</v>
      </c>
      <c r="D90" s="8" t="s">
        <v>255</v>
      </c>
      <c r="E90" s="8"/>
      <c r="F90" s="18" t="s">
        <v>114</v>
      </c>
      <c r="G90" s="59">
        <f>'Stavební rozpočet'!G73</f>
        <v>377.06900000000002</v>
      </c>
      <c r="H90" s="59">
        <f>'Stavební rozpočet'!H73</f>
        <v>0</v>
      </c>
      <c r="I90" s="59">
        <f>ROUND(G90*H90,2)</f>
        <v>0</v>
      </c>
      <c r="J90" s="59">
        <f>'Stavební rozpočet'!J73</f>
        <v>1.0000000000000001E-5</v>
      </c>
      <c r="K90" s="59">
        <f>'Stavební rozpočet'!K73</f>
        <v>1.0000000000000001E-5</v>
      </c>
      <c r="L90" s="59">
        <f>G90*K90</f>
        <v>3.7706900000000006E-3</v>
      </c>
      <c r="M90" s="60" t="s">
        <v>115</v>
      </c>
      <c r="Z90" s="59">
        <f>ROUND(IF(AQ90="5",BJ90,0),2)</f>
        <v>0</v>
      </c>
      <c r="AB90" s="59">
        <f>ROUND(IF(AQ90="1",BH90,0),2)</f>
        <v>0</v>
      </c>
      <c r="AC90" s="59">
        <f>ROUND(IF(AQ90="1",BI90,0),2)</f>
        <v>0</v>
      </c>
      <c r="AD90" s="59">
        <f>ROUND(IF(AQ90="7",BH90,0),2)</f>
        <v>0</v>
      </c>
      <c r="AE90" s="59">
        <f>ROUND(IF(AQ90="7",BI90,0),2)</f>
        <v>0</v>
      </c>
      <c r="AF90" s="59">
        <f>ROUND(IF(AQ90="2",BH90,0),2)</f>
        <v>0</v>
      </c>
      <c r="AG90" s="59">
        <f>ROUND(IF(AQ90="2",BI90,0),2)</f>
        <v>0</v>
      </c>
      <c r="AH90" s="59">
        <f>ROUND(IF(AQ90="0",BJ90,0),2)</f>
        <v>0</v>
      </c>
      <c r="AI90" s="46" t="s">
        <v>107</v>
      </c>
      <c r="AJ90" s="59">
        <f>IF(AN90=0,I90,0)</f>
        <v>0</v>
      </c>
      <c r="AK90" s="59">
        <f>IF(AN90=12,I90,0)</f>
        <v>0</v>
      </c>
      <c r="AL90" s="59">
        <f>IF(AN90=21,I90,0)</f>
        <v>0</v>
      </c>
      <c r="AN90" s="59">
        <v>12</v>
      </c>
      <c r="AO90" s="59">
        <f>H90*0.236832607</f>
        <v>0</v>
      </c>
      <c r="AP90" s="59">
        <f>H90*(1-0.236832607)</f>
        <v>0</v>
      </c>
      <c r="AQ90" s="61" t="s">
        <v>150</v>
      </c>
      <c r="AV90" s="59">
        <f>ROUND(AW90+AX90,2)</f>
        <v>0</v>
      </c>
      <c r="AW90" s="59">
        <f>ROUND(G90*AO90,2)</f>
        <v>0</v>
      </c>
      <c r="AX90" s="59">
        <f>ROUND(G90*AP90,2)</f>
        <v>0</v>
      </c>
      <c r="AY90" s="61" t="s">
        <v>244</v>
      </c>
      <c r="AZ90" s="61" t="s">
        <v>231</v>
      </c>
      <c r="BA90" s="46" t="s">
        <v>118</v>
      </c>
      <c r="BC90" s="59">
        <f>AW90+AX90</f>
        <v>0</v>
      </c>
      <c r="BD90" s="59">
        <f>H90/(100-BE90)*100</f>
        <v>0</v>
      </c>
      <c r="BE90" s="59">
        <v>0</v>
      </c>
      <c r="BF90" s="59">
        <f>L90</f>
        <v>3.7706900000000006E-3</v>
      </c>
      <c r="BH90" s="59">
        <f>G90*AO90</f>
        <v>0</v>
      </c>
      <c r="BI90" s="59">
        <f>G90*AP90</f>
        <v>0</v>
      </c>
      <c r="BJ90" s="59">
        <f>G90*H90</f>
        <v>0</v>
      </c>
      <c r="BK90" s="59"/>
      <c r="BL90" s="59">
        <v>784</v>
      </c>
      <c r="BW90" s="59">
        <v>12</v>
      </c>
      <c r="BX90" s="16" t="s">
        <v>255</v>
      </c>
    </row>
    <row r="91" spans="1:76" ht="13.5" customHeight="1" x14ac:dyDescent="0.25">
      <c r="A91" s="62"/>
      <c r="D91" s="105" t="s">
        <v>256</v>
      </c>
      <c r="E91" s="105"/>
      <c r="F91" s="105"/>
      <c r="G91" s="105"/>
      <c r="H91" s="105"/>
      <c r="I91" s="105"/>
      <c r="J91" s="105"/>
      <c r="K91" s="105"/>
      <c r="L91" s="105"/>
      <c r="M91" s="105"/>
    </row>
    <row r="92" spans="1:76" x14ac:dyDescent="0.25">
      <c r="A92" s="62"/>
      <c r="D92" s="63" t="s">
        <v>257</v>
      </c>
      <c r="E92" s="63"/>
      <c r="G92" s="64">
        <v>274.64499999999998</v>
      </c>
      <c r="M92" s="65"/>
    </row>
    <row r="93" spans="1:76" x14ac:dyDescent="0.25">
      <c r="A93" s="62"/>
      <c r="D93" s="63" t="s">
        <v>258</v>
      </c>
      <c r="E93" s="63"/>
      <c r="G93" s="64">
        <v>102.42400000000001</v>
      </c>
      <c r="M93" s="65"/>
    </row>
    <row r="94" spans="1:76" ht="15" customHeight="1" x14ac:dyDescent="0.25">
      <c r="A94" s="54"/>
      <c r="B94" s="55" t="s">
        <v>107</v>
      </c>
      <c r="C94" s="55" t="s">
        <v>259</v>
      </c>
      <c r="D94" s="104" t="s">
        <v>260</v>
      </c>
      <c r="E94" s="104"/>
      <c r="F94" s="56" t="s">
        <v>88</v>
      </c>
      <c r="G94" s="56" t="s">
        <v>88</v>
      </c>
      <c r="H94" s="56" t="s">
        <v>88</v>
      </c>
      <c r="I94" s="39">
        <f>SUM(I95)</f>
        <v>0</v>
      </c>
      <c r="J94" s="46"/>
      <c r="K94" s="46"/>
      <c r="L94" s="39">
        <f>SUM(L95)</f>
        <v>0.1502406</v>
      </c>
      <c r="M94" s="57"/>
      <c r="AI94" s="46" t="s">
        <v>107</v>
      </c>
      <c r="AS94" s="39">
        <f>SUM(AJ95)</f>
        <v>0</v>
      </c>
      <c r="AT94" s="39">
        <f>SUM(AK95)</f>
        <v>0</v>
      </c>
      <c r="AU94" s="39">
        <f>SUM(AL95)</f>
        <v>0</v>
      </c>
    </row>
    <row r="95" spans="1:76" ht="15" customHeight="1" x14ac:dyDescent="0.25">
      <c r="A95" s="58" t="s">
        <v>261</v>
      </c>
      <c r="B95" s="18" t="s">
        <v>107</v>
      </c>
      <c r="C95" s="18" t="s">
        <v>262</v>
      </c>
      <c r="D95" s="8" t="s">
        <v>263</v>
      </c>
      <c r="E95" s="8"/>
      <c r="F95" s="18" t="s">
        <v>114</v>
      </c>
      <c r="G95" s="59">
        <f>'Stavební rozpočet'!G77</f>
        <v>39.33</v>
      </c>
      <c r="H95" s="59">
        <f>'Stavební rozpočet'!H77</f>
        <v>0</v>
      </c>
      <c r="I95" s="59">
        <f>ROUND(G95*H95,2)</f>
        <v>0</v>
      </c>
      <c r="J95" s="59">
        <f>'Stavební rozpočet'!J77</f>
        <v>3.82E-3</v>
      </c>
      <c r="K95" s="59">
        <f>'Stavební rozpočet'!K77</f>
        <v>3.82E-3</v>
      </c>
      <c r="L95" s="59">
        <f>G95*K95</f>
        <v>0.1502406</v>
      </c>
      <c r="M95" s="60" t="s">
        <v>115</v>
      </c>
      <c r="Z95" s="59">
        <f>ROUND(IF(AQ95="5",BJ95,0),2)</f>
        <v>0</v>
      </c>
      <c r="AB95" s="59">
        <f>ROUND(IF(AQ95="1",BH95,0),2)</f>
        <v>0</v>
      </c>
      <c r="AC95" s="59">
        <f>ROUND(IF(AQ95="1",BI95,0),2)</f>
        <v>0</v>
      </c>
      <c r="AD95" s="59">
        <f>ROUND(IF(AQ95="7",BH95,0),2)</f>
        <v>0</v>
      </c>
      <c r="AE95" s="59">
        <f>ROUND(IF(AQ95="7",BI95,0),2)</f>
        <v>0</v>
      </c>
      <c r="AF95" s="59">
        <f>ROUND(IF(AQ95="2",BH95,0),2)</f>
        <v>0</v>
      </c>
      <c r="AG95" s="59">
        <f>ROUND(IF(AQ95="2",BI95,0),2)</f>
        <v>0</v>
      </c>
      <c r="AH95" s="59">
        <f>ROUND(IF(AQ95="0",BJ95,0),2)</f>
        <v>0</v>
      </c>
      <c r="AI95" s="46" t="s">
        <v>107</v>
      </c>
      <c r="AJ95" s="59">
        <f>IF(AN95=0,I95,0)</f>
        <v>0</v>
      </c>
      <c r="AK95" s="59">
        <f>IF(AN95=12,I95,0)</f>
        <v>0</v>
      </c>
      <c r="AL95" s="59">
        <f>IF(AN95=21,I95,0)</f>
        <v>0</v>
      </c>
      <c r="AN95" s="59">
        <v>12</v>
      </c>
      <c r="AO95" s="59">
        <f>H95*0.657241468</f>
        <v>0</v>
      </c>
      <c r="AP95" s="59">
        <f>H95*(1-0.657241468)</f>
        <v>0</v>
      </c>
      <c r="AQ95" s="61" t="s">
        <v>150</v>
      </c>
      <c r="AV95" s="59">
        <f>ROUND(AW95+AX95,2)</f>
        <v>0</v>
      </c>
      <c r="AW95" s="59">
        <f>ROUND(G95*AO95,2)</f>
        <v>0</v>
      </c>
      <c r="AX95" s="59">
        <f>ROUND(G95*AP95,2)</f>
        <v>0</v>
      </c>
      <c r="AY95" s="61" t="s">
        <v>264</v>
      </c>
      <c r="AZ95" s="61" t="s">
        <v>231</v>
      </c>
      <c r="BA95" s="46" t="s">
        <v>118</v>
      </c>
      <c r="BC95" s="59">
        <f>AW95+AX95</f>
        <v>0</v>
      </c>
      <c r="BD95" s="59">
        <f>H95/(100-BE95)*100</f>
        <v>0</v>
      </c>
      <c r="BE95" s="59">
        <v>0</v>
      </c>
      <c r="BF95" s="59">
        <f>L95</f>
        <v>0.1502406</v>
      </c>
      <c r="BH95" s="59">
        <f>G95*AO95</f>
        <v>0</v>
      </c>
      <c r="BI95" s="59">
        <f>G95*AP95</f>
        <v>0</v>
      </c>
      <c r="BJ95" s="59">
        <f>G95*H95</f>
        <v>0</v>
      </c>
      <c r="BK95" s="59"/>
      <c r="BL95" s="59">
        <v>786</v>
      </c>
      <c r="BW95" s="59">
        <v>12</v>
      </c>
      <c r="BX95" s="16" t="s">
        <v>263</v>
      </c>
    </row>
    <row r="96" spans="1:76" ht="13.5" customHeight="1" x14ac:dyDescent="0.25">
      <c r="A96" s="62"/>
      <c r="D96" s="105" t="s">
        <v>265</v>
      </c>
      <c r="E96" s="105"/>
      <c r="F96" s="105"/>
      <c r="G96" s="105"/>
      <c r="H96" s="105"/>
      <c r="I96" s="105"/>
      <c r="J96" s="105"/>
      <c r="K96" s="105"/>
      <c r="L96" s="105"/>
      <c r="M96" s="105"/>
    </row>
    <row r="97" spans="1:76" x14ac:dyDescent="0.25">
      <c r="A97" s="62"/>
      <c r="D97" s="63" t="s">
        <v>266</v>
      </c>
      <c r="E97" s="63"/>
      <c r="G97" s="64">
        <v>39.33</v>
      </c>
      <c r="M97" s="65"/>
    </row>
    <row r="98" spans="1:76" ht="15" customHeight="1" x14ac:dyDescent="0.25">
      <c r="A98" s="54"/>
      <c r="B98" s="55" t="s">
        <v>107</v>
      </c>
      <c r="C98" s="55" t="s">
        <v>267</v>
      </c>
      <c r="D98" s="104" t="s">
        <v>268</v>
      </c>
      <c r="E98" s="104"/>
      <c r="F98" s="56" t="s">
        <v>88</v>
      </c>
      <c r="G98" s="56" t="s">
        <v>88</v>
      </c>
      <c r="H98" s="56" t="s">
        <v>88</v>
      </c>
      <c r="I98" s="39">
        <f>SUM(I99)</f>
        <v>0</v>
      </c>
      <c r="J98" s="46"/>
      <c r="K98" s="46"/>
      <c r="L98" s="39">
        <f>SUM(L99)</f>
        <v>0</v>
      </c>
      <c r="M98" s="57"/>
      <c r="AI98" s="46" t="s">
        <v>107</v>
      </c>
      <c r="AS98" s="39">
        <f>SUM(AJ99)</f>
        <v>0</v>
      </c>
      <c r="AT98" s="39">
        <f>SUM(AK99)</f>
        <v>0</v>
      </c>
      <c r="AU98" s="39">
        <f>SUM(AL99)</f>
        <v>0</v>
      </c>
    </row>
    <row r="99" spans="1:76" ht="15" customHeight="1" x14ac:dyDescent="0.25">
      <c r="A99" s="58" t="s">
        <v>269</v>
      </c>
      <c r="B99" s="18" t="s">
        <v>107</v>
      </c>
      <c r="C99" s="18" t="s">
        <v>270</v>
      </c>
      <c r="D99" s="8" t="s">
        <v>271</v>
      </c>
      <c r="E99" s="8"/>
      <c r="F99" s="18" t="s">
        <v>272</v>
      </c>
      <c r="G99" s="59">
        <f>'Stavební rozpočet'!G80</f>
        <v>30</v>
      </c>
      <c r="H99" s="59">
        <f>'Stavební rozpočet'!H80</f>
        <v>0</v>
      </c>
      <c r="I99" s="59">
        <f>ROUND(G99*H99,2)</f>
        <v>0</v>
      </c>
      <c r="J99" s="59">
        <f>'Stavební rozpočet'!J80</f>
        <v>0</v>
      </c>
      <c r="K99" s="59">
        <f>'Stavební rozpočet'!K80</f>
        <v>0</v>
      </c>
      <c r="L99" s="59">
        <f>G99*K99</f>
        <v>0</v>
      </c>
      <c r="M99" s="60" t="s">
        <v>115</v>
      </c>
      <c r="Z99" s="59">
        <f>ROUND(IF(AQ99="5",BJ99,0),2)</f>
        <v>0</v>
      </c>
      <c r="AB99" s="59">
        <f>ROUND(IF(AQ99="1",BH99,0),2)</f>
        <v>0</v>
      </c>
      <c r="AC99" s="59">
        <f>ROUND(IF(AQ99="1",BI99,0),2)</f>
        <v>0</v>
      </c>
      <c r="AD99" s="59">
        <f>ROUND(IF(AQ99="7",BH99,0),2)</f>
        <v>0</v>
      </c>
      <c r="AE99" s="59">
        <f>ROUND(IF(AQ99="7",BI99,0),2)</f>
        <v>0</v>
      </c>
      <c r="AF99" s="59">
        <f>ROUND(IF(AQ99="2",BH99,0),2)</f>
        <v>0</v>
      </c>
      <c r="AG99" s="59">
        <f>ROUND(IF(AQ99="2",BI99,0),2)</f>
        <v>0</v>
      </c>
      <c r="AH99" s="59">
        <f>ROUND(IF(AQ99="0",BJ99,0),2)</f>
        <v>0</v>
      </c>
      <c r="AI99" s="46" t="s">
        <v>107</v>
      </c>
      <c r="AJ99" s="59">
        <f>IF(AN99=0,I99,0)</f>
        <v>0</v>
      </c>
      <c r="AK99" s="59">
        <f>IF(AN99=12,I99,0)</f>
        <v>0</v>
      </c>
      <c r="AL99" s="59">
        <f>IF(AN99=21,I99,0)</f>
        <v>0</v>
      </c>
      <c r="AN99" s="59">
        <v>12</v>
      </c>
      <c r="AO99" s="59">
        <f>H99*0</f>
        <v>0</v>
      </c>
      <c r="AP99" s="59">
        <f>H99*(1-0)</f>
        <v>0</v>
      </c>
      <c r="AQ99" s="61" t="s">
        <v>111</v>
      </c>
      <c r="AV99" s="59">
        <f>ROUND(AW99+AX99,2)</f>
        <v>0</v>
      </c>
      <c r="AW99" s="59">
        <f>ROUND(G99*AO99,2)</f>
        <v>0</v>
      </c>
      <c r="AX99" s="59">
        <f>ROUND(G99*AP99,2)</f>
        <v>0</v>
      </c>
      <c r="AY99" s="61" t="s">
        <v>273</v>
      </c>
      <c r="AZ99" s="61" t="s">
        <v>274</v>
      </c>
      <c r="BA99" s="46" t="s">
        <v>118</v>
      </c>
      <c r="BC99" s="59">
        <f>AW99+AX99</f>
        <v>0</v>
      </c>
      <c r="BD99" s="59">
        <f>H99/(100-BE99)*100</f>
        <v>0</v>
      </c>
      <c r="BE99" s="59">
        <v>0</v>
      </c>
      <c r="BF99" s="59">
        <f>L99</f>
        <v>0</v>
      </c>
      <c r="BH99" s="59">
        <f>G99*AO99</f>
        <v>0</v>
      </c>
      <c r="BI99" s="59">
        <f>G99*AP99</f>
        <v>0</v>
      </c>
      <c r="BJ99" s="59">
        <f>G99*H99</f>
        <v>0</v>
      </c>
      <c r="BK99" s="59"/>
      <c r="BL99" s="59">
        <v>90</v>
      </c>
      <c r="BW99" s="59">
        <v>12</v>
      </c>
      <c r="BX99" s="16" t="s">
        <v>271</v>
      </c>
    </row>
    <row r="100" spans="1:76" ht="13.5" customHeight="1" x14ac:dyDescent="0.25">
      <c r="A100" s="62"/>
      <c r="D100" s="105" t="s">
        <v>275</v>
      </c>
      <c r="E100" s="105"/>
      <c r="F100" s="105"/>
      <c r="G100" s="105"/>
      <c r="H100" s="105"/>
      <c r="I100" s="105"/>
      <c r="J100" s="105"/>
      <c r="K100" s="105"/>
      <c r="L100" s="105"/>
      <c r="M100" s="105"/>
    </row>
    <row r="101" spans="1:76" x14ac:dyDescent="0.25">
      <c r="A101" s="62"/>
      <c r="D101" s="63" t="s">
        <v>276</v>
      </c>
      <c r="E101" s="63"/>
      <c r="G101" s="64">
        <v>30</v>
      </c>
      <c r="M101" s="65"/>
    </row>
    <row r="102" spans="1:76" ht="15" customHeight="1" x14ac:dyDescent="0.25">
      <c r="A102" s="54"/>
      <c r="B102" s="55" t="s">
        <v>107</v>
      </c>
      <c r="C102" s="55" t="s">
        <v>277</v>
      </c>
      <c r="D102" s="104" t="s">
        <v>278</v>
      </c>
      <c r="E102" s="104"/>
      <c r="F102" s="56" t="s">
        <v>88</v>
      </c>
      <c r="G102" s="56" t="s">
        <v>88</v>
      </c>
      <c r="H102" s="56" t="s">
        <v>88</v>
      </c>
      <c r="I102" s="39">
        <f>SUM(I103)</f>
        <v>0</v>
      </c>
      <c r="J102" s="46"/>
      <c r="K102" s="46"/>
      <c r="L102" s="39">
        <f>SUM(L103)</f>
        <v>0.1089</v>
      </c>
      <c r="M102" s="57"/>
      <c r="AI102" s="46" t="s">
        <v>107</v>
      </c>
      <c r="AS102" s="39">
        <f>SUM(AJ103)</f>
        <v>0</v>
      </c>
      <c r="AT102" s="39">
        <f>SUM(AK103)</f>
        <v>0</v>
      </c>
      <c r="AU102" s="39">
        <f>SUM(AL103)</f>
        <v>0</v>
      </c>
    </row>
    <row r="103" spans="1:76" ht="15" customHeight="1" x14ac:dyDescent="0.25">
      <c r="A103" s="58" t="s">
        <v>279</v>
      </c>
      <c r="B103" s="18" t="s">
        <v>107</v>
      </c>
      <c r="C103" s="18" t="s">
        <v>280</v>
      </c>
      <c r="D103" s="8" t="s">
        <v>281</v>
      </c>
      <c r="E103" s="8"/>
      <c r="F103" s="18" t="s">
        <v>114</v>
      </c>
      <c r="G103" s="59">
        <f>'Stavební rozpočet'!G83</f>
        <v>90</v>
      </c>
      <c r="H103" s="59">
        <f>'Stavební rozpočet'!H83</f>
        <v>0</v>
      </c>
      <c r="I103" s="59">
        <f>ROUND(G103*H103,2)</f>
        <v>0</v>
      </c>
      <c r="J103" s="59">
        <f>'Stavební rozpočet'!J83</f>
        <v>1.2099999999999999E-3</v>
      </c>
      <c r="K103" s="59">
        <f>'Stavební rozpočet'!K83</f>
        <v>1.2099999999999999E-3</v>
      </c>
      <c r="L103" s="59">
        <f>G103*K103</f>
        <v>0.1089</v>
      </c>
      <c r="M103" s="60" t="s">
        <v>115</v>
      </c>
      <c r="Z103" s="59">
        <f>ROUND(IF(AQ103="5",BJ103,0),2)</f>
        <v>0</v>
      </c>
      <c r="AB103" s="59">
        <f>ROUND(IF(AQ103="1",BH103,0),2)</f>
        <v>0</v>
      </c>
      <c r="AC103" s="59">
        <f>ROUND(IF(AQ103="1",BI103,0),2)</f>
        <v>0</v>
      </c>
      <c r="AD103" s="59">
        <f>ROUND(IF(AQ103="7",BH103,0),2)</f>
        <v>0</v>
      </c>
      <c r="AE103" s="59">
        <f>ROUND(IF(AQ103="7",BI103,0),2)</f>
        <v>0</v>
      </c>
      <c r="AF103" s="59">
        <f>ROUND(IF(AQ103="2",BH103,0),2)</f>
        <v>0</v>
      </c>
      <c r="AG103" s="59">
        <f>ROUND(IF(AQ103="2",BI103,0),2)</f>
        <v>0</v>
      </c>
      <c r="AH103" s="59">
        <f>ROUND(IF(AQ103="0",BJ103,0),2)</f>
        <v>0</v>
      </c>
      <c r="AI103" s="46" t="s">
        <v>107</v>
      </c>
      <c r="AJ103" s="59">
        <f>IF(AN103=0,I103,0)</f>
        <v>0</v>
      </c>
      <c r="AK103" s="59">
        <f>IF(AN103=12,I103,0)</f>
        <v>0</v>
      </c>
      <c r="AL103" s="59">
        <f>IF(AN103=21,I103,0)</f>
        <v>0</v>
      </c>
      <c r="AN103" s="59">
        <v>12</v>
      </c>
      <c r="AO103" s="59">
        <f>H103*0.309860944</f>
        <v>0</v>
      </c>
      <c r="AP103" s="59">
        <f>H103*(1-0.309860944)</f>
        <v>0</v>
      </c>
      <c r="AQ103" s="61" t="s">
        <v>111</v>
      </c>
      <c r="AV103" s="59">
        <f>ROUND(AW103+AX103,2)</f>
        <v>0</v>
      </c>
      <c r="AW103" s="59">
        <f>ROUND(G103*AO103,2)</f>
        <v>0</v>
      </c>
      <c r="AX103" s="59">
        <f>ROUND(G103*AP103,2)</f>
        <v>0</v>
      </c>
      <c r="AY103" s="61" t="s">
        <v>282</v>
      </c>
      <c r="AZ103" s="61" t="s">
        <v>274</v>
      </c>
      <c r="BA103" s="46" t="s">
        <v>118</v>
      </c>
      <c r="BC103" s="59">
        <f>AW103+AX103</f>
        <v>0</v>
      </c>
      <c r="BD103" s="59">
        <f>H103/(100-BE103)*100</f>
        <v>0</v>
      </c>
      <c r="BE103" s="59">
        <v>0</v>
      </c>
      <c r="BF103" s="59">
        <f>L103</f>
        <v>0.1089</v>
      </c>
      <c r="BH103" s="59">
        <f>G103*AO103</f>
        <v>0</v>
      </c>
      <c r="BI103" s="59">
        <f>G103*AP103</f>
        <v>0</v>
      </c>
      <c r="BJ103" s="59">
        <f>G103*H103</f>
        <v>0</v>
      </c>
      <c r="BK103" s="59"/>
      <c r="BL103" s="59">
        <v>94</v>
      </c>
      <c r="BW103" s="59">
        <v>12</v>
      </c>
      <c r="BX103" s="16" t="s">
        <v>281</v>
      </c>
    </row>
    <row r="104" spans="1:76" x14ac:dyDescent="0.25">
      <c r="A104" s="62"/>
      <c r="D104" s="63" t="s">
        <v>283</v>
      </c>
      <c r="E104" s="63"/>
      <c r="G104" s="64">
        <v>90</v>
      </c>
      <c r="M104" s="65"/>
    </row>
    <row r="105" spans="1:76" ht="15" customHeight="1" x14ac:dyDescent="0.25">
      <c r="A105" s="54"/>
      <c r="B105" s="55" t="s">
        <v>107</v>
      </c>
      <c r="C105" s="55" t="s">
        <v>284</v>
      </c>
      <c r="D105" s="104" t="s">
        <v>285</v>
      </c>
      <c r="E105" s="104"/>
      <c r="F105" s="56" t="s">
        <v>88</v>
      </c>
      <c r="G105" s="56" t="s">
        <v>88</v>
      </c>
      <c r="H105" s="56" t="s">
        <v>88</v>
      </c>
      <c r="I105" s="39">
        <f>SUM(I106)</f>
        <v>0</v>
      </c>
      <c r="J105" s="46"/>
      <c r="K105" s="46"/>
      <c r="L105" s="39">
        <f>SUM(L106)</f>
        <v>8.9070000000000017E-3</v>
      </c>
      <c r="M105" s="57"/>
      <c r="AI105" s="46" t="s">
        <v>107</v>
      </c>
      <c r="AS105" s="39">
        <f>SUM(AJ106)</f>
        <v>0</v>
      </c>
      <c r="AT105" s="39">
        <f>SUM(AK106)</f>
        <v>0</v>
      </c>
      <c r="AU105" s="39">
        <f>SUM(AL106)</f>
        <v>0</v>
      </c>
    </row>
    <row r="106" spans="1:76" ht="15" customHeight="1" x14ac:dyDescent="0.25">
      <c r="A106" s="58" t="s">
        <v>286</v>
      </c>
      <c r="B106" s="18" t="s">
        <v>107</v>
      </c>
      <c r="C106" s="18" t="s">
        <v>287</v>
      </c>
      <c r="D106" s="8" t="s">
        <v>288</v>
      </c>
      <c r="E106" s="8"/>
      <c r="F106" s="18" t="s">
        <v>114</v>
      </c>
      <c r="G106" s="59">
        <f>'Stavební rozpočet'!G86</f>
        <v>222.67500000000001</v>
      </c>
      <c r="H106" s="59">
        <f>'Stavební rozpočet'!H86</f>
        <v>0</v>
      </c>
      <c r="I106" s="59">
        <f>ROUND(G106*H106,2)</f>
        <v>0</v>
      </c>
      <c r="J106" s="59">
        <f>'Stavební rozpočet'!J86</f>
        <v>4.0000000000000003E-5</v>
      </c>
      <c r="K106" s="59">
        <f>'Stavební rozpočet'!K86</f>
        <v>4.0000000000000003E-5</v>
      </c>
      <c r="L106" s="59">
        <f>G106*K106</f>
        <v>8.9070000000000017E-3</v>
      </c>
      <c r="M106" s="60" t="s">
        <v>115</v>
      </c>
      <c r="Z106" s="59">
        <f>ROUND(IF(AQ106="5",BJ106,0),2)</f>
        <v>0</v>
      </c>
      <c r="AB106" s="59">
        <f>ROUND(IF(AQ106="1",BH106,0),2)</f>
        <v>0</v>
      </c>
      <c r="AC106" s="59">
        <f>ROUND(IF(AQ106="1",BI106,0),2)</f>
        <v>0</v>
      </c>
      <c r="AD106" s="59">
        <f>ROUND(IF(AQ106="7",BH106,0),2)</f>
        <v>0</v>
      </c>
      <c r="AE106" s="59">
        <f>ROUND(IF(AQ106="7",BI106,0),2)</f>
        <v>0</v>
      </c>
      <c r="AF106" s="59">
        <f>ROUND(IF(AQ106="2",BH106,0),2)</f>
        <v>0</v>
      </c>
      <c r="AG106" s="59">
        <f>ROUND(IF(AQ106="2",BI106,0),2)</f>
        <v>0</v>
      </c>
      <c r="AH106" s="59">
        <f>ROUND(IF(AQ106="0",BJ106,0),2)</f>
        <v>0</v>
      </c>
      <c r="AI106" s="46" t="s">
        <v>107</v>
      </c>
      <c r="AJ106" s="59">
        <f>IF(AN106=0,I106,0)</f>
        <v>0</v>
      </c>
      <c r="AK106" s="59">
        <f>IF(AN106=12,I106,0)</f>
        <v>0</v>
      </c>
      <c r="AL106" s="59">
        <f>IF(AN106=21,I106,0)</f>
        <v>0</v>
      </c>
      <c r="AN106" s="59">
        <v>12</v>
      </c>
      <c r="AO106" s="59">
        <f>H106*0.012649612</f>
        <v>0</v>
      </c>
      <c r="AP106" s="59">
        <f>H106*(1-0.012649612)</f>
        <v>0</v>
      </c>
      <c r="AQ106" s="61" t="s">
        <v>111</v>
      </c>
      <c r="AV106" s="59">
        <f>ROUND(AW106+AX106,2)</f>
        <v>0</v>
      </c>
      <c r="AW106" s="59">
        <f>ROUND(G106*AO106,2)</f>
        <v>0</v>
      </c>
      <c r="AX106" s="59">
        <f>ROUND(G106*AP106,2)</f>
        <v>0</v>
      </c>
      <c r="AY106" s="61" t="s">
        <v>289</v>
      </c>
      <c r="AZ106" s="61" t="s">
        <v>274</v>
      </c>
      <c r="BA106" s="46" t="s">
        <v>118</v>
      </c>
      <c r="BC106" s="59">
        <f>AW106+AX106</f>
        <v>0</v>
      </c>
      <c r="BD106" s="59">
        <f>H106/(100-BE106)*100</f>
        <v>0</v>
      </c>
      <c r="BE106" s="59">
        <v>0</v>
      </c>
      <c r="BF106" s="59">
        <f>L106</f>
        <v>8.9070000000000017E-3</v>
      </c>
      <c r="BH106" s="59">
        <f>G106*AO106</f>
        <v>0</v>
      </c>
      <c r="BI106" s="59">
        <f>G106*AP106</f>
        <v>0</v>
      </c>
      <c r="BJ106" s="59">
        <f>G106*H106</f>
        <v>0</v>
      </c>
      <c r="BK106" s="59"/>
      <c r="BL106" s="59">
        <v>95</v>
      </c>
      <c r="BW106" s="59">
        <v>12</v>
      </c>
      <c r="BX106" s="16" t="s">
        <v>288</v>
      </c>
    </row>
    <row r="107" spans="1:76" ht="45" customHeight="1" x14ac:dyDescent="0.25">
      <c r="A107" s="62"/>
      <c r="D107" s="105" t="s">
        <v>733</v>
      </c>
      <c r="E107" s="105"/>
      <c r="F107" s="105"/>
      <c r="G107" s="105"/>
      <c r="H107" s="105"/>
      <c r="I107" s="105"/>
      <c r="J107" s="105"/>
      <c r="K107" s="105"/>
      <c r="L107" s="105"/>
      <c r="M107" s="105"/>
    </row>
    <row r="108" spans="1:76" x14ac:dyDescent="0.25">
      <c r="A108" s="62"/>
      <c r="D108" s="63" t="s">
        <v>246</v>
      </c>
      <c r="E108" s="63"/>
      <c r="G108" s="64">
        <v>137.322</v>
      </c>
      <c r="M108" s="65"/>
    </row>
    <row r="109" spans="1:76" x14ac:dyDescent="0.25">
      <c r="A109" s="62"/>
      <c r="D109" s="63" t="s">
        <v>247</v>
      </c>
      <c r="E109" s="63"/>
      <c r="G109" s="64">
        <v>85.352999999999994</v>
      </c>
      <c r="M109" s="65"/>
    </row>
    <row r="110" spans="1:76" ht="15" customHeight="1" x14ac:dyDescent="0.25">
      <c r="A110" s="54"/>
      <c r="B110" s="55" t="s">
        <v>107</v>
      </c>
      <c r="C110" s="55" t="s">
        <v>290</v>
      </c>
      <c r="D110" s="104" t="s">
        <v>291</v>
      </c>
      <c r="E110" s="104"/>
      <c r="F110" s="56" t="s">
        <v>88</v>
      </c>
      <c r="G110" s="56" t="s">
        <v>88</v>
      </c>
      <c r="H110" s="56" t="s">
        <v>88</v>
      </c>
      <c r="I110" s="39">
        <f>SUM(I111:I119)</f>
        <v>0</v>
      </c>
      <c r="J110" s="46"/>
      <c r="K110" s="46"/>
      <c r="L110" s="39">
        <f>SUM(L111:L119)</f>
        <v>2.32362</v>
      </c>
      <c r="M110" s="57"/>
      <c r="AI110" s="46" t="s">
        <v>107</v>
      </c>
      <c r="AS110" s="39">
        <f>SUM(AJ111:AJ119)</f>
        <v>0</v>
      </c>
      <c r="AT110" s="39">
        <f>SUM(AK111:AK119)</f>
        <v>0</v>
      </c>
      <c r="AU110" s="39">
        <f>SUM(AL111:AL119)</f>
        <v>0</v>
      </c>
    </row>
    <row r="111" spans="1:76" ht="15" customHeight="1" x14ac:dyDescent="0.25">
      <c r="A111" s="58" t="s">
        <v>292</v>
      </c>
      <c r="B111" s="18" t="s">
        <v>107</v>
      </c>
      <c r="C111" s="18" t="s">
        <v>293</v>
      </c>
      <c r="D111" s="8" t="s">
        <v>294</v>
      </c>
      <c r="E111" s="8"/>
      <c r="F111" s="18" t="s">
        <v>140</v>
      </c>
      <c r="G111" s="59">
        <f>'Stavební rozpočet'!G90</f>
        <v>33.700000000000003</v>
      </c>
      <c r="H111" s="59">
        <f>'Stavební rozpočet'!H90</f>
        <v>0</v>
      </c>
      <c r="I111" s="59">
        <f>ROUND(G111*H111,2)</f>
        <v>0</v>
      </c>
      <c r="J111" s="59">
        <f>'Stavební rozpočet'!J90</f>
        <v>0</v>
      </c>
      <c r="K111" s="59">
        <f>'Stavební rozpočet'!K90</f>
        <v>1.188E-2</v>
      </c>
      <c r="L111" s="59">
        <f>G111*K111</f>
        <v>0.40035600000000005</v>
      </c>
      <c r="M111" s="60" t="s">
        <v>115</v>
      </c>
      <c r="Z111" s="59">
        <f>ROUND(IF(AQ111="5",BJ111,0),2)</f>
        <v>0</v>
      </c>
      <c r="AB111" s="59">
        <f>ROUND(IF(AQ111="1",BH111,0),2)</f>
        <v>0</v>
      </c>
      <c r="AC111" s="59">
        <f>ROUND(IF(AQ111="1",BI111,0),2)</f>
        <v>0</v>
      </c>
      <c r="AD111" s="59">
        <f>ROUND(IF(AQ111="7",BH111,0),2)</f>
        <v>0</v>
      </c>
      <c r="AE111" s="59">
        <f>ROUND(IF(AQ111="7",BI111,0),2)</f>
        <v>0</v>
      </c>
      <c r="AF111" s="59">
        <f>ROUND(IF(AQ111="2",BH111,0),2)</f>
        <v>0</v>
      </c>
      <c r="AG111" s="59">
        <f>ROUND(IF(AQ111="2",BI111,0),2)</f>
        <v>0</v>
      </c>
      <c r="AH111" s="59">
        <f>ROUND(IF(AQ111="0",BJ111,0),2)</f>
        <v>0</v>
      </c>
      <c r="AI111" s="46" t="s">
        <v>107</v>
      </c>
      <c r="AJ111" s="59">
        <f>IF(AN111=0,I111,0)</f>
        <v>0</v>
      </c>
      <c r="AK111" s="59">
        <f>IF(AN111=12,I111,0)</f>
        <v>0</v>
      </c>
      <c r="AL111" s="59">
        <f>IF(AN111=21,I111,0)</f>
        <v>0</v>
      </c>
      <c r="AN111" s="59">
        <v>12</v>
      </c>
      <c r="AO111" s="59">
        <f>H111*0</f>
        <v>0</v>
      </c>
      <c r="AP111" s="59">
        <f>H111*(1-0)</f>
        <v>0</v>
      </c>
      <c r="AQ111" s="61" t="s">
        <v>111</v>
      </c>
      <c r="AV111" s="59">
        <f>ROUND(AW111+AX111,2)</f>
        <v>0</v>
      </c>
      <c r="AW111" s="59">
        <f>ROUND(G111*AO111,2)</f>
        <v>0</v>
      </c>
      <c r="AX111" s="59">
        <f>ROUND(G111*AP111,2)</f>
        <v>0</v>
      </c>
      <c r="AY111" s="61" t="s">
        <v>295</v>
      </c>
      <c r="AZ111" s="61" t="s">
        <v>274</v>
      </c>
      <c r="BA111" s="46" t="s">
        <v>118</v>
      </c>
      <c r="BC111" s="59">
        <f>AW111+AX111</f>
        <v>0</v>
      </c>
      <c r="BD111" s="59">
        <f>H111/(100-BE111)*100</f>
        <v>0</v>
      </c>
      <c r="BE111" s="59">
        <v>0</v>
      </c>
      <c r="BF111" s="59">
        <f>L111</f>
        <v>0.40035600000000005</v>
      </c>
      <c r="BH111" s="59">
        <f>G111*AO111</f>
        <v>0</v>
      </c>
      <c r="BI111" s="59">
        <f>G111*AP111</f>
        <v>0</v>
      </c>
      <c r="BJ111" s="59">
        <f>G111*H111</f>
        <v>0</v>
      </c>
      <c r="BK111" s="59"/>
      <c r="BL111" s="59">
        <v>96</v>
      </c>
      <c r="BW111" s="59">
        <v>12</v>
      </c>
      <c r="BX111" s="16" t="s">
        <v>294</v>
      </c>
    </row>
    <row r="112" spans="1:76" x14ac:dyDescent="0.25">
      <c r="A112" s="62"/>
      <c r="D112" s="63" t="s">
        <v>214</v>
      </c>
      <c r="E112" s="63"/>
      <c r="G112" s="64">
        <v>33.700000000000003</v>
      </c>
      <c r="M112" s="65"/>
    </row>
    <row r="113" spans="1:76" ht="15" customHeight="1" x14ac:dyDescent="0.25">
      <c r="A113" s="58" t="s">
        <v>296</v>
      </c>
      <c r="B113" s="18" t="s">
        <v>107</v>
      </c>
      <c r="C113" s="18" t="s">
        <v>297</v>
      </c>
      <c r="D113" s="8" t="s">
        <v>298</v>
      </c>
      <c r="E113" s="8"/>
      <c r="F113" s="18" t="s">
        <v>299</v>
      </c>
      <c r="G113" s="59">
        <f>'Stavební rozpočet'!G92</f>
        <v>38</v>
      </c>
      <c r="H113" s="59">
        <f>'Stavební rozpočet'!H92</f>
        <v>0</v>
      </c>
      <c r="I113" s="59">
        <f>ROUND(G113*H113,2)</f>
        <v>0</v>
      </c>
      <c r="J113" s="59">
        <f>'Stavební rozpočet'!J92</f>
        <v>0</v>
      </c>
      <c r="K113" s="59">
        <f>'Stavební rozpočet'!K92</f>
        <v>0</v>
      </c>
      <c r="L113" s="59">
        <f>G113*K113</f>
        <v>0</v>
      </c>
      <c r="M113" s="60" t="s">
        <v>115</v>
      </c>
      <c r="Z113" s="59">
        <f>ROUND(IF(AQ113="5",BJ113,0),2)</f>
        <v>0</v>
      </c>
      <c r="AB113" s="59">
        <f>ROUND(IF(AQ113="1",BH113,0),2)</f>
        <v>0</v>
      </c>
      <c r="AC113" s="59">
        <f>ROUND(IF(AQ113="1",BI113,0),2)</f>
        <v>0</v>
      </c>
      <c r="AD113" s="59">
        <f>ROUND(IF(AQ113="7",BH113,0),2)</f>
        <v>0</v>
      </c>
      <c r="AE113" s="59">
        <f>ROUND(IF(AQ113="7",BI113,0),2)</f>
        <v>0</v>
      </c>
      <c r="AF113" s="59">
        <f>ROUND(IF(AQ113="2",BH113,0),2)</f>
        <v>0</v>
      </c>
      <c r="AG113" s="59">
        <f>ROUND(IF(AQ113="2",BI113,0),2)</f>
        <v>0</v>
      </c>
      <c r="AH113" s="59">
        <f>ROUND(IF(AQ113="0",BJ113,0),2)</f>
        <v>0</v>
      </c>
      <c r="AI113" s="46" t="s">
        <v>107</v>
      </c>
      <c r="AJ113" s="59">
        <f>IF(AN113=0,I113,0)</f>
        <v>0</v>
      </c>
      <c r="AK113" s="59">
        <f>IF(AN113=12,I113,0)</f>
        <v>0</v>
      </c>
      <c r="AL113" s="59">
        <f>IF(AN113=21,I113,0)</f>
        <v>0</v>
      </c>
      <c r="AN113" s="59">
        <v>12</v>
      </c>
      <c r="AO113" s="59">
        <f>H113*0</f>
        <v>0</v>
      </c>
      <c r="AP113" s="59">
        <f>H113*(1-0)</f>
        <v>0</v>
      </c>
      <c r="AQ113" s="61" t="s">
        <v>111</v>
      </c>
      <c r="AV113" s="59">
        <f>ROUND(AW113+AX113,2)</f>
        <v>0</v>
      </c>
      <c r="AW113" s="59">
        <f>ROUND(G113*AO113,2)</f>
        <v>0</v>
      </c>
      <c r="AX113" s="59">
        <f>ROUND(G113*AP113,2)</f>
        <v>0</v>
      </c>
      <c r="AY113" s="61" t="s">
        <v>295</v>
      </c>
      <c r="AZ113" s="61" t="s">
        <v>274</v>
      </c>
      <c r="BA113" s="46" t="s">
        <v>118</v>
      </c>
      <c r="BC113" s="59">
        <f>AW113+AX113</f>
        <v>0</v>
      </c>
      <c r="BD113" s="59">
        <f>H113/(100-BE113)*100</f>
        <v>0</v>
      </c>
      <c r="BE113" s="59">
        <v>0</v>
      </c>
      <c r="BF113" s="59">
        <f>L113</f>
        <v>0</v>
      </c>
      <c r="BH113" s="59">
        <f>G113*AO113</f>
        <v>0</v>
      </c>
      <c r="BI113" s="59">
        <f>G113*AP113</f>
        <v>0</v>
      </c>
      <c r="BJ113" s="59">
        <f>G113*H113</f>
        <v>0</v>
      </c>
      <c r="BK113" s="59"/>
      <c r="BL113" s="59">
        <v>96</v>
      </c>
      <c r="BW113" s="59">
        <v>12</v>
      </c>
      <c r="BX113" s="16" t="s">
        <v>298</v>
      </c>
    </row>
    <row r="114" spans="1:76" x14ac:dyDescent="0.25">
      <c r="A114" s="62"/>
      <c r="D114" s="63" t="s">
        <v>300</v>
      </c>
      <c r="E114" s="63"/>
      <c r="G114" s="64">
        <v>38</v>
      </c>
      <c r="M114" s="65"/>
    </row>
    <row r="115" spans="1:76" ht="15" customHeight="1" x14ac:dyDescent="0.25">
      <c r="A115" s="58" t="s">
        <v>301</v>
      </c>
      <c r="B115" s="18" t="s">
        <v>107</v>
      </c>
      <c r="C115" s="18" t="s">
        <v>302</v>
      </c>
      <c r="D115" s="8" t="s">
        <v>303</v>
      </c>
      <c r="E115" s="8"/>
      <c r="F115" s="18" t="s">
        <v>114</v>
      </c>
      <c r="G115" s="59">
        <f>'Stavební rozpočet'!G94</f>
        <v>37.26</v>
      </c>
      <c r="H115" s="59">
        <f>'Stavební rozpočet'!H94</f>
        <v>0</v>
      </c>
      <c r="I115" s="59">
        <f>ROUND(G115*H115,2)</f>
        <v>0</v>
      </c>
      <c r="J115" s="59">
        <f>'Stavební rozpočet'!J94</f>
        <v>1E-3</v>
      </c>
      <c r="K115" s="59">
        <f>'Stavební rozpočet'!K94</f>
        <v>3.2000000000000001E-2</v>
      </c>
      <c r="L115" s="59">
        <f>G115*K115</f>
        <v>1.19232</v>
      </c>
      <c r="M115" s="60" t="s">
        <v>115</v>
      </c>
      <c r="Z115" s="59">
        <f>ROUND(IF(AQ115="5",BJ115,0),2)</f>
        <v>0</v>
      </c>
      <c r="AB115" s="59">
        <f>ROUND(IF(AQ115="1",BH115,0),2)</f>
        <v>0</v>
      </c>
      <c r="AC115" s="59">
        <f>ROUND(IF(AQ115="1",BI115,0),2)</f>
        <v>0</v>
      </c>
      <c r="AD115" s="59">
        <f>ROUND(IF(AQ115="7",BH115,0),2)</f>
        <v>0</v>
      </c>
      <c r="AE115" s="59">
        <f>ROUND(IF(AQ115="7",BI115,0),2)</f>
        <v>0</v>
      </c>
      <c r="AF115" s="59">
        <f>ROUND(IF(AQ115="2",BH115,0),2)</f>
        <v>0</v>
      </c>
      <c r="AG115" s="59">
        <f>ROUND(IF(AQ115="2",BI115,0),2)</f>
        <v>0</v>
      </c>
      <c r="AH115" s="59">
        <f>ROUND(IF(AQ115="0",BJ115,0),2)</f>
        <v>0</v>
      </c>
      <c r="AI115" s="46" t="s">
        <v>107</v>
      </c>
      <c r="AJ115" s="59">
        <f>IF(AN115=0,I115,0)</f>
        <v>0</v>
      </c>
      <c r="AK115" s="59">
        <f>IF(AN115=12,I115,0)</f>
        <v>0</v>
      </c>
      <c r="AL115" s="59">
        <f>IF(AN115=21,I115,0)</f>
        <v>0</v>
      </c>
      <c r="AN115" s="59">
        <v>12</v>
      </c>
      <c r="AO115" s="59">
        <f>H115*0.133990259</f>
        <v>0</v>
      </c>
      <c r="AP115" s="59">
        <f>H115*(1-0.133990259)</f>
        <v>0</v>
      </c>
      <c r="AQ115" s="61" t="s">
        <v>111</v>
      </c>
      <c r="AV115" s="59">
        <f>ROUND(AW115+AX115,2)</f>
        <v>0</v>
      </c>
      <c r="AW115" s="59">
        <f>ROUND(G115*AO115,2)</f>
        <v>0</v>
      </c>
      <c r="AX115" s="59">
        <f>ROUND(G115*AP115,2)</f>
        <v>0</v>
      </c>
      <c r="AY115" s="61" t="s">
        <v>295</v>
      </c>
      <c r="AZ115" s="61" t="s">
        <v>274</v>
      </c>
      <c r="BA115" s="46" t="s">
        <v>118</v>
      </c>
      <c r="BC115" s="59">
        <f>AW115+AX115</f>
        <v>0</v>
      </c>
      <c r="BD115" s="59">
        <f>H115/(100-BE115)*100</f>
        <v>0</v>
      </c>
      <c r="BE115" s="59">
        <v>0</v>
      </c>
      <c r="BF115" s="59">
        <f>L115</f>
        <v>1.19232</v>
      </c>
      <c r="BH115" s="59">
        <f>G115*AO115</f>
        <v>0</v>
      </c>
      <c r="BI115" s="59">
        <f>G115*AP115</f>
        <v>0</v>
      </c>
      <c r="BJ115" s="59">
        <f>G115*H115</f>
        <v>0</v>
      </c>
      <c r="BK115" s="59"/>
      <c r="BL115" s="59">
        <v>96</v>
      </c>
      <c r="BW115" s="59">
        <v>12</v>
      </c>
      <c r="BX115" s="16" t="s">
        <v>303</v>
      </c>
    </row>
    <row r="116" spans="1:76" x14ac:dyDescent="0.25">
      <c r="A116" s="62"/>
      <c r="D116" s="63" t="s">
        <v>304</v>
      </c>
      <c r="E116" s="63"/>
      <c r="G116" s="64">
        <v>37.26</v>
      </c>
      <c r="M116" s="65"/>
    </row>
    <row r="117" spans="1:76" ht="15" customHeight="1" x14ac:dyDescent="0.25">
      <c r="A117" s="58" t="s">
        <v>305</v>
      </c>
      <c r="B117" s="18" t="s">
        <v>107</v>
      </c>
      <c r="C117" s="18" t="s">
        <v>306</v>
      </c>
      <c r="D117" s="8" t="s">
        <v>307</v>
      </c>
      <c r="E117" s="8"/>
      <c r="F117" s="18" t="s">
        <v>299</v>
      </c>
      <c r="G117" s="59">
        <f>'Stavební rozpočet'!G96</f>
        <v>6</v>
      </c>
      <c r="H117" s="59">
        <f>'Stavební rozpočet'!H96</f>
        <v>0</v>
      </c>
      <c r="I117" s="59">
        <f>ROUND(G117*H117,2)</f>
        <v>0</v>
      </c>
      <c r="J117" s="59">
        <f>'Stavební rozpočet'!J96</f>
        <v>0</v>
      </c>
      <c r="K117" s="59">
        <f>'Stavební rozpočet'!K96</f>
        <v>0</v>
      </c>
      <c r="L117" s="59">
        <f>G117*K117</f>
        <v>0</v>
      </c>
      <c r="M117" s="60" t="s">
        <v>115</v>
      </c>
      <c r="Z117" s="59">
        <f>ROUND(IF(AQ117="5",BJ117,0),2)</f>
        <v>0</v>
      </c>
      <c r="AB117" s="59">
        <f>ROUND(IF(AQ117="1",BH117,0),2)</f>
        <v>0</v>
      </c>
      <c r="AC117" s="59">
        <f>ROUND(IF(AQ117="1",BI117,0),2)</f>
        <v>0</v>
      </c>
      <c r="AD117" s="59">
        <f>ROUND(IF(AQ117="7",BH117,0),2)</f>
        <v>0</v>
      </c>
      <c r="AE117" s="59">
        <f>ROUND(IF(AQ117="7",BI117,0),2)</f>
        <v>0</v>
      </c>
      <c r="AF117" s="59">
        <f>ROUND(IF(AQ117="2",BH117,0),2)</f>
        <v>0</v>
      </c>
      <c r="AG117" s="59">
        <f>ROUND(IF(AQ117="2",BI117,0),2)</f>
        <v>0</v>
      </c>
      <c r="AH117" s="59">
        <f>ROUND(IF(AQ117="0",BJ117,0),2)</f>
        <v>0</v>
      </c>
      <c r="AI117" s="46" t="s">
        <v>107</v>
      </c>
      <c r="AJ117" s="59">
        <f>IF(AN117=0,I117,0)</f>
        <v>0</v>
      </c>
      <c r="AK117" s="59">
        <f>IF(AN117=12,I117,0)</f>
        <v>0</v>
      </c>
      <c r="AL117" s="59">
        <f>IF(AN117=21,I117,0)</f>
        <v>0</v>
      </c>
      <c r="AN117" s="59">
        <v>12</v>
      </c>
      <c r="AO117" s="59">
        <f>H117*0</f>
        <v>0</v>
      </c>
      <c r="AP117" s="59">
        <f>H117*(1-0)</f>
        <v>0</v>
      </c>
      <c r="AQ117" s="61" t="s">
        <v>111</v>
      </c>
      <c r="AV117" s="59">
        <f>ROUND(AW117+AX117,2)</f>
        <v>0</v>
      </c>
      <c r="AW117" s="59">
        <f>ROUND(G117*AO117,2)</f>
        <v>0</v>
      </c>
      <c r="AX117" s="59">
        <f>ROUND(G117*AP117,2)</f>
        <v>0</v>
      </c>
      <c r="AY117" s="61" t="s">
        <v>295</v>
      </c>
      <c r="AZ117" s="61" t="s">
        <v>274</v>
      </c>
      <c r="BA117" s="46" t="s">
        <v>118</v>
      </c>
      <c r="BC117" s="59">
        <f>AW117+AX117</f>
        <v>0</v>
      </c>
      <c r="BD117" s="59">
        <f>H117/(100-BE117)*100</f>
        <v>0</v>
      </c>
      <c r="BE117" s="59">
        <v>0</v>
      </c>
      <c r="BF117" s="59">
        <f>L117</f>
        <v>0</v>
      </c>
      <c r="BH117" s="59">
        <f>G117*AO117</f>
        <v>0</v>
      </c>
      <c r="BI117" s="59">
        <f>G117*AP117</f>
        <v>0</v>
      </c>
      <c r="BJ117" s="59">
        <f>G117*H117</f>
        <v>0</v>
      </c>
      <c r="BK117" s="59"/>
      <c r="BL117" s="59">
        <v>96</v>
      </c>
      <c r="BW117" s="59">
        <v>12</v>
      </c>
      <c r="BX117" s="16" t="s">
        <v>307</v>
      </c>
    </row>
    <row r="118" spans="1:76" x14ac:dyDescent="0.25">
      <c r="A118" s="62"/>
      <c r="D118" s="63" t="s">
        <v>145</v>
      </c>
      <c r="E118" s="63"/>
      <c r="G118" s="64">
        <v>6</v>
      </c>
      <c r="M118" s="65"/>
    </row>
    <row r="119" spans="1:76" ht="15" customHeight="1" x14ac:dyDescent="0.25">
      <c r="A119" s="58" t="s">
        <v>308</v>
      </c>
      <c r="B119" s="18" t="s">
        <v>107</v>
      </c>
      <c r="C119" s="18" t="s">
        <v>309</v>
      </c>
      <c r="D119" s="8" t="s">
        <v>310</v>
      </c>
      <c r="E119" s="8"/>
      <c r="F119" s="18" t="s">
        <v>114</v>
      </c>
      <c r="G119" s="59">
        <f>'Stavební rozpočet'!G98</f>
        <v>11.420999999999999</v>
      </c>
      <c r="H119" s="59">
        <f>'Stavební rozpočet'!H98</f>
        <v>0</v>
      </c>
      <c r="I119" s="59">
        <f>ROUND(G119*H119,2)</f>
        <v>0</v>
      </c>
      <c r="J119" s="59">
        <f>'Stavební rozpočet'!J98</f>
        <v>1E-3</v>
      </c>
      <c r="K119" s="59">
        <f>'Stavební rozpočet'!K98</f>
        <v>6.4000000000000001E-2</v>
      </c>
      <c r="L119" s="59">
        <f>G119*K119</f>
        <v>0.73094399999999993</v>
      </c>
      <c r="M119" s="60" t="s">
        <v>115</v>
      </c>
      <c r="Z119" s="59">
        <f>ROUND(IF(AQ119="5",BJ119,0),2)</f>
        <v>0</v>
      </c>
      <c r="AB119" s="59">
        <f>ROUND(IF(AQ119="1",BH119,0),2)</f>
        <v>0</v>
      </c>
      <c r="AC119" s="59">
        <f>ROUND(IF(AQ119="1",BI119,0),2)</f>
        <v>0</v>
      </c>
      <c r="AD119" s="59">
        <f>ROUND(IF(AQ119="7",BH119,0),2)</f>
        <v>0</v>
      </c>
      <c r="AE119" s="59">
        <f>ROUND(IF(AQ119="7",BI119,0),2)</f>
        <v>0</v>
      </c>
      <c r="AF119" s="59">
        <f>ROUND(IF(AQ119="2",BH119,0),2)</f>
        <v>0</v>
      </c>
      <c r="AG119" s="59">
        <f>ROUND(IF(AQ119="2",BI119,0),2)</f>
        <v>0</v>
      </c>
      <c r="AH119" s="59">
        <f>ROUND(IF(AQ119="0",BJ119,0),2)</f>
        <v>0</v>
      </c>
      <c r="AI119" s="46" t="s">
        <v>107</v>
      </c>
      <c r="AJ119" s="59">
        <f>IF(AN119=0,I119,0)</f>
        <v>0</v>
      </c>
      <c r="AK119" s="59">
        <f>IF(AN119=12,I119,0)</f>
        <v>0</v>
      </c>
      <c r="AL119" s="59">
        <f>IF(AN119=21,I119,0)</f>
        <v>0</v>
      </c>
      <c r="AN119" s="59">
        <v>12</v>
      </c>
      <c r="AO119" s="59">
        <f>H119*0.067539635</f>
        <v>0</v>
      </c>
      <c r="AP119" s="59">
        <f>H119*(1-0.067539635)</f>
        <v>0</v>
      </c>
      <c r="AQ119" s="61" t="s">
        <v>111</v>
      </c>
      <c r="AV119" s="59">
        <f>ROUND(AW119+AX119,2)</f>
        <v>0</v>
      </c>
      <c r="AW119" s="59">
        <f>ROUND(G119*AO119,2)</f>
        <v>0</v>
      </c>
      <c r="AX119" s="59">
        <f>ROUND(G119*AP119,2)</f>
        <v>0</v>
      </c>
      <c r="AY119" s="61" t="s">
        <v>295</v>
      </c>
      <c r="AZ119" s="61" t="s">
        <v>274</v>
      </c>
      <c r="BA119" s="46" t="s">
        <v>118</v>
      </c>
      <c r="BC119" s="59">
        <f>AW119+AX119</f>
        <v>0</v>
      </c>
      <c r="BD119" s="59">
        <f>H119/(100-BE119)*100</f>
        <v>0</v>
      </c>
      <c r="BE119" s="59">
        <v>0</v>
      </c>
      <c r="BF119" s="59">
        <f>L119</f>
        <v>0.73094399999999993</v>
      </c>
      <c r="BH119" s="59">
        <f>G119*AO119</f>
        <v>0</v>
      </c>
      <c r="BI119" s="59">
        <f>G119*AP119</f>
        <v>0</v>
      </c>
      <c r="BJ119" s="59">
        <f>G119*H119</f>
        <v>0</v>
      </c>
      <c r="BK119" s="59"/>
      <c r="BL119" s="59">
        <v>96</v>
      </c>
      <c r="BW119" s="59">
        <v>12</v>
      </c>
      <c r="BX119" s="16" t="s">
        <v>310</v>
      </c>
    </row>
    <row r="120" spans="1:76" x14ac:dyDescent="0.25">
      <c r="A120" s="62"/>
      <c r="D120" s="63" t="s">
        <v>311</v>
      </c>
      <c r="E120" s="63"/>
      <c r="G120" s="64">
        <v>11.420999999999999</v>
      </c>
      <c r="M120" s="65"/>
    </row>
    <row r="121" spans="1:76" ht="15" customHeight="1" x14ac:dyDescent="0.25">
      <c r="A121" s="54"/>
      <c r="B121" s="55" t="s">
        <v>107</v>
      </c>
      <c r="C121" s="55" t="s">
        <v>312</v>
      </c>
      <c r="D121" s="104" t="s">
        <v>313</v>
      </c>
      <c r="E121" s="104"/>
      <c r="F121" s="56" t="s">
        <v>88</v>
      </c>
      <c r="G121" s="56" t="s">
        <v>88</v>
      </c>
      <c r="H121" s="56" t="s">
        <v>88</v>
      </c>
      <c r="I121" s="39">
        <f>SUM(I122)</f>
        <v>0</v>
      </c>
      <c r="J121" s="46"/>
      <c r="K121" s="46"/>
      <c r="L121" s="39">
        <f>SUM(L122)</f>
        <v>1.0718000000000001</v>
      </c>
      <c r="M121" s="57"/>
      <c r="AI121" s="46" t="s">
        <v>107</v>
      </c>
      <c r="AS121" s="39">
        <f>SUM(AJ122)</f>
        <v>0</v>
      </c>
      <c r="AT121" s="39">
        <f>SUM(AK122)</f>
        <v>0</v>
      </c>
      <c r="AU121" s="39">
        <f>SUM(AL122)</f>
        <v>0</v>
      </c>
    </row>
    <row r="122" spans="1:76" ht="15" customHeight="1" x14ac:dyDescent="0.25">
      <c r="A122" s="58" t="s">
        <v>314</v>
      </c>
      <c r="B122" s="18" t="s">
        <v>107</v>
      </c>
      <c r="C122" s="18" t="s">
        <v>315</v>
      </c>
      <c r="D122" s="8" t="s">
        <v>316</v>
      </c>
      <c r="E122" s="8"/>
      <c r="F122" s="18" t="s">
        <v>114</v>
      </c>
      <c r="G122" s="59">
        <f>'Stavební rozpočet'!G101</f>
        <v>23.3</v>
      </c>
      <c r="H122" s="59">
        <f>'Stavební rozpočet'!H101</f>
        <v>0</v>
      </c>
      <c r="I122" s="59">
        <f>ROUND(G122*H122,2)</f>
        <v>0</v>
      </c>
      <c r="J122" s="59">
        <f>'Stavební rozpočet'!J101</f>
        <v>0</v>
      </c>
      <c r="K122" s="59">
        <f>'Stavební rozpočet'!K101</f>
        <v>4.5999999999999999E-2</v>
      </c>
      <c r="L122" s="59">
        <f>G122*K122</f>
        <v>1.0718000000000001</v>
      </c>
      <c r="M122" s="60" t="s">
        <v>115</v>
      </c>
      <c r="Z122" s="59">
        <f>ROUND(IF(AQ122="5",BJ122,0),2)</f>
        <v>0</v>
      </c>
      <c r="AB122" s="59">
        <f>ROUND(IF(AQ122="1",BH122,0),2)</f>
        <v>0</v>
      </c>
      <c r="AC122" s="59">
        <f>ROUND(IF(AQ122="1",BI122,0),2)</f>
        <v>0</v>
      </c>
      <c r="AD122" s="59">
        <f>ROUND(IF(AQ122="7",BH122,0),2)</f>
        <v>0</v>
      </c>
      <c r="AE122" s="59">
        <f>ROUND(IF(AQ122="7",BI122,0),2)</f>
        <v>0</v>
      </c>
      <c r="AF122" s="59">
        <f>ROUND(IF(AQ122="2",BH122,0),2)</f>
        <v>0</v>
      </c>
      <c r="AG122" s="59">
        <f>ROUND(IF(AQ122="2",BI122,0),2)</f>
        <v>0</v>
      </c>
      <c r="AH122" s="59">
        <f>ROUND(IF(AQ122="0",BJ122,0),2)</f>
        <v>0</v>
      </c>
      <c r="AI122" s="46" t="s">
        <v>107</v>
      </c>
      <c r="AJ122" s="59">
        <f>IF(AN122=0,I122,0)</f>
        <v>0</v>
      </c>
      <c r="AK122" s="59">
        <f>IF(AN122=12,I122,0)</f>
        <v>0</v>
      </c>
      <c r="AL122" s="59">
        <f>IF(AN122=21,I122,0)</f>
        <v>0</v>
      </c>
      <c r="AN122" s="59">
        <v>12</v>
      </c>
      <c r="AO122" s="59">
        <f>H122*0</f>
        <v>0</v>
      </c>
      <c r="AP122" s="59">
        <f>H122*(1-0)</f>
        <v>0</v>
      </c>
      <c r="AQ122" s="61" t="s">
        <v>111</v>
      </c>
      <c r="AV122" s="59">
        <f>ROUND(AW122+AX122,2)</f>
        <v>0</v>
      </c>
      <c r="AW122" s="59">
        <f>ROUND(G122*AO122,2)</f>
        <v>0</v>
      </c>
      <c r="AX122" s="59">
        <f>ROUND(G122*AP122,2)</f>
        <v>0</v>
      </c>
      <c r="AY122" s="61" t="s">
        <v>317</v>
      </c>
      <c r="AZ122" s="61" t="s">
        <v>274</v>
      </c>
      <c r="BA122" s="46" t="s">
        <v>118</v>
      </c>
      <c r="BC122" s="59">
        <f>AW122+AX122</f>
        <v>0</v>
      </c>
      <c r="BD122" s="59">
        <f>H122/(100-BE122)*100</f>
        <v>0</v>
      </c>
      <c r="BE122" s="59">
        <v>0</v>
      </c>
      <c r="BF122" s="59">
        <f>L122</f>
        <v>1.0718000000000001</v>
      </c>
      <c r="BH122" s="59">
        <f>G122*AO122</f>
        <v>0</v>
      </c>
      <c r="BI122" s="59">
        <f>G122*AP122</f>
        <v>0</v>
      </c>
      <c r="BJ122" s="59">
        <f>G122*H122</f>
        <v>0</v>
      </c>
      <c r="BK122" s="59"/>
      <c r="BL122" s="59">
        <v>97</v>
      </c>
      <c r="BW122" s="59">
        <v>12</v>
      </c>
      <c r="BX122" s="16" t="s">
        <v>316</v>
      </c>
    </row>
    <row r="123" spans="1:76" x14ac:dyDescent="0.25">
      <c r="A123" s="62"/>
      <c r="D123" s="63" t="s">
        <v>252</v>
      </c>
      <c r="E123" s="63"/>
      <c r="G123" s="64">
        <v>23.3</v>
      </c>
      <c r="M123" s="65"/>
    </row>
    <row r="124" spans="1:76" ht="15" customHeight="1" x14ac:dyDescent="0.25">
      <c r="A124" s="54"/>
      <c r="B124" s="55" t="s">
        <v>107</v>
      </c>
      <c r="C124" s="55" t="s">
        <v>318</v>
      </c>
      <c r="D124" s="104" t="s">
        <v>319</v>
      </c>
      <c r="E124" s="104"/>
      <c r="F124" s="56" t="s">
        <v>88</v>
      </c>
      <c r="G124" s="56" t="s">
        <v>88</v>
      </c>
      <c r="H124" s="56" t="s">
        <v>88</v>
      </c>
      <c r="I124" s="39">
        <f>SUM(I125)</f>
        <v>0</v>
      </c>
      <c r="J124" s="46"/>
      <c r="K124" s="46"/>
      <c r="L124" s="39">
        <f>SUM(L125)</f>
        <v>0</v>
      </c>
      <c r="M124" s="57"/>
      <c r="AI124" s="46" t="s">
        <v>107</v>
      </c>
      <c r="AS124" s="39">
        <f>SUM(AJ125)</f>
        <v>0</v>
      </c>
      <c r="AT124" s="39">
        <f>SUM(AK125)</f>
        <v>0</v>
      </c>
      <c r="AU124" s="39">
        <f>SUM(AL125)</f>
        <v>0</v>
      </c>
    </row>
    <row r="125" spans="1:76" ht="15" customHeight="1" x14ac:dyDescent="0.25">
      <c r="A125" s="58" t="s">
        <v>320</v>
      </c>
      <c r="B125" s="18" t="s">
        <v>107</v>
      </c>
      <c r="C125" s="18" t="s">
        <v>321</v>
      </c>
      <c r="D125" s="8" t="s">
        <v>322</v>
      </c>
      <c r="E125" s="8"/>
      <c r="F125" s="18" t="s">
        <v>224</v>
      </c>
      <c r="G125" s="59">
        <f>'Stavební rozpočet'!G104</f>
        <v>1.877</v>
      </c>
      <c r="H125" s="59">
        <f>'Stavební rozpočet'!H104</f>
        <v>0</v>
      </c>
      <c r="I125" s="59">
        <f>ROUND(G125*H125,2)</f>
        <v>0</v>
      </c>
      <c r="J125" s="59">
        <f>'Stavební rozpočet'!J104</f>
        <v>0</v>
      </c>
      <c r="K125" s="59">
        <f>'Stavební rozpočet'!K104</f>
        <v>0</v>
      </c>
      <c r="L125" s="59">
        <f>G125*K125</f>
        <v>0</v>
      </c>
      <c r="M125" s="60" t="s">
        <v>115</v>
      </c>
      <c r="Z125" s="59">
        <f>ROUND(IF(AQ125="5",BJ125,0),2)</f>
        <v>0</v>
      </c>
      <c r="AB125" s="59">
        <f>ROUND(IF(AQ125="1",BH125,0),2)</f>
        <v>0</v>
      </c>
      <c r="AC125" s="59">
        <f>ROUND(IF(AQ125="1",BI125,0),2)</f>
        <v>0</v>
      </c>
      <c r="AD125" s="59">
        <f>ROUND(IF(AQ125="7",BH125,0),2)</f>
        <v>0</v>
      </c>
      <c r="AE125" s="59">
        <f>ROUND(IF(AQ125="7",BI125,0),2)</f>
        <v>0</v>
      </c>
      <c r="AF125" s="59">
        <f>ROUND(IF(AQ125="2",BH125,0),2)</f>
        <v>0</v>
      </c>
      <c r="AG125" s="59">
        <f>ROUND(IF(AQ125="2",BI125,0),2)</f>
        <v>0</v>
      </c>
      <c r="AH125" s="59">
        <f>ROUND(IF(AQ125="0",BJ125,0),2)</f>
        <v>0</v>
      </c>
      <c r="AI125" s="46" t="s">
        <v>107</v>
      </c>
      <c r="AJ125" s="59">
        <f>IF(AN125=0,I125,0)</f>
        <v>0</v>
      </c>
      <c r="AK125" s="59">
        <f>IF(AN125=12,I125,0)</f>
        <v>0</v>
      </c>
      <c r="AL125" s="59">
        <f>IF(AN125=21,I125,0)</f>
        <v>0</v>
      </c>
      <c r="AN125" s="59">
        <v>12</v>
      </c>
      <c r="AO125" s="59">
        <f>H125*0</f>
        <v>0</v>
      </c>
      <c r="AP125" s="59">
        <f>H125*(1-0)</f>
        <v>0</v>
      </c>
      <c r="AQ125" s="61" t="s">
        <v>137</v>
      </c>
      <c r="AV125" s="59">
        <f>ROUND(AW125+AX125,2)</f>
        <v>0</v>
      </c>
      <c r="AW125" s="59">
        <f>ROUND(G125*AO125,2)</f>
        <v>0</v>
      </c>
      <c r="AX125" s="59">
        <f>ROUND(G125*AP125,2)</f>
        <v>0</v>
      </c>
      <c r="AY125" s="61" t="s">
        <v>323</v>
      </c>
      <c r="AZ125" s="61" t="s">
        <v>274</v>
      </c>
      <c r="BA125" s="46" t="s">
        <v>118</v>
      </c>
      <c r="BC125" s="59">
        <f>AW125+AX125</f>
        <v>0</v>
      </c>
      <c r="BD125" s="59">
        <f>H125/(100-BE125)*100</f>
        <v>0</v>
      </c>
      <c r="BE125" s="59">
        <v>0</v>
      </c>
      <c r="BF125" s="59">
        <f>L125</f>
        <v>0</v>
      </c>
      <c r="BH125" s="59">
        <f>G125*AO125</f>
        <v>0</v>
      </c>
      <c r="BI125" s="59">
        <f>G125*AP125</f>
        <v>0</v>
      </c>
      <c r="BJ125" s="59">
        <f>G125*H125</f>
        <v>0</v>
      </c>
      <c r="BK125" s="59"/>
      <c r="BL125" s="59"/>
      <c r="BW125" s="59">
        <v>12</v>
      </c>
      <c r="BX125" s="16" t="s">
        <v>322</v>
      </c>
    </row>
    <row r="126" spans="1:76" ht="15" customHeight="1" x14ac:dyDescent="0.25">
      <c r="A126" s="54"/>
      <c r="B126" s="55" t="s">
        <v>107</v>
      </c>
      <c r="C126" s="55" t="s">
        <v>324</v>
      </c>
      <c r="D126" s="104" t="s">
        <v>325</v>
      </c>
      <c r="E126" s="104"/>
      <c r="F126" s="56" t="s">
        <v>88</v>
      </c>
      <c r="G126" s="56" t="s">
        <v>88</v>
      </c>
      <c r="H126" s="56" t="s">
        <v>88</v>
      </c>
      <c r="I126" s="39">
        <f>SUM(I127:I135)</f>
        <v>0</v>
      </c>
      <c r="J126" s="46"/>
      <c r="K126" s="46"/>
      <c r="L126" s="39">
        <f>SUM(L127:L135)</f>
        <v>0</v>
      </c>
      <c r="M126" s="57"/>
      <c r="AI126" s="46" t="s">
        <v>107</v>
      </c>
      <c r="AS126" s="39">
        <f>SUM(AJ127:AJ135)</f>
        <v>0</v>
      </c>
      <c r="AT126" s="39">
        <f>SUM(AK127:AK135)</f>
        <v>0</v>
      </c>
      <c r="AU126" s="39">
        <f>SUM(AL127:AL135)</f>
        <v>0</v>
      </c>
    </row>
    <row r="127" spans="1:76" ht="15" customHeight="1" x14ac:dyDescent="0.25">
      <c r="A127" s="58" t="s">
        <v>326</v>
      </c>
      <c r="B127" s="18" t="s">
        <v>107</v>
      </c>
      <c r="C127" s="18" t="s">
        <v>327</v>
      </c>
      <c r="D127" s="8" t="s">
        <v>328</v>
      </c>
      <c r="E127" s="8"/>
      <c r="F127" s="18" t="s">
        <v>224</v>
      </c>
      <c r="G127" s="59">
        <f>'Stavební rozpočet'!G106</f>
        <v>3.32</v>
      </c>
      <c r="H127" s="59">
        <f>'Stavební rozpočet'!H106</f>
        <v>0</v>
      </c>
      <c r="I127" s="59">
        <f>ROUND(G127*H127,2)</f>
        <v>0</v>
      </c>
      <c r="J127" s="59">
        <f>'Stavební rozpočet'!J106</f>
        <v>0</v>
      </c>
      <c r="K127" s="59">
        <f>'Stavební rozpočet'!K106</f>
        <v>0</v>
      </c>
      <c r="L127" s="59">
        <f>G127*K127</f>
        <v>0</v>
      </c>
      <c r="M127" s="60" t="s">
        <v>115</v>
      </c>
      <c r="Z127" s="59">
        <f>ROUND(IF(AQ127="5",BJ127,0),2)</f>
        <v>0</v>
      </c>
      <c r="AB127" s="59">
        <f>ROUND(IF(AQ127="1",BH127,0),2)</f>
        <v>0</v>
      </c>
      <c r="AC127" s="59">
        <f>ROUND(IF(AQ127="1",BI127,0),2)</f>
        <v>0</v>
      </c>
      <c r="AD127" s="59">
        <f>ROUND(IF(AQ127="7",BH127,0),2)</f>
        <v>0</v>
      </c>
      <c r="AE127" s="59">
        <f>ROUND(IF(AQ127="7",BI127,0),2)</f>
        <v>0</v>
      </c>
      <c r="AF127" s="59">
        <f>ROUND(IF(AQ127="2",BH127,0),2)</f>
        <v>0</v>
      </c>
      <c r="AG127" s="59">
        <f>ROUND(IF(AQ127="2",BI127,0),2)</f>
        <v>0</v>
      </c>
      <c r="AH127" s="59">
        <f>ROUND(IF(AQ127="0",BJ127,0),2)</f>
        <v>0</v>
      </c>
      <c r="AI127" s="46" t="s">
        <v>107</v>
      </c>
      <c r="AJ127" s="59">
        <f>IF(AN127=0,I127,0)</f>
        <v>0</v>
      </c>
      <c r="AK127" s="59">
        <f>IF(AN127=12,I127,0)</f>
        <v>0</v>
      </c>
      <c r="AL127" s="59">
        <f>IF(AN127=21,I127,0)</f>
        <v>0</v>
      </c>
      <c r="AN127" s="59">
        <v>12</v>
      </c>
      <c r="AO127" s="59">
        <f>H127*0</f>
        <v>0</v>
      </c>
      <c r="AP127" s="59">
        <f>H127*(1-0)</f>
        <v>0</v>
      </c>
      <c r="AQ127" s="61" t="s">
        <v>137</v>
      </c>
      <c r="AV127" s="59">
        <f>ROUND(AW127+AX127,2)</f>
        <v>0</v>
      </c>
      <c r="AW127" s="59">
        <f>ROUND(G127*AO127,2)</f>
        <v>0</v>
      </c>
      <c r="AX127" s="59">
        <f>ROUND(G127*AP127,2)</f>
        <v>0</v>
      </c>
      <c r="AY127" s="61" t="s">
        <v>329</v>
      </c>
      <c r="AZ127" s="61" t="s">
        <v>274</v>
      </c>
      <c r="BA127" s="46" t="s">
        <v>118</v>
      </c>
      <c r="BC127" s="59">
        <f>AW127+AX127</f>
        <v>0</v>
      </c>
      <c r="BD127" s="59">
        <f>H127/(100-BE127)*100</f>
        <v>0</v>
      </c>
      <c r="BE127" s="59">
        <v>0</v>
      </c>
      <c r="BF127" s="59">
        <f>L127</f>
        <v>0</v>
      </c>
      <c r="BH127" s="59">
        <f>G127*AO127</f>
        <v>0</v>
      </c>
      <c r="BI127" s="59">
        <f>G127*AP127</f>
        <v>0</v>
      </c>
      <c r="BJ127" s="59">
        <f>G127*H127</f>
        <v>0</v>
      </c>
      <c r="BK127" s="59"/>
      <c r="BL127" s="59"/>
      <c r="BW127" s="59">
        <v>12</v>
      </c>
      <c r="BX127" s="16" t="s">
        <v>328</v>
      </c>
    </row>
    <row r="128" spans="1:76" x14ac:dyDescent="0.25">
      <c r="A128" s="62"/>
      <c r="D128" s="63" t="s">
        <v>330</v>
      </c>
      <c r="E128" s="63"/>
      <c r="G128" s="64">
        <v>3.32</v>
      </c>
      <c r="M128" s="65"/>
    </row>
    <row r="129" spans="1:76" ht="15" customHeight="1" x14ac:dyDescent="0.25">
      <c r="A129" s="58" t="s">
        <v>331</v>
      </c>
      <c r="B129" s="18" t="s">
        <v>107</v>
      </c>
      <c r="C129" s="18" t="s">
        <v>332</v>
      </c>
      <c r="D129" s="8" t="s">
        <v>333</v>
      </c>
      <c r="E129" s="8"/>
      <c r="F129" s="18" t="s">
        <v>224</v>
      </c>
      <c r="G129" s="59">
        <f>'Stavební rozpočet'!G108</f>
        <v>3.32</v>
      </c>
      <c r="H129" s="59">
        <f>'Stavební rozpočet'!H108</f>
        <v>0</v>
      </c>
      <c r="I129" s="59">
        <f>ROUND(G129*H129,2)</f>
        <v>0</v>
      </c>
      <c r="J129" s="59">
        <f>'Stavební rozpočet'!J108</f>
        <v>0</v>
      </c>
      <c r="K129" s="59">
        <f>'Stavební rozpočet'!K108</f>
        <v>0</v>
      </c>
      <c r="L129" s="59">
        <f>G129*K129</f>
        <v>0</v>
      </c>
      <c r="M129" s="60" t="s">
        <v>115</v>
      </c>
      <c r="Z129" s="59">
        <f>ROUND(IF(AQ129="5",BJ129,0),2)</f>
        <v>0</v>
      </c>
      <c r="AB129" s="59">
        <f>ROUND(IF(AQ129="1",BH129,0),2)</f>
        <v>0</v>
      </c>
      <c r="AC129" s="59">
        <f>ROUND(IF(AQ129="1",BI129,0),2)</f>
        <v>0</v>
      </c>
      <c r="AD129" s="59">
        <f>ROUND(IF(AQ129="7",BH129,0),2)</f>
        <v>0</v>
      </c>
      <c r="AE129" s="59">
        <f>ROUND(IF(AQ129="7",BI129,0),2)</f>
        <v>0</v>
      </c>
      <c r="AF129" s="59">
        <f>ROUND(IF(AQ129="2",BH129,0),2)</f>
        <v>0</v>
      </c>
      <c r="AG129" s="59">
        <f>ROUND(IF(AQ129="2",BI129,0),2)</f>
        <v>0</v>
      </c>
      <c r="AH129" s="59">
        <f>ROUND(IF(AQ129="0",BJ129,0),2)</f>
        <v>0</v>
      </c>
      <c r="AI129" s="46" t="s">
        <v>107</v>
      </c>
      <c r="AJ129" s="59">
        <f>IF(AN129=0,I129,0)</f>
        <v>0</v>
      </c>
      <c r="AK129" s="59">
        <f>IF(AN129=12,I129,0)</f>
        <v>0</v>
      </c>
      <c r="AL129" s="59">
        <f>IF(AN129=21,I129,0)</f>
        <v>0</v>
      </c>
      <c r="AN129" s="59">
        <v>12</v>
      </c>
      <c r="AO129" s="59">
        <f>H129*0</f>
        <v>0</v>
      </c>
      <c r="AP129" s="59">
        <f>H129*(1-0)</f>
        <v>0</v>
      </c>
      <c r="AQ129" s="61" t="s">
        <v>137</v>
      </c>
      <c r="AV129" s="59">
        <f>ROUND(AW129+AX129,2)</f>
        <v>0</v>
      </c>
      <c r="AW129" s="59">
        <f>ROUND(G129*AO129,2)</f>
        <v>0</v>
      </c>
      <c r="AX129" s="59">
        <f>ROUND(G129*AP129,2)</f>
        <v>0</v>
      </c>
      <c r="AY129" s="61" t="s">
        <v>329</v>
      </c>
      <c r="AZ129" s="61" t="s">
        <v>274</v>
      </c>
      <c r="BA129" s="46" t="s">
        <v>118</v>
      </c>
      <c r="BC129" s="59">
        <f>AW129+AX129</f>
        <v>0</v>
      </c>
      <c r="BD129" s="59">
        <f>H129/(100-BE129)*100</f>
        <v>0</v>
      </c>
      <c r="BE129" s="59">
        <v>0</v>
      </c>
      <c r="BF129" s="59">
        <f>L129</f>
        <v>0</v>
      </c>
      <c r="BH129" s="59">
        <f>G129*AO129</f>
        <v>0</v>
      </c>
      <c r="BI129" s="59">
        <f>G129*AP129</f>
        <v>0</v>
      </c>
      <c r="BJ129" s="59">
        <f>G129*H129</f>
        <v>0</v>
      </c>
      <c r="BK129" s="59"/>
      <c r="BL129" s="59"/>
      <c r="BW129" s="59">
        <v>12</v>
      </c>
      <c r="BX129" s="16" t="s">
        <v>333</v>
      </c>
    </row>
    <row r="130" spans="1:76" x14ac:dyDescent="0.25">
      <c r="A130" s="62"/>
      <c r="D130" s="63" t="s">
        <v>334</v>
      </c>
      <c r="E130" s="63"/>
      <c r="G130" s="64">
        <v>3.32</v>
      </c>
      <c r="M130" s="65"/>
    </row>
    <row r="131" spans="1:76" ht="15" customHeight="1" x14ac:dyDescent="0.25">
      <c r="A131" s="58" t="s">
        <v>335</v>
      </c>
      <c r="B131" s="18" t="s">
        <v>107</v>
      </c>
      <c r="C131" s="18" t="s">
        <v>336</v>
      </c>
      <c r="D131" s="8" t="s">
        <v>337</v>
      </c>
      <c r="E131" s="8"/>
      <c r="F131" s="18" t="s">
        <v>224</v>
      </c>
      <c r="G131" s="59">
        <f>'Stavební rozpočet'!G110</f>
        <v>3.32</v>
      </c>
      <c r="H131" s="59">
        <f>'Stavební rozpočet'!H110</f>
        <v>0</v>
      </c>
      <c r="I131" s="59">
        <f>ROUND(G131*H131,2)</f>
        <v>0</v>
      </c>
      <c r="J131" s="59">
        <f>'Stavební rozpočet'!J110</f>
        <v>0</v>
      </c>
      <c r="K131" s="59">
        <f>'Stavební rozpočet'!K110</f>
        <v>0</v>
      </c>
      <c r="L131" s="59">
        <f>G131*K131</f>
        <v>0</v>
      </c>
      <c r="M131" s="60" t="s">
        <v>115</v>
      </c>
      <c r="Z131" s="59">
        <f>ROUND(IF(AQ131="5",BJ131,0),2)</f>
        <v>0</v>
      </c>
      <c r="AB131" s="59">
        <f>ROUND(IF(AQ131="1",BH131,0),2)</f>
        <v>0</v>
      </c>
      <c r="AC131" s="59">
        <f>ROUND(IF(AQ131="1",BI131,0),2)</f>
        <v>0</v>
      </c>
      <c r="AD131" s="59">
        <f>ROUND(IF(AQ131="7",BH131,0),2)</f>
        <v>0</v>
      </c>
      <c r="AE131" s="59">
        <f>ROUND(IF(AQ131="7",BI131,0),2)</f>
        <v>0</v>
      </c>
      <c r="AF131" s="59">
        <f>ROUND(IF(AQ131="2",BH131,0),2)</f>
        <v>0</v>
      </c>
      <c r="AG131" s="59">
        <f>ROUND(IF(AQ131="2",BI131,0),2)</f>
        <v>0</v>
      </c>
      <c r="AH131" s="59">
        <f>ROUND(IF(AQ131="0",BJ131,0),2)</f>
        <v>0</v>
      </c>
      <c r="AI131" s="46" t="s">
        <v>107</v>
      </c>
      <c r="AJ131" s="59">
        <f>IF(AN131=0,I131,0)</f>
        <v>0</v>
      </c>
      <c r="AK131" s="59">
        <f>IF(AN131=12,I131,0)</f>
        <v>0</v>
      </c>
      <c r="AL131" s="59">
        <f>IF(AN131=21,I131,0)</f>
        <v>0</v>
      </c>
      <c r="AN131" s="59">
        <v>12</v>
      </c>
      <c r="AO131" s="59">
        <f>H131*0</f>
        <v>0</v>
      </c>
      <c r="AP131" s="59">
        <f>H131*(1-0)</f>
        <v>0</v>
      </c>
      <c r="AQ131" s="61" t="s">
        <v>137</v>
      </c>
      <c r="AV131" s="59">
        <f>ROUND(AW131+AX131,2)</f>
        <v>0</v>
      </c>
      <c r="AW131" s="59">
        <f>ROUND(G131*AO131,2)</f>
        <v>0</v>
      </c>
      <c r="AX131" s="59">
        <f>ROUND(G131*AP131,2)</f>
        <v>0</v>
      </c>
      <c r="AY131" s="61" t="s">
        <v>329</v>
      </c>
      <c r="AZ131" s="61" t="s">
        <v>274</v>
      </c>
      <c r="BA131" s="46" t="s">
        <v>118</v>
      </c>
      <c r="BC131" s="59">
        <f>AW131+AX131</f>
        <v>0</v>
      </c>
      <c r="BD131" s="59">
        <f>H131/(100-BE131)*100</f>
        <v>0</v>
      </c>
      <c r="BE131" s="59">
        <v>0</v>
      </c>
      <c r="BF131" s="59">
        <f>L131</f>
        <v>0</v>
      </c>
      <c r="BH131" s="59">
        <f>G131*AO131</f>
        <v>0</v>
      </c>
      <c r="BI131" s="59">
        <f>G131*AP131</f>
        <v>0</v>
      </c>
      <c r="BJ131" s="59">
        <f>G131*H131</f>
        <v>0</v>
      </c>
      <c r="BK131" s="59"/>
      <c r="BL131" s="59"/>
      <c r="BW131" s="59">
        <v>12</v>
      </c>
      <c r="BX131" s="16" t="s">
        <v>337</v>
      </c>
    </row>
    <row r="132" spans="1:76" x14ac:dyDescent="0.25">
      <c r="A132" s="62"/>
      <c r="D132" s="63" t="s">
        <v>334</v>
      </c>
      <c r="E132" s="63"/>
      <c r="G132" s="64">
        <v>3.32</v>
      </c>
      <c r="M132" s="65"/>
    </row>
    <row r="133" spans="1:76" ht="15" customHeight="1" x14ac:dyDescent="0.25">
      <c r="A133" s="58" t="s">
        <v>338</v>
      </c>
      <c r="B133" s="18" t="s">
        <v>107</v>
      </c>
      <c r="C133" s="18" t="s">
        <v>339</v>
      </c>
      <c r="D133" s="8" t="s">
        <v>340</v>
      </c>
      <c r="E133" s="8"/>
      <c r="F133" s="18" t="s">
        <v>224</v>
      </c>
      <c r="G133" s="59">
        <f>'Stavební rozpočet'!G112</f>
        <v>2.3199999999999998</v>
      </c>
      <c r="H133" s="59">
        <f>'Stavební rozpočet'!H112</f>
        <v>0</v>
      </c>
      <c r="I133" s="59">
        <f>ROUND(G133*H133,2)</f>
        <v>0</v>
      </c>
      <c r="J133" s="59">
        <f>'Stavební rozpočet'!J112</f>
        <v>0</v>
      </c>
      <c r="K133" s="59">
        <f>'Stavební rozpočet'!K112</f>
        <v>0</v>
      </c>
      <c r="L133" s="59">
        <f>G133*K133</f>
        <v>0</v>
      </c>
      <c r="M133" s="60" t="s">
        <v>115</v>
      </c>
      <c r="Z133" s="59">
        <f>ROUND(IF(AQ133="5",BJ133,0),2)</f>
        <v>0</v>
      </c>
      <c r="AB133" s="59">
        <f>ROUND(IF(AQ133="1",BH133,0),2)</f>
        <v>0</v>
      </c>
      <c r="AC133" s="59">
        <f>ROUND(IF(AQ133="1",BI133,0),2)</f>
        <v>0</v>
      </c>
      <c r="AD133" s="59">
        <f>ROUND(IF(AQ133="7",BH133,0),2)</f>
        <v>0</v>
      </c>
      <c r="AE133" s="59">
        <f>ROUND(IF(AQ133="7",BI133,0),2)</f>
        <v>0</v>
      </c>
      <c r="AF133" s="59">
        <f>ROUND(IF(AQ133="2",BH133,0),2)</f>
        <v>0</v>
      </c>
      <c r="AG133" s="59">
        <f>ROUND(IF(AQ133="2",BI133,0),2)</f>
        <v>0</v>
      </c>
      <c r="AH133" s="59">
        <f>ROUND(IF(AQ133="0",BJ133,0),2)</f>
        <v>0</v>
      </c>
      <c r="AI133" s="46" t="s">
        <v>107</v>
      </c>
      <c r="AJ133" s="59">
        <f>IF(AN133=0,I133,0)</f>
        <v>0</v>
      </c>
      <c r="AK133" s="59">
        <f>IF(AN133=12,I133,0)</f>
        <v>0</v>
      </c>
      <c r="AL133" s="59">
        <f>IF(AN133=21,I133,0)</f>
        <v>0</v>
      </c>
      <c r="AN133" s="59">
        <v>12</v>
      </c>
      <c r="AO133" s="59">
        <f>H133*0</f>
        <v>0</v>
      </c>
      <c r="AP133" s="59">
        <f>H133*(1-0)</f>
        <v>0</v>
      </c>
      <c r="AQ133" s="61" t="s">
        <v>137</v>
      </c>
      <c r="AV133" s="59">
        <f>ROUND(AW133+AX133,2)</f>
        <v>0</v>
      </c>
      <c r="AW133" s="59">
        <f>ROUND(G133*AO133,2)</f>
        <v>0</v>
      </c>
      <c r="AX133" s="59">
        <f>ROUND(G133*AP133,2)</f>
        <v>0</v>
      </c>
      <c r="AY133" s="61" t="s">
        <v>329</v>
      </c>
      <c r="AZ133" s="61" t="s">
        <v>274</v>
      </c>
      <c r="BA133" s="46" t="s">
        <v>118</v>
      </c>
      <c r="BC133" s="59">
        <f>AW133+AX133</f>
        <v>0</v>
      </c>
      <c r="BD133" s="59">
        <f>H133/(100-BE133)*100</f>
        <v>0</v>
      </c>
      <c r="BE133" s="59">
        <v>0</v>
      </c>
      <c r="BF133" s="59">
        <f>L133</f>
        <v>0</v>
      </c>
      <c r="BH133" s="59">
        <f>G133*AO133</f>
        <v>0</v>
      </c>
      <c r="BI133" s="59">
        <f>G133*AP133</f>
        <v>0</v>
      </c>
      <c r="BJ133" s="59">
        <f>G133*H133</f>
        <v>0</v>
      </c>
      <c r="BK133" s="59"/>
      <c r="BL133" s="59"/>
      <c r="BW133" s="59">
        <v>12</v>
      </c>
      <c r="BX133" s="16" t="s">
        <v>340</v>
      </c>
    </row>
    <row r="134" spans="1:76" x14ac:dyDescent="0.25">
      <c r="A134" s="62"/>
      <c r="D134" s="63" t="s">
        <v>341</v>
      </c>
      <c r="E134" s="63"/>
      <c r="G134" s="64">
        <v>2.3199999999999998</v>
      </c>
      <c r="M134" s="65"/>
    </row>
    <row r="135" spans="1:76" ht="24" customHeight="1" x14ac:dyDescent="0.25">
      <c r="A135" s="58" t="s">
        <v>342</v>
      </c>
      <c r="B135" s="18" t="s">
        <v>107</v>
      </c>
      <c r="C135" s="18" t="s">
        <v>343</v>
      </c>
      <c r="D135" s="8" t="s">
        <v>344</v>
      </c>
      <c r="E135" s="8"/>
      <c r="F135" s="18" t="s">
        <v>224</v>
      </c>
      <c r="G135" s="59">
        <f>'Stavební rozpočet'!G114</f>
        <v>1</v>
      </c>
      <c r="H135" s="59">
        <f>'Stavební rozpočet'!H114</f>
        <v>0</v>
      </c>
      <c r="I135" s="59">
        <f>ROUND(G135*H135,2)</f>
        <v>0</v>
      </c>
      <c r="J135" s="59">
        <f>'Stavební rozpočet'!J114</f>
        <v>0</v>
      </c>
      <c r="K135" s="59">
        <f>'Stavební rozpočet'!K114</f>
        <v>0</v>
      </c>
      <c r="L135" s="59">
        <f>G135*K135</f>
        <v>0</v>
      </c>
      <c r="M135" s="60" t="s">
        <v>115</v>
      </c>
      <c r="Z135" s="59">
        <f>ROUND(IF(AQ135="5",BJ135,0),2)</f>
        <v>0</v>
      </c>
      <c r="AB135" s="59">
        <f>ROUND(IF(AQ135="1",BH135,0),2)</f>
        <v>0</v>
      </c>
      <c r="AC135" s="59">
        <f>ROUND(IF(AQ135="1",BI135,0),2)</f>
        <v>0</v>
      </c>
      <c r="AD135" s="59">
        <f>ROUND(IF(AQ135="7",BH135,0),2)</f>
        <v>0</v>
      </c>
      <c r="AE135" s="59">
        <f>ROUND(IF(AQ135="7",BI135,0),2)</f>
        <v>0</v>
      </c>
      <c r="AF135" s="59">
        <f>ROUND(IF(AQ135="2",BH135,0),2)</f>
        <v>0</v>
      </c>
      <c r="AG135" s="59">
        <f>ROUND(IF(AQ135="2",BI135,0),2)</f>
        <v>0</v>
      </c>
      <c r="AH135" s="59">
        <f>ROUND(IF(AQ135="0",BJ135,0),2)</f>
        <v>0</v>
      </c>
      <c r="AI135" s="46" t="s">
        <v>107</v>
      </c>
      <c r="AJ135" s="59">
        <f>IF(AN135=0,I135,0)</f>
        <v>0</v>
      </c>
      <c r="AK135" s="59">
        <f>IF(AN135=12,I135,0)</f>
        <v>0</v>
      </c>
      <c r="AL135" s="59">
        <f>IF(AN135=21,I135,0)</f>
        <v>0</v>
      </c>
      <c r="AN135" s="59">
        <v>12</v>
      </c>
      <c r="AO135" s="59">
        <f>H135*0</f>
        <v>0</v>
      </c>
      <c r="AP135" s="59">
        <f>H135*(1-0)</f>
        <v>0</v>
      </c>
      <c r="AQ135" s="61" t="s">
        <v>137</v>
      </c>
      <c r="AV135" s="59">
        <f>ROUND(AW135+AX135,2)</f>
        <v>0</v>
      </c>
      <c r="AW135" s="59">
        <f>ROUND(G135*AO135,2)</f>
        <v>0</v>
      </c>
      <c r="AX135" s="59">
        <f>ROUND(G135*AP135,2)</f>
        <v>0</v>
      </c>
      <c r="AY135" s="61" t="s">
        <v>329</v>
      </c>
      <c r="AZ135" s="61" t="s">
        <v>274</v>
      </c>
      <c r="BA135" s="46" t="s">
        <v>118</v>
      </c>
      <c r="BC135" s="59">
        <f>AW135+AX135</f>
        <v>0</v>
      </c>
      <c r="BD135" s="59">
        <f>H135/(100-BE135)*100</f>
        <v>0</v>
      </c>
      <c r="BE135" s="59">
        <v>0</v>
      </c>
      <c r="BF135" s="59">
        <f>L135</f>
        <v>0</v>
      </c>
      <c r="BH135" s="59">
        <f>G135*AO135</f>
        <v>0</v>
      </c>
      <c r="BI135" s="59">
        <f>G135*AP135</f>
        <v>0</v>
      </c>
      <c r="BJ135" s="59">
        <f>G135*H135</f>
        <v>0</v>
      </c>
      <c r="BK135" s="59"/>
      <c r="BL135" s="59"/>
      <c r="BW135" s="59">
        <v>12</v>
      </c>
      <c r="BX135" s="16" t="s">
        <v>344</v>
      </c>
    </row>
    <row r="136" spans="1:76" x14ac:dyDescent="0.25">
      <c r="A136" s="66"/>
      <c r="B136" s="67"/>
      <c r="C136" s="67"/>
      <c r="D136" s="68" t="s">
        <v>345</v>
      </c>
      <c r="E136" s="68"/>
      <c r="F136" s="67"/>
      <c r="G136" s="69">
        <v>1</v>
      </c>
      <c r="H136" s="67"/>
      <c r="I136" s="67"/>
      <c r="J136" s="67"/>
      <c r="K136" s="67"/>
      <c r="L136" s="67"/>
      <c r="M136" s="70"/>
    </row>
    <row r="137" spans="1:76" x14ac:dyDescent="0.25">
      <c r="I137" s="71">
        <f>ROUND(I13+I19+I28+I36+I40+I49+I75+I82+I94+I98+I102+I105+I110+I121+I124+I126,0)</f>
        <v>0</v>
      </c>
    </row>
    <row r="138" spans="1:76" x14ac:dyDescent="0.25">
      <c r="A138" s="31" t="s">
        <v>52</v>
      </c>
    </row>
    <row r="139" spans="1:76" ht="12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</sheetData>
  <mergeCells count="107">
    <mergeCell ref="A139:M139"/>
    <mergeCell ref="D122:E122"/>
    <mergeCell ref="D124:E124"/>
    <mergeCell ref="D125:E125"/>
    <mergeCell ref="D126:E126"/>
    <mergeCell ref="D127:E127"/>
    <mergeCell ref="D129:E129"/>
    <mergeCell ref="D131:E131"/>
    <mergeCell ref="D133:E133"/>
    <mergeCell ref="D135:E135"/>
    <mergeCell ref="D106:E106"/>
    <mergeCell ref="D107:M107"/>
    <mergeCell ref="D110:E110"/>
    <mergeCell ref="D111:E111"/>
    <mergeCell ref="D113:E113"/>
    <mergeCell ref="D115:E115"/>
    <mergeCell ref="D117:E117"/>
    <mergeCell ref="D119:E119"/>
    <mergeCell ref="D121:E121"/>
    <mergeCell ref="D94:E94"/>
    <mergeCell ref="D95:E95"/>
    <mergeCell ref="D96:M96"/>
    <mergeCell ref="D98:E98"/>
    <mergeCell ref="D99:E99"/>
    <mergeCell ref="D100:M100"/>
    <mergeCell ref="D102:E102"/>
    <mergeCell ref="D103:E103"/>
    <mergeCell ref="D105:E105"/>
    <mergeCell ref="D79:E79"/>
    <mergeCell ref="D80:M80"/>
    <mergeCell ref="D82:E82"/>
    <mergeCell ref="D83:E83"/>
    <mergeCell ref="D84:M84"/>
    <mergeCell ref="D87:E87"/>
    <mergeCell ref="D88:M88"/>
    <mergeCell ref="D90:E90"/>
    <mergeCell ref="D91:M91"/>
    <mergeCell ref="D66:M66"/>
    <mergeCell ref="D68:E68"/>
    <mergeCell ref="D69:M69"/>
    <mergeCell ref="D71:E71"/>
    <mergeCell ref="D72:M72"/>
    <mergeCell ref="D74:E74"/>
    <mergeCell ref="D75:E75"/>
    <mergeCell ref="D76:E76"/>
    <mergeCell ref="D77:M77"/>
    <mergeCell ref="D47:M47"/>
    <mergeCell ref="D49:E49"/>
    <mergeCell ref="D50:E50"/>
    <mergeCell ref="D51:M51"/>
    <mergeCell ref="D53:E53"/>
    <mergeCell ref="D54:M54"/>
    <mergeCell ref="D62:E62"/>
    <mergeCell ref="D63:M63"/>
    <mergeCell ref="D65:E65"/>
    <mergeCell ref="D34:E34"/>
    <mergeCell ref="D36:E36"/>
    <mergeCell ref="D37:E37"/>
    <mergeCell ref="D38:M38"/>
    <mergeCell ref="D40:E40"/>
    <mergeCell ref="D41:E41"/>
    <mergeCell ref="D43:E43"/>
    <mergeCell ref="D44:M44"/>
    <mergeCell ref="D46:E46"/>
    <mergeCell ref="D20:E20"/>
    <mergeCell ref="D21:M21"/>
    <mergeCell ref="D23:E23"/>
    <mergeCell ref="D25:E25"/>
    <mergeCell ref="D26:M26"/>
    <mergeCell ref="D28:E28"/>
    <mergeCell ref="D29:E29"/>
    <mergeCell ref="D31:E31"/>
    <mergeCell ref="D32:M32"/>
    <mergeCell ref="D10:E10"/>
    <mergeCell ref="J10:L10"/>
    <mergeCell ref="D11:E11"/>
    <mergeCell ref="D12:E12"/>
    <mergeCell ref="D13:E13"/>
    <mergeCell ref="D14:E14"/>
    <mergeCell ref="D15:M15"/>
    <mergeCell ref="D17:E17"/>
    <mergeCell ref="D19:E19"/>
    <mergeCell ref="A6:C7"/>
    <mergeCell ref="D6:E7"/>
    <mergeCell ref="F6:G7"/>
    <mergeCell ref="H6:H7"/>
    <mergeCell ref="I6:J7"/>
    <mergeCell ref="K6:M7"/>
    <mergeCell ref="A8:C9"/>
    <mergeCell ref="D8:E9"/>
    <mergeCell ref="F8:G9"/>
    <mergeCell ref="H8:H9"/>
    <mergeCell ref="I8:J9"/>
    <mergeCell ref="K8:M9"/>
    <mergeCell ref="A1:M1"/>
    <mergeCell ref="A2:C3"/>
    <mergeCell ref="D2:E3"/>
    <mergeCell ref="F2:G3"/>
    <mergeCell ref="H2:H3"/>
    <mergeCell ref="I2:J3"/>
    <mergeCell ref="K2:M3"/>
    <mergeCell ref="A4:C5"/>
    <mergeCell ref="D4:E5"/>
    <mergeCell ref="F4:G5"/>
    <mergeCell ref="H4:H5"/>
    <mergeCell ref="I4:J5"/>
    <mergeCell ref="K4:M5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5"/>
  <sheetViews>
    <sheetView zoomScaleNormal="100" workbookViewId="0">
      <selection activeCell="C8" sqref="C8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7.140625" style="15" customWidth="1"/>
    <col min="4" max="4" width="10" style="15" customWidth="1"/>
    <col min="5" max="5" width="14" style="15" customWidth="1"/>
    <col min="6" max="6" width="27.140625" style="15" customWidth="1"/>
    <col min="7" max="7" width="9.140625" style="15" customWidth="1"/>
    <col min="8" max="8" width="12.85546875" style="15" customWidth="1"/>
    <col min="9" max="9" width="27.140625" style="15" customWidth="1"/>
  </cols>
  <sheetData>
    <row r="1" spans="1:9" ht="54.75" customHeight="1" x14ac:dyDescent="0.2">
      <c r="A1" s="14" t="s">
        <v>346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/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57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2" spans="1:9" ht="23.25" x14ac:dyDescent="0.2">
      <c r="A12" s="72" t="s">
        <v>14</v>
      </c>
      <c r="B12" s="72"/>
      <c r="C12" s="72"/>
      <c r="D12" s="72"/>
      <c r="E12" s="72"/>
      <c r="F12" s="72"/>
      <c r="G12" s="72"/>
      <c r="H12" s="72"/>
      <c r="I12" s="72"/>
    </row>
    <row r="13" spans="1:9" ht="26.25" customHeight="1" x14ac:dyDescent="0.2">
      <c r="A13" s="19" t="s">
        <v>15</v>
      </c>
      <c r="B13" s="73" t="s">
        <v>16</v>
      </c>
      <c r="C13" s="73"/>
      <c r="D13" s="20" t="s">
        <v>17</v>
      </c>
      <c r="E13" s="73" t="s">
        <v>18</v>
      </c>
      <c r="F13" s="73"/>
      <c r="G13" s="20" t="s">
        <v>19</v>
      </c>
      <c r="H13" s="73" t="s">
        <v>20</v>
      </c>
      <c r="I13" s="73"/>
    </row>
    <row r="14" spans="1:9" ht="15.75" x14ac:dyDescent="0.2">
      <c r="A14" s="21" t="s">
        <v>21</v>
      </c>
      <c r="B14" s="22" t="s">
        <v>22</v>
      </c>
      <c r="C14" s="23">
        <f>SUM('Stavební rozpočet (01B)'!AB12:AB669)</f>
        <v>0</v>
      </c>
      <c r="D14" s="74" t="s">
        <v>23</v>
      </c>
      <c r="E14" s="74"/>
      <c r="F14" s="23">
        <f>'VORN objektu (01B)'!I15</f>
        <v>0</v>
      </c>
      <c r="G14" s="74" t="s">
        <v>24</v>
      </c>
      <c r="H14" s="74"/>
      <c r="I14" s="23">
        <f>'VORN objektu (01B)'!I21</f>
        <v>0</v>
      </c>
    </row>
    <row r="15" spans="1:9" ht="15.75" x14ac:dyDescent="0.2">
      <c r="A15" s="24"/>
      <c r="B15" s="22" t="s">
        <v>25</v>
      </c>
      <c r="C15" s="23">
        <f>SUM('Stavební rozpočet (01B)'!AC12:AC669)</f>
        <v>0</v>
      </c>
      <c r="D15" s="74" t="s">
        <v>26</v>
      </c>
      <c r="E15" s="74"/>
      <c r="F15" s="23">
        <f>'VORN objektu (01B)'!I16</f>
        <v>0</v>
      </c>
      <c r="G15" s="74" t="s">
        <v>27</v>
      </c>
      <c r="H15" s="74"/>
      <c r="I15" s="23">
        <f>'VORN objektu (01B)'!I22</f>
        <v>0</v>
      </c>
    </row>
    <row r="16" spans="1:9" ht="15.75" x14ac:dyDescent="0.2">
      <c r="A16" s="21" t="s">
        <v>28</v>
      </c>
      <c r="B16" s="22" t="s">
        <v>22</v>
      </c>
      <c r="C16" s="23">
        <f>SUM('Stavební rozpočet (01B)'!AD12:AD669)</f>
        <v>0</v>
      </c>
      <c r="D16" s="74" t="s">
        <v>29</v>
      </c>
      <c r="E16" s="74"/>
      <c r="F16" s="23">
        <f>'VORN objektu (01B)'!I17</f>
        <v>0</v>
      </c>
      <c r="G16" s="74" t="s">
        <v>30</v>
      </c>
      <c r="H16" s="74"/>
      <c r="I16" s="23">
        <f>'VORN objektu (01B)'!I23</f>
        <v>0</v>
      </c>
    </row>
    <row r="17" spans="1:9" ht="15.75" x14ac:dyDescent="0.2">
      <c r="A17" s="24"/>
      <c r="B17" s="22" t="s">
        <v>25</v>
      </c>
      <c r="C17" s="23">
        <f>SUM('Stavební rozpočet (01B)'!AE12:AE669)</f>
        <v>0</v>
      </c>
      <c r="D17" s="74"/>
      <c r="E17" s="74"/>
      <c r="F17" s="25"/>
      <c r="G17" s="74" t="s">
        <v>31</v>
      </c>
      <c r="H17" s="74"/>
      <c r="I17" s="23">
        <f>'VORN objektu (01B)'!I24</f>
        <v>0</v>
      </c>
    </row>
    <row r="18" spans="1:9" ht="15.75" x14ac:dyDescent="0.2">
      <c r="A18" s="21" t="s">
        <v>32</v>
      </c>
      <c r="B18" s="22" t="s">
        <v>22</v>
      </c>
      <c r="C18" s="23">
        <f>SUM('Stavební rozpočet (01B)'!AF12:AF669)</f>
        <v>0</v>
      </c>
      <c r="D18" s="74"/>
      <c r="E18" s="74"/>
      <c r="F18" s="25"/>
      <c r="G18" s="74" t="s">
        <v>33</v>
      </c>
      <c r="H18" s="74"/>
      <c r="I18" s="23">
        <f>'VORN objektu (01B)'!I25</f>
        <v>0</v>
      </c>
    </row>
    <row r="19" spans="1:9" ht="15.75" x14ac:dyDescent="0.2">
      <c r="A19" s="24"/>
      <c r="B19" s="22" t="s">
        <v>25</v>
      </c>
      <c r="C19" s="23">
        <f>SUM('Stavební rozpočet (01B)'!AG12:AG669)</f>
        <v>0</v>
      </c>
      <c r="D19" s="74"/>
      <c r="E19" s="74"/>
      <c r="F19" s="25"/>
      <c r="G19" s="74" t="s">
        <v>34</v>
      </c>
      <c r="H19" s="74"/>
      <c r="I19" s="23">
        <f>'VORN objektu (01B)'!I26</f>
        <v>0</v>
      </c>
    </row>
    <row r="20" spans="1:9" ht="15.75" x14ac:dyDescent="0.2">
      <c r="A20" s="75" t="s">
        <v>35</v>
      </c>
      <c r="B20" s="75"/>
      <c r="C20" s="23">
        <f>SUM('Stavební rozpočet (01B)'!AH12:AH669)</f>
        <v>0</v>
      </c>
      <c r="D20" s="74"/>
      <c r="E20" s="74"/>
      <c r="F20" s="25"/>
      <c r="G20" s="74"/>
      <c r="H20" s="74"/>
      <c r="I20" s="25"/>
    </row>
    <row r="21" spans="1:9" ht="15.75" x14ac:dyDescent="0.2">
      <c r="A21" s="76" t="s">
        <v>36</v>
      </c>
      <c r="B21" s="76"/>
      <c r="C21" s="26">
        <f>SUM('Stavební rozpočet (01B)'!Z12:Z669)</f>
        <v>0</v>
      </c>
      <c r="D21" s="77"/>
      <c r="E21" s="77"/>
      <c r="F21" s="27"/>
      <c r="G21" s="77"/>
      <c r="H21" s="77"/>
      <c r="I21" s="27"/>
    </row>
    <row r="22" spans="1:9" ht="16.5" customHeight="1" x14ac:dyDescent="0.2">
      <c r="A22" s="78" t="s">
        <v>37</v>
      </c>
      <c r="B22" s="78"/>
      <c r="C22" s="28">
        <f>ROUND(SUM(C14:C21),0)</f>
        <v>0</v>
      </c>
      <c r="D22" s="79" t="s">
        <v>38</v>
      </c>
      <c r="E22" s="79"/>
      <c r="F22" s="28">
        <f>SUM(F14:F21)</f>
        <v>0</v>
      </c>
      <c r="G22" s="79" t="s">
        <v>39</v>
      </c>
      <c r="H22" s="79"/>
      <c r="I22" s="28">
        <f>SUM(I14:I21)</f>
        <v>0</v>
      </c>
    </row>
    <row r="23" spans="1:9" ht="15.75" x14ac:dyDescent="0.25">
      <c r="G23" s="75" t="s">
        <v>40</v>
      </c>
      <c r="H23" s="75"/>
      <c r="I23" s="23">
        <f>'VORN objektu (01B)'!I45</f>
        <v>0</v>
      </c>
    </row>
    <row r="25" spans="1:9" ht="15.75" x14ac:dyDescent="0.25">
      <c r="A25" s="80" t="s">
        <v>41</v>
      </c>
      <c r="B25" s="80"/>
      <c r="C25" s="29">
        <f>ROUND(SUM('Stavební rozpočet (01B)'!AJ12:AJ669),0)</f>
        <v>0</v>
      </c>
    </row>
    <row r="26" spans="1:9" ht="15.75" x14ac:dyDescent="0.2">
      <c r="A26" s="81" t="s">
        <v>42</v>
      </c>
      <c r="B26" s="81"/>
      <c r="C26" s="30">
        <f>ROUND(SUM('Stavební rozpočet (01B)'!AK12:AK669),0)</f>
        <v>0</v>
      </c>
      <c r="D26" s="82" t="s">
        <v>43</v>
      </c>
      <c r="E26" s="82"/>
      <c r="F26" s="29">
        <f>ROUND(C26*(12/100),2)</f>
        <v>0</v>
      </c>
      <c r="G26" s="82" t="s">
        <v>44</v>
      </c>
      <c r="H26" s="82"/>
      <c r="I26" s="29">
        <f>ROUND(SUM(C25:C27),0)</f>
        <v>0</v>
      </c>
    </row>
    <row r="27" spans="1:9" ht="15.75" x14ac:dyDescent="0.2">
      <c r="A27" s="81" t="s">
        <v>45</v>
      </c>
      <c r="B27" s="81"/>
      <c r="C27" s="30">
        <f>ROUND(SUM('Stavební rozpočet (01B)'!AL12:AL669),0)</f>
        <v>0</v>
      </c>
      <c r="D27" s="83" t="s">
        <v>46</v>
      </c>
      <c r="E27" s="83"/>
      <c r="F27" s="30">
        <f>ROUND(C27*(21/100),2)</f>
        <v>0</v>
      </c>
      <c r="G27" s="83" t="s">
        <v>47</v>
      </c>
      <c r="H27" s="83"/>
      <c r="I27" s="30">
        <f>ROUND(SUM(F26:F27)+I26,0)</f>
        <v>0</v>
      </c>
    </row>
    <row r="29" spans="1:9" x14ac:dyDescent="0.2">
      <c r="A29" s="84" t="s">
        <v>48</v>
      </c>
      <c r="B29" s="84"/>
      <c r="C29" s="84"/>
      <c r="D29" s="85" t="s">
        <v>49</v>
      </c>
      <c r="E29" s="85"/>
      <c r="F29" s="85"/>
      <c r="G29" s="85" t="s">
        <v>50</v>
      </c>
      <c r="H29" s="85"/>
      <c r="I29" s="85"/>
    </row>
    <row r="30" spans="1:9" x14ac:dyDescent="0.2">
      <c r="A30" s="86"/>
      <c r="B30" s="86"/>
      <c r="C30" s="86"/>
      <c r="D30" s="87"/>
      <c r="E30" s="87"/>
      <c r="F30" s="87"/>
      <c r="G30" s="87"/>
      <c r="H30" s="87"/>
      <c r="I30" s="87"/>
    </row>
    <row r="31" spans="1:9" x14ac:dyDescent="0.2">
      <c r="A31" s="86"/>
      <c r="B31" s="86"/>
      <c r="C31" s="86"/>
      <c r="D31" s="87"/>
      <c r="E31" s="87"/>
      <c r="F31" s="87"/>
      <c r="G31" s="87"/>
      <c r="H31" s="87"/>
      <c r="I31" s="87"/>
    </row>
    <row r="32" spans="1:9" x14ac:dyDescent="0.2">
      <c r="A32" s="86"/>
      <c r="B32" s="86"/>
      <c r="C32" s="86"/>
      <c r="D32" s="87"/>
      <c r="E32" s="87"/>
      <c r="F32" s="87"/>
      <c r="G32" s="87"/>
      <c r="H32" s="87"/>
      <c r="I32" s="87"/>
    </row>
    <row r="33" spans="1:9" x14ac:dyDescent="0.2">
      <c r="A33" s="88" t="s">
        <v>51</v>
      </c>
      <c r="B33" s="88"/>
      <c r="C33" s="88"/>
      <c r="D33" s="89" t="s">
        <v>51</v>
      </c>
      <c r="E33" s="89"/>
      <c r="F33" s="89"/>
      <c r="G33" s="89" t="s">
        <v>51</v>
      </c>
      <c r="H33" s="89"/>
      <c r="I33" s="89"/>
    </row>
    <row r="34" spans="1:9" x14ac:dyDescent="0.25">
      <c r="A34" s="31" t="s">
        <v>52</v>
      </c>
    </row>
    <row r="35" spans="1:9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</row>
  </sheetData>
  <mergeCells count="80">
    <mergeCell ref="A35:I35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D31:F31"/>
    <mergeCell ref="G31:I31"/>
    <mergeCell ref="A27:B27"/>
    <mergeCell ref="D27:E27"/>
    <mergeCell ref="G27:H27"/>
    <mergeCell ref="A29:C29"/>
    <mergeCell ref="D29:F29"/>
    <mergeCell ref="G29:I29"/>
    <mergeCell ref="G23:H23"/>
    <mergeCell ref="A25:B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5"/>
  <sheetViews>
    <sheetView zoomScaleNormal="100" workbookViewId="0">
      <selection activeCell="A45" sqref="A45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2.85546875" style="15" customWidth="1"/>
    <col min="4" max="4" width="10" style="15" customWidth="1"/>
    <col min="5" max="5" width="14" style="15" customWidth="1"/>
    <col min="6" max="6" width="22.85546875" style="15" customWidth="1"/>
    <col min="7" max="7" width="9.140625" style="15" customWidth="1"/>
    <col min="8" max="8" width="17.140625" style="15" customWidth="1"/>
    <col min="9" max="9" width="22.85546875" style="15" customWidth="1"/>
  </cols>
  <sheetData>
    <row r="1" spans="1:9" ht="54.75" customHeight="1" x14ac:dyDescent="0.2">
      <c r="A1" s="14" t="s">
        <v>347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 t="str">
        <f>'Stavební rozpočet'!H4</f>
        <v>25.01.2025</v>
      </c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57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3" spans="1:9" ht="15.75" x14ac:dyDescent="0.25">
      <c r="A13" s="90" t="s">
        <v>54</v>
      </c>
      <c r="B13" s="90"/>
      <c r="C13" s="90"/>
      <c r="D13" s="90"/>
      <c r="E13" s="90"/>
    </row>
    <row r="14" spans="1:9" ht="12.75" x14ac:dyDescent="0.2">
      <c r="A14" s="91" t="s">
        <v>55</v>
      </c>
      <c r="B14" s="91"/>
      <c r="C14" s="91"/>
      <c r="D14" s="91"/>
      <c r="E14" s="91"/>
      <c r="F14" s="32" t="s">
        <v>56</v>
      </c>
      <c r="G14" s="32" t="s">
        <v>57</v>
      </c>
      <c r="H14" s="32" t="s">
        <v>58</v>
      </c>
      <c r="I14" s="32" t="s">
        <v>56</v>
      </c>
    </row>
    <row r="15" spans="1:9" ht="12.75" x14ac:dyDescent="0.2">
      <c r="A15" s="92" t="s">
        <v>23</v>
      </c>
      <c r="B15" s="92"/>
      <c r="C15" s="92"/>
      <c r="D15" s="92"/>
      <c r="E15" s="92"/>
      <c r="F15" s="33">
        <v>0</v>
      </c>
      <c r="G15" s="34"/>
      <c r="H15" s="34"/>
      <c r="I15" s="33">
        <f>F15</f>
        <v>0</v>
      </c>
    </row>
    <row r="16" spans="1:9" ht="12.75" x14ac:dyDescent="0.2">
      <c r="A16" s="92" t="s">
        <v>26</v>
      </c>
      <c r="B16" s="92"/>
      <c r="C16" s="92"/>
      <c r="D16" s="92"/>
      <c r="E16" s="92"/>
      <c r="F16" s="33">
        <v>0</v>
      </c>
      <c r="G16" s="34"/>
      <c r="H16" s="34"/>
      <c r="I16" s="33">
        <f>F16</f>
        <v>0</v>
      </c>
    </row>
    <row r="17" spans="1:9" ht="12.75" x14ac:dyDescent="0.2">
      <c r="A17" s="93" t="s">
        <v>29</v>
      </c>
      <c r="B17" s="93"/>
      <c r="C17" s="93"/>
      <c r="D17" s="93"/>
      <c r="E17" s="93"/>
      <c r="F17" s="35">
        <v>0</v>
      </c>
      <c r="G17" s="17"/>
      <c r="H17" s="17"/>
      <c r="I17" s="35">
        <f>F17</f>
        <v>0</v>
      </c>
    </row>
    <row r="18" spans="1:9" ht="12.75" x14ac:dyDescent="0.2">
      <c r="A18" s="94" t="s">
        <v>59</v>
      </c>
      <c r="B18" s="94"/>
      <c r="C18" s="94"/>
      <c r="D18" s="94"/>
      <c r="E18" s="94"/>
      <c r="F18" s="36"/>
      <c r="G18" s="37"/>
      <c r="H18" s="37"/>
      <c r="I18" s="38">
        <f>SUM(I15:I17)</f>
        <v>0</v>
      </c>
    </row>
    <row r="20" spans="1:9" ht="12.75" x14ac:dyDescent="0.2">
      <c r="A20" s="91" t="s">
        <v>20</v>
      </c>
      <c r="B20" s="91"/>
      <c r="C20" s="91"/>
      <c r="D20" s="91"/>
      <c r="E20" s="91"/>
      <c r="F20" s="32" t="s">
        <v>56</v>
      </c>
      <c r="G20" s="32" t="s">
        <v>57</v>
      </c>
      <c r="H20" s="32" t="s">
        <v>58</v>
      </c>
      <c r="I20" s="32" t="s">
        <v>56</v>
      </c>
    </row>
    <row r="21" spans="1:9" ht="12.75" x14ac:dyDescent="0.2">
      <c r="A21" s="92" t="s">
        <v>24</v>
      </c>
      <c r="B21" s="92"/>
      <c r="C21" s="92"/>
      <c r="D21" s="92"/>
      <c r="E21" s="92"/>
      <c r="F21" s="33">
        <v>0</v>
      </c>
      <c r="G21" s="34"/>
      <c r="H21" s="34"/>
      <c r="I21" s="33">
        <f t="shared" ref="I21:I26" si="0">F21</f>
        <v>0</v>
      </c>
    </row>
    <row r="22" spans="1:9" ht="12.75" x14ac:dyDescent="0.2">
      <c r="A22" s="92" t="s">
        <v>27</v>
      </c>
      <c r="B22" s="92"/>
      <c r="C22" s="92"/>
      <c r="D22" s="92"/>
      <c r="E22" s="92"/>
      <c r="F22" s="33">
        <v>0</v>
      </c>
      <c r="G22" s="34"/>
      <c r="H22" s="34"/>
      <c r="I22" s="33">
        <f t="shared" si="0"/>
        <v>0</v>
      </c>
    </row>
    <row r="23" spans="1:9" ht="12.75" x14ac:dyDescent="0.2">
      <c r="A23" s="92" t="s">
        <v>30</v>
      </c>
      <c r="B23" s="92"/>
      <c r="C23" s="92"/>
      <c r="D23" s="92"/>
      <c r="E23" s="92"/>
      <c r="F23" s="33">
        <v>0</v>
      </c>
      <c r="G23" s="34"/>
      <c r="H23" s="34"/>
      <c r="I23" s="33">
        <f t="shared" si="0"/>
        <v>0</v>
      </c>
    </row>
    <row r="24" spans="1:9" ht="12.75" x14ac:dyDescent="0.2">
      <c r="A24" s="92" t="s">
        <v>31</v>
      </c>
      <c r="B24" s="92"/>
      <c r="C24" s="92"/>
      <c r="D24" s="92"/>
      <c r="E24" s="92"/>
      <c r="F24" s="33">
        <v>0</v>
      </c>
      <c r="G24" s="34"/>
      <c r="H24" s="34"/>
      <c r="I24" s="33">
        <f t="shared" si="0"/>
        <v>0</v>
      </c>
    </row>
    <row r="25" spans="1:9" ht="12.75" x14ac:dyDescent="0.2">
      <c r="A25" s="92" t="s">
        <v>33</v>
      </c>
      <c r="B25" s="92"/>
      <c r="C25" s="92"/>
      <c r="D25" s="92"/>
      <c r="E25" s="92"/>
      <c r="F25" s="33">
        <v>0</v>
      </c>
      <c r="G25" s="34"/>
      <c r="H25" s="34"/>
      <c r="I25" s="33">
        <f t="shared" si="0"/>
        <v>0</v>
      </c>
    </row>
    <row r="26" spans="1:9" ht="12.75" x14ac:dyDescent="0.2">
      <c r="A26" s="93" t="s">
        <v>34</v>
      </c>
      <c r="B26" s="93"/>
      <c r="C26" s="93"/>
      <c r="D26" s="93"/>
      <c r="E26" s="93"/>
      <c r="F26" s="35">
        <v>0</v>
      </c>
      <c r="G26" s="17"/>
      <c r="H26" s="17"/>
      <c r="I26" s="35">
        <f t="shared" si="0"/>
        <v>0</v>
      </c>
    </row>
    <row r="27" spans="1:9" ht="12.75" x14ac:dyDescent="0.2">
      <c r="A27" s="94" t="s">
        <v>60</v>
      </c>
      <c r="B27" s="94"/>
      <c r="C27" s="94"/>
      <c r="D27" s="94"/>
      <c r="E27" s="94"/>
      <c r="F27" s="36"/>
      <c r="G27" s="37"/>
      <c r="H27" s="37"/>
      <c r="I27" s="38">
        <f>SUM(I21:I26)</f>
        <v>0</v>
      </c>
    </row>
    <row r="29" spans="1:9" ht="15.75" x14ac:dyDescent="0.2">
      <c r="A29" s="95" t="s">
        <v>61</v>
      </c>
      <c r="B29" s="95"/>
      <c r="C29" s="95"/>
      <c r="D29" s="95"/>
      <c r="E29" s="95"/>
      <c r="F29" s="96">
        <f>I18+I27</f>
        <v>0</v>
      </c>
      <c r="G29" s="96"/>
      <c r="H29" s="96"/>
      <c r="I29" s="96"/>
    </row>
    <row r="33" spans="1:9" ht="15.75" x14ac:dyDescent="0.25">
      <c r="A33" s="90" t="s">
        <v>62</v>
      </c>
      <c r="B33" s="90"/>
      <c r="C33" s="90"/>
      <c r="D33" s="90"/>
      <c r="E33" s="90"/>
    </row>
    <row r="34" spans="1:9" ht="12.75" x14ac:dyDescent="0.2">
      <c r="A34" s="91" t="s">
        <v>63</v>
      </c>
      <c r="B34" s="91"/>
      <c r="C34" s="91"/>
      <c r="D34" s="91"/>
      <c r="E34" s="91"/>
      <c r="F34" s="32" t="s">
        <v>56</v>
      </c>
      <c r="G34" s="32" t="s">
        <v>57</v>
      </c>
      <c r="H34" s="32" t="s">
        <v>58</v>
      </c>
      <c r="I34" s="32" t="s">
        <v>56</v>
      </c>
    </row>
    <row r="35" spans="1:9" ht="12.75" x14ac:dyDescent="0.2">
      <c r="A35" s="92" t="s">
        <v>64</v>
      </c>
      <c r="B35" s="92"/>
      <c r="C35" s="92"/>
      <c r="D35" s="92"/>
      <c r="E35" s="92"/>
      <c r="F35" s="33">
        <f>SUM('Stavební rozpočet'!BM12:BM669)</f>
        <v>0</v>
      </c>
      <c r="G35" s="34"/>
      <c r="H35" s="34"/>
      <c r="I35" s="33">
        <f t="shared" ref="I35:I44" si="1">F35</f>
        <v>0</v>
      </c>
    </row>
    <row r="36" spans="1:9" ht="12.75" x14ac:dyDescent="0.2">
      <c r="A36" s="92" t="s">
        <v>65</v>
      </c>
      <c r="B36" s="92"/>
      <c r="C36" s="92"/>
      <c r="D36" s="92"/>
      <c r="E36" s="92"/>
      <c r="F36" s="33">
        <f>SUM('Stavební rozpočet'!BN12:BN669)</f>
        <v>0</v>
      </c>
      <c r="G36" s="34"/>
      <c r="H36" s="34"/>
      <c r="I36" s="33">
        <f t="shared" si="1"/>
        <v>0</v>
      </c>
    </row>
    <row r="37" spans="1:9" ht="12.75" x14ac:dyDescent="0.2">
      <c r="A37" s="92" t="s">
        <v>24</v>
      </c>
      <c r="B37" s="92"/>
      <c r="C37" s="92"/>
      <c r="D37" s="92"/>
      <c r="E37" s="92"/>
      <c r="F37" s="33">
        <f>SUM('Stavební rozpočet'!BO12:BO669)</f>
        <v>0</v>
      </c>
      <c r="G37" s="34"/>
      <c r="H37" s="34"/>
      <c r="I37" s="33">
        <f t="shared" si="1"/>
        <v>0</v>
      </c>
    </row>
    <row r="38" spans="1:9" ht="12.75" x14ac:dyDescent="0.2">
      <c r="A38" s="92" t="s">
        <v>66</v>
      </c>
      <c r="B38" s="92"/>
      <c r="C38" s="92"/>
      <c r="D38" s="92"/>
      <c r="E38" s="92"/>
      <c r="F38" s="33">
        <f>SUM('Stavební rozpočet'!BP12:BP669)</f>
        <v>0</v>
      </c>
      <c r="G38" s="34"/>
      <c r="H38" s="34"/>
      <c r="I38" s="33">
        <f t="shared" si="1"/>
        <v>0</v>
      </c>
    </row>
    <row r="39" spans="1:9" ht="12.75" x14ac:dyDescent="0.2">
      <c r="A39" s="92" t="s">
        <v>67</v>
      </c>
      <c r="B39" s="92"/>
      <c r="C39" s="92"/>
      <c r="D39" s="92"/>
      <c r="E39" s="92"/>
      <c r="F39" s="33">
        <f>SUM('Stavební rozpočet'!BQ12:BQ669)</f>
        <v>0</v>
      </c>
      <c r="G39" s="34"/>
      <c r="H39" s="34"/>
      <c r="I39" s="33">
        <f t="shared" si="1"/>
        <v>0</v>
      </c>
    </row>
    <row r="40" spans="1:9" ht="12.75" x14ac:dyDescent="0.2">
      <c r="A40" s="92" t="s">
        <v>30</v>
      </c>
      <c r="B40" s="92"/>
      <c r="C40" s="92"/>
      <c r="D40" s="92"/>
      <c r="E40" s="92"/>
      <c r="F40" s="33">
        <f>SUM('Stavební rozpočet'!BR12:BR669)</f>
        <v>0</v>
      </c>
      <c r="G40" s="34"/>
      <c r="H40" s="34"/>
      <c r="I40" s="33">
        <f t="shared" si="1"/>
        <v>0</v>
      </c>
    </row>
    <row r="41" spans="1:9" ht="12.75" x14ac:dyDescent="0.2">
      <c r="A41" s="92" t="s">
        <v>31</v>
      </c>
      <c r="B41" s="92"/>
      <c r="C41" s="92"/>
      <c r="D41" s="92"/>
      <c r="E41" s="92"/>
      <c r="F41" s="33">
        <f>SUM('Stavební rozpočet'!BS12:BS669)</f>
        <v>0</v>
      </c>
      <c r="G41" s="34"/>
      <c r="H41" s="34"/>
      <c r="I41" s="33">
        <f t="shared" si="1"/>
        <v>0</v>
      </c>
    </row>
    <row r="42" spans="1:9" ht="12.75" x14ac:dyDescent="0.2">
      <c r="A42" s="92" t="s">
        <v>68</v>
      </c>
      <c r="B42" s="92"/>
      <c r="C42" s="92"/>
      <c r="D42" s="92"/>
      <c r="E42" s="92"/>
      <c r="F42" s="33">
        <f>SUM('Stavební rozpočet'!BT12:BT669)</f>
        <v>0</v>
      </c>
      <c r="G42" s="34"/>
      <c r="H42" s="34"/>
      <c r="I42" s="33">
        <f t="shared" si="1"/>
        <v>0</v>
      </c>
    </row>
    <row r="43" spans="1:9" ht="12.75" x14ac:dyDescent="0.2">
      <c r="A43" s="92" t="s">
        <v>69</v>
      </c>
      <c r="B43" s="92"/>
      <c r="C43" s="92"/>
      <c r="D43" s="92"/>
      <c r="E43" s="92"/>
      <c r="F43" s="33">
        <f>SUM('Stavební rozpočet'!BU12:BU669)</f>
        <v>0</v>
      </c>
      <c r="G43" s="34"/>
      <c r="H43" s="34"/>
      <c r="I43" s="33">
        <f t="shared" si="1"/>
        <v>0</v>
      </c>
    </row>
    <row r="44" spans="1:9" ht="12.75" x14ac:dyDescent="0.2">
      <c r="A44" s="93" t="s">
        <v>70</v>
      </c>
      <c r="B44" s="93"/>
      <c r="C44" s="93"/>
      <c r="D44" s="93"/>
      <c r="E44" s="93"/>
      <c r="F44" s="35">
        <f>SUM('Stavební rozpočet'!BV12:BV669)</f>
        <v>0</v>
      </c>
      <c r="G44" s="17"/>
      <c r="H44" s="17"/>
      <c r="I44" s="35">
        <f t="shared" si="1"/>
        <v>0</v>
      </c>
    </row>
    <row r="45" spans="1:9" ht="12.75" x14ac:dyDescent="0.2">
      <c r="A45" s="94" t="s">
        <v>71</v>
      </c>
      <c r="B45" s="94"/>
      <c r="C45" s="94"/>
      <c r="D45" s="94"/>
      <c r="E45" s="94"/>
      <c r="F45" s="36"/>
      <c r="G45" s="37"/>
      <c r="H45" s="37"/>
      <c r="I45" s="38">
        <f>SUM(I35:I44)</f>
        <v>0</v>
      </c>
    </row>
  </sheetData>
  <mergeCells count="60">
    <mergeCell ref="A42:E42"/>
    <mergeCell ref="A43:E43"/>
    <mergeCell ref="A44:E44"/>
    <mergeCell ref="A45:E45"/>
    <mergeCell ref="A37:E37"/>
    <mergeCell ref="A38:E38"/>
    <mergeCell ref="A39:E39"/>
    <mergeCell ref="A40:E40"/>
    <mergeCell ref="A41:E41"/>
    <mergeCell ref="F29:I29"/>
    <mergeCell ref="A33:E33"/>
    <mergeCell ref="A34:E34"/>
    <mergeCell ref="A35:E35"/>
    <mergeCell ref="A36:E36"/>
    <mergeCell ref="A24:E24"/>
    <mergeCell ref="A25:E25"/>
    <mergeCell ref="A26:E26"/>
    <mergeCell ref="A27:E27"/>
    <mergeCell ref="A29:E29"/>
    <mergeCell ref="A18:E18"/>
    <mergeCell ref="A20:E20"/>
    <mergeCell ref="A21:E21"/>
    <mergeCell ref="A22:E22"/>
    <mergeCell ref="A23:E23"/>
    <mergeCell ref="A13:E13"/>
    <mergeCell ref="A14:E14"/>
    <mergeCell ref="A15:E15"/>
    <mergeCell ref="A16:E16"/>
    <mergeCell ref="A17:E17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Z175"/>
  <sheetViews>
    <sheetView zoomScaleNormal="100" workbookViewId="0">
      <pane ySplit="11" topLeftCell="A121" activePane="bottomLeft" state="frozen"/>
      <selection pane="bottomLeft" activeCell="D135" sqref="D135:M135"/>
    </sheetView>
  </sheetViews>
  <sheetFormatPr defaultColWidth="12.140625" defaultRowHeight="15" x14ac:dyDescent="0.25"/>
  <cols>
    <col min="1" max="1" width="3.140625" style="15" customWidth="1"/>
    <col min="2" max="2" width="8" style="15" customWidth="1"/>
    <col min="3" max="3" width="17.85546875" style="15" customWidth="1"/>
    <col min="4" max="4" width="42.85546875" style="15" customWidth="1"/>
    <col min="5" max="5" width="35.7109375" style="15" customWidth="1"/>
    <col min="6" max="6" width="7.5703125" style="15" customWidth="1"/>
    <col min="7" max="7" width="12.85546875" style="15" customWidth="1"/>
    <col min="8" max="8" width="12" style="15" customWidth="1"/>
    <col min="9" max="9" width="15.7109375" style="15" customWidth="1"/>
    <col min="10" max="12" width="11.7109375" style="15" customWidth="1"/>
    <col min="13" max="13" width="23.140625" style="15" customWidth="1"/>
    <col min="25" max="75" width="12.140625" style="15" hidden="1"/>
    <col min="76" max="76" width="78.5703125" style="15" hidden="1" customWidth="1"/>
    <col min="77" max="78" width="12.140625" style="15" hidden="1"/>
  </cols>
  <sheetData>
    <row r="1" spans="1:76" ht="54.75" customHeight="1" x14ac:dyDescent="0.25">
      <c r="A1" s="97" t="s">
        <v>348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ht="15" customHeight="1" x14ac:dyDescent="0.25">
      <c r="A2" s="13" t="s">
        <v>1</v>
      </c>
      <c r="B2" s="13"/>
      <c r="C2" s="13"/>
      <c r="D2" s="12" t="str">
        <f>'Stavební rozpočet'!D2</f>
        <v>VÝMĚNA OKEN A OPRAVA BALKONŮ - BYTOVÝ DŮM J.E. PURKYNĚ 1150, LITOMYŠL</v>
      </c>
      <c r="E2" s="12"/>
      <c r="F2" s="98" t="s">
        <v>73</v>
      </c>
      <c r="G2" s="98"/>
      <c r="H2" s="11" t="str">
        <f>'Stavební rozpočet'!H2</f>
        <v xml:space="preserve"> </v>
      </c>
      <c r="I2" s="11" t="s">
        <v>2</v>
      </c>
      <c r="J2" s="11"/>
      <c r="K2" s="99" t="str">
        <f>'Stavební rozpočet'!K2</f>
        <v> </v>
      </c>
      <c r="L2" s="99"/>
      <c r="M2" s="99"/>
    </row>
    <row r="3" spans="1:76" x14ac:dyDescent="0.25">
      <c r="A3" s="13"/>
      <c r="B3" s="13"/>
      <c r="C3" s="13"/>
      <c r="D3" s="12"/>
      <c r="E3" s="12"/>
      <c r="F3" s="98"/>
      <c r="G3" s="98"/>
      <c r="H3" s="11"/>
      <c r="I3" s="11"/>
      <c r="J3" s="11"/>
      <c r="K3" s="99"/>
      <c r="L3" s="99"/>
      <c r="M3" s="99"/>
    </row>
    <row r="4" spans="1:76" ht="15" customHeight="1" x14ac:dyDescent="0.25">
      <c r="A4" s="9" t="s">
        <v>4</v>
      </c>
      <c r="B4" s="9"/>
      <c r="C4" s="9"/>
      <c r="D4" s="8" t="str">
        <f>'Stavební rozpočet'!D4</f>
        <v xml:space="preserve"> </v>
      </c>
      <c r="E4" s="8"/>
      <c r="F4" s="6" t="s">
        <v>8</v>
      </c>
      <c r="G4" s="6"/>
      <c r="H4" s="8"/>
      <c r="I4" s="8" t="s">
        <v>5</v>
      </c>
      <c r="J4" s="8"/>
      <c r="K4" s="100" t="str">
        <f>'Stavební rozpočet'!K4</f>
        <v> </v>
      </c>
      <c r="L4" s="100"/>
      <c r="M4" s="100"/>
    </row>
    <row r="5" spans="1:76" x14ac:dyDescent="0.25">
      <c r="A5" s="9"/>
      <c r="B5" s="9"/>
      <c r="C5" s="9"/>
      <c r="D5" s="8"/>
      <c r="E5" s="8"/>
      <c r="F5" s="6"/>
      <c r="G5" s="6"/>
      <c r="H5" s="8"/>
      <c r="I5" s="8"/>
      <c r="J5" s="8"/>
      <c r="K5" s="100"/>
      <c r="L5" s="100"/>
      <c r="M5" s="100"/>
    </row>
    <row r="6" spans="1:76" ht="15" customHeight="1" x14ac:dyDescent="0.25">
      <c r="A6" s="9" t="s">
        <v>6</v>
      </c>
      <c r="B6" s="9"/>
      <c r="C6" s="9"/>
      <c r="D6" s="8" t="str">
        <f>'Stavební rozpočet'!D6</f>
        <v>LITOMYŠL</v>
      </c>
      <c r="E6" s="8"/>
      <c r="F6" s="6" t="s">
        <v>9</v>
      </c>
      <c r="G6" s="6"/>
      <c r="H6" s="8" t="str">
        <f>'Stavební rozpočet'!H6</f>
        <v xml:space="preserve"> </v>
      </c>
      <c r="I6" s="8" t="s">
        <v>7</v>
      </c>
      <c r="J6" s="8"/>
      <c r="K6" s="100" t="str">
        <f>'Stavební rozpočet'!K6</f>
        <v> </v>
      </c>
      <c r="L6" s="100"/>
      <c r="M6" s="100"/>
    </row>
    <row r="7" spans="1:76" x14ac:dyDescent="0.25">
      <c r="A7" s="9"/>
      <c r="B7" s="9"/>
      <c r="C7" s="9"/>
      <c r="D7" s="8"/>
      <c r="E7" s="8"/>
      <c r="F7" s="6"/>
      <c r="G7" s="6"/>
      <c r="H7" s="8"/>
      <c r="I7" s="8"/>
      <c r="J7" s="8"/>
      <c r="K7" s="100"/>
      <c r="L7" s="100"/>
      <c r="M7" s="100"/>
    </row>
    <row r="8" spans="1:76" ht="15" customHeight="1" x14ac:dyDescent="0.25">
      <c r="A8" s="9" t="s">
        <v>11</v>
      </c>
      <c r="B8" s="9"/>
      <c r="C8" s="9"/>
      <c r="D8" s="8" t="str">
        <f>'Stavební rozpočet'!D8</f>
        <v xml:space="preserve"> </v>
      </c>
      <c r="E8" s="8"/>
      <c r="F8" s="6" t="s">
        <v>74</v>
      </c>
      <c r="G8" s="6"/>
      <c r="H8" s="8" t="str">
        <f>'Stavební rozpočet'!H8</f>
        <v>25.01.2025</v>
      </c>
      <c r="I8" s="8" t="s">
        <v>12</v>
      </c>
      <c r="J8" s="8"/>
      <c r="K8" s="100" t="str">
        <f>'Stavební rozpočet'!K8</f>
        <v>MARTIN ČERNÝ, DIS.</v>
      </c>
      <c r="L8" s="100"/>
      <c r="M8" s="100"/>
    </row>
    <row r="9" spans="1:76" x14ac:dyDescent="0.25">
      <c r="A9" s="9"/>
      <c r="B9" s="9"/>
      <c r="C9" s="9"/>
      <c r="D9" s="8"/>
      <c r="E9" s="8"/>
      <c r="F9" s="6"/>
      <c r="G9" s="6"/>
      <c r="H9" s="8"/>
      <c r="I9" s="8"/>
      <c r="J9" s="8"/>
      <c r="K9" s="100"/>
      <c r="L9" s="100"/>
      <c r="M9" s="100"/>
    </row>
    <row r="10" spans="1:76" x14ac:dyDescent="0.25">
      <c r="A10" s="40" t="s">
        <v>75</v>
      </c>
      <c r="B10" s="41" t="s">
        <v>76</v>
      </c>
      <c r="C10" s="41" t="s">
        <v>77</v>
      </c>
      <c r="D10" s="101" t="s">
        <v>78</v>
      </c>
      <c r="E10" s="101"/>
      <c r="F10" s="41" t="s">
        <v>79</v>
      </c>
      <c r="G10" s="42" t="s">
        <v>80</v>
      </c>
      <c r="H10" s="43" t="s">
        <v>81</v>
      </c>
      <c r="I10" s="44" t="s">
        <v>82</v>
      </c>
      <c r="J10" s="102" t="s">
        <v>83</v>
      </c>
      <c r="K10" s="102"/>
      <c r="L10" s="102"/>
      <c r="M10" s="45" t="s">
        <v>84</v>
      </c>
      <c r="BK10" s="46" t="s">
        <v>85</v>
      </c>
      <c r="BL10" s="47" t="s">
        <v>86</v>
      </c>
      <c r="BW10" s="47" t="s">
        <v>87</v>
      </c>
    </row>
    <row r="11" spans="1:76" x14ac:dyDescent="0.25">
      <c r="A11" s="48" t="s">
        <v>88</v>
      </c>
      <c r="B11" s="49" t="s">
        <v>88</v>
      </c>
      <c r="C11" s="49" t="s">
        <v>88</v>
      </c>
      <c r="D11" s="103" t="s">
        <v>89</v>
      </c>
      <c r="E11" s="103"/>
      <c r="F11" s="49" t="s">
        <v>88</v>
      </c>
      <c r="G11" s="49" t="s">
        <v>88</v>
      </c>
      <c r="H11" s="50" t="s">
        <v>90</v>
      </c>
      <c r="I11" s="51" t="s">
        <v>91</v>
      </c>
      <c r="J11" s="50" t="s">
        <v>92</v>
      </c>
      <c r="K11" s="50" t="s">
        <v>93</v>
      </c>
      <c r="L11" s="52" t="s">
        <v>91</v>
      </c>
      <c r="M11" s="53" t="s">
        <v>94</v>
      </c>
      <c r="Z11" s="46" t="s">
        <v>95</v>
      </c>
      <c r="AA11" s="46" t="s">
        <v>96</v>
      </c>
      <c r="AB11" s="46" t="s">
        <v>97</v>
      </c>
      <c r="AC11" s="46" t="s">
        <v>98</v>
      </c>
      <c r="AD11" s="46" t="s">
        <v>99</v>
      </c>
      <c r="AE11" s="46" t="s">
        <v>100</v>
      </c>
      <c r="AF11" s="46" t="s">
        <v>101</v>
      </c>
      <c r="AG11" s="46" t="s">
        <v>102</v>
      </c>
      <c r="AH11" s="46" t="s">
        <v>103</v>
      </c>
      <c r="BH11" s="46" t="s">
        <v>104</v>
      </c>
      <c r="BI11" s="46" t="s">
        <v>105</v>
      </c>
      <c r="BJ11" s="46" t="s">
        <v>106</v>
      </c>
    </row>
    <row r="12" spans="1:76" ht="15" customHeight="1" x14ac:dyDescent="0.25">
      <c r="A12" s="54"/>
      <c r="B12" s="55" t="s">
        <v>349</v>
      </c>
      <c r="C12" s="55"/>
      <c r="D12" s="104" t="s">
        <v>350</v>
      </c>
      <c r="E12" s="104"/>
      <c r="F12" s="56" t="s">
        <v>88</v>
      </c>
      <c r="G12" s="56" t="s">
        <v>88</v>
      </c>
      <c r="H12" s="56" t="s">
        <v>88</v>
      </c>
      <c r="I12" s="39">
        <f>I13+I19+I28+I36+I45+I49+I56+I67+I85+I88+I104+I114+I118+I128+I133+I137+I153+I156+I158</f>
        <v>0</v>
      </c>
      <c r="J12" s="46"/>
      <c r="K12" s="46"/>
      <c r="L12" s="39">
        <f>L13+L19+L28+L36+L45+L49+L56+L67+L85+L88+L104+L114+L118+L128+L133+L137+L153+L156+L158</f>
        <v>16.623819260000001</v>
      </c>
      <c r="M12" s="57"/>
    </row>
    <row r="13" spans="1:76" ht="15" customHeight="1" x14ac:dyDescent="0.25">
      <c r="A13" s="54"/>
      <c r="B13" s="55" t="s">
        <v>349</v>
      </c>
      <c r="C13" s="55" t="s">
        <v>109</v>
      </c>
      <c r="D13" s="104" t="s">
        <v>110</v>
      </c>
      <c r="E13" s="104"/>
      <c r="F13" s="56" t="s">
        <v>88</v>
      </c>
      <c r="G13" s="56" t="s">
        <v>88</v>
      </c>
      <c r="H13" s="56" t="s">
        <v>88</v>
      </c>
      <c r="I13" s="39">
        <f>SUM(I14:I17)</f>
        <v>0</v>
      </c>
      <c r="J13" s="46"/>
      <c r="K13" s="46"/>
      <c r="L13" s="39">
        <f>SUM(L14:L17)</f>
        <v>0.14842520000000001</v>
      </c>
      <c r="M13" s="57"/>
      <c r="AI13" s="46" t="s">
        <v>349</v>
      </c>
      <c r="AS13" s="39">
        <f>SUM(AJ14:AJ17)</f>
        <v>0</v>
      </c>
      <c r="AT13" s="39">
        <f>SUM(AK14:AK17)</f>
        <v>0</v>
      </c>
      <c r="AU13" s="39">
        <f>SUM(AL14:AL17)</f>
        <v>0</v>
      </c>
    </row>
    <row r="14" spans="1:76" ht="15" customHeight="1" x14ac:dyDescent="0.25">
      <c r="A14" s="58" t="s">
        <v>111</v>
      </c>
      <c r="B14" s="18" t="s">
        <v>349</v>
      </c>
      <c r="C14" s="18" t="s">
        <v>112</v>
      </c>
      <c r="D14" s="8" t="s">
        <v>113</v>
      </c>
      <c r="E14" s="8"/>
      <c r="F14" s="18" t="s">
        <v>114</v>
      </c>
      <c r="G14" s="59">
        <f>'Stavební rozpočet'!G118</f>
        <v>26.84</v>
      </c>
      <c r="H14" s="59">
        <f>'Stavební rozpočet'!H118</f>
        <v>0</v>
      </c>
      <c r="I14" s="59">
        <f>ROUND(G14*H14,2)</f>
        <v>0</v>
      </c>
      <c r="J14" s="59">
        <f>'Stavební rozpočet'!J118</f>
        <v>4.5900000000000003E-3</v>
      </c>
      <c r="K14" s="59">
        <f>'Stavební rozpočet'!K118</f>
        <v>4.5900000000000003E-3</v>
      </c>
      <c r="L14" s="59">
        <f>G14*K14</f>
        <v>0.1231956</v>
      </c>
      <c r="M14" s="60" t="s">
        <v>115</v>
      </c>
      <c r="Z14" s="59">
        <f>ROUND(IF(AQ14="5",BJ14,0),2)</f>
        <v>0</v>
      </c>
      <c r="AB14" s="59">
        <f>ROUND(IF(AQ14="1",BH14,0),2)</f>
        <v>0</v>
      </c>
      <c r="AC14" s="59">
        <f>ROUND(IF(AQ14="1",BI14,0),2)</f>
        <v>0</v>
      </c>
      <c r="AD14" s="59">
        <f>ROUND(IF(AQ14="7",BH14,0),2)</f>
        <v>0</v>
      </c>
      <c r="AE14" s="59">
        <f>ROUND(IF(AQ14="7",BI14,0),2)</f>
        <v>0</v>
      </c>
      <c r="AF14" s="59">
        <f>ROUND(IF(AQ14="2",BH14,0),2)</f>
        <v>0</v>
      </c>
      <c r="AG14" s="59">
        <f>ROUND(IF(AQ14="2",BI14,0),2)</f>
        <v>0</v>
      </c>
      <c r="AH14" s="59">
        <f>ROUND(IF(AQ14="0",BJ14,0),2)</f>
        <v>0</v>
      </c>
      <c r="AI14" s="46" t="s">
        <v>349</v>
      </c>
      <c r="AJ14" s="59">
        <f>IF(AN14=0,I14,0)</f>
        <v>0</v>
      </c>
      <c r="AK14" s="59">
        <f>IF(AN14=12,I14,0)</f>
        <v>0</v>
      </c>
      <c r="AL14" s="59">
        <f>IF(AN14=21,I14,0)</f>
        <v>0</v>
      </c>
      <c r="AN14" s="59">
        <v>12</v>
      </c>
      <c r="AO14" s="59">
        <f>H14*0.151837697</f>
        <v>0</v>
      </c>
      <c r="AP14" s="59">
        <f>H14*(1-0.151837697)</f>
        <v>0</v>
      </c>
      <c r="AQ14" s="61" t="s">
        <v>111</v>
      </c>
      <c r="AV14" s="59">
        <f>ROUND(AW14+AX14,2)</f>
        <v>0</v>
      </c>
      <c r="AW14" s="59">
        <f>ROUND(G14*AO14,2)</f>
        <v>0</v>
      </c>
      <c r="AX14" s="59">
        <f>ROUND(G14*AP14,2)</f>
        <v>0</v>
      </c>
      <c r="AY14" s="61" t="s">
        <v>116</v>
      </c>
      <c r="AZ14" s="61" t="s">
        <v>351</v>
      </c>
      <c r="BA14" s="46" t="s">
        <v>352</v>
      </c>
      <c r="BC14" s="59">
        <f>AW14+AX14</f>
        <v>0</v>
      </c>
      <c r="BD14" s="59">
        <f>H14/(100-BE14)*100</f>
        <v>0</v>
      </c>
      <c r="BE14" s="59">
        <v>0</v>
      </c>
      <c r="BF14" s="59">
        <f>L14</f>
        <v>0.1231956</v>
      </c>
      <c r="BH14" s="59">
        <f>G14*AO14</f>
        <v>0</v>
      </c>
      <c r="BI14" s="59">
        <f>G14*AP14</f>
        <v>0</v>
      </c>
      <c r="BJ14" s="59">
        <f>G14*H14</f>
        <v>0</v>
      </c>
      <c r="BK14" s="59"/>
      <c r="BL14" s="59">
        <v>60</v>
      </c>
      <c r="BW14" s="59">
        <v>12</v>
      </c>
      <c r="BX14" s="16" t="s">
        <v>113</v>
      </c>
    </row>
    <row r="15" spans="1:76" ht="13.5" customHeight="1" x14ac:dyDescent="0.25">
      <c r="A15" s="62"/>
      <c r="D15" s="105" t="s">
        <v>119</v>
      </c>
      <c r="E15" s="105"/>
      <c r="F15" s="105"/>
      <c r="G15" s="105"/>
      <c r="H15" s="105"/>
      <c r="I15" s="105"/>
      <c r="J15" s="105"/>
      <c r="K15" s="105"/>
      <c r="L15" s="105"/>
      <c r="M15" s="105"/>
    </row>
    <row r="16" spans="1:76" x14ac:dyDescent="0.25">
      <c r="A16" s="62"/>
      <c r="D16" s="63" t="s">
        <v>120</v>
      </c>
      <c r="E16" s="63"/>
      <c r="G16" s="64">
        <v>26.84</v>
      </c>
      <c r="M16" s="65"/>
    </row>
    <row r="17" spans="1:76" ht="15" customHeight="1" x14ac:dyDescent="0.25">
      <c r="A17" s="58" t="s">
        <v>121</v>
      </c>
      <c r="B17" s="18" t="s">
        <v>349</v>
      </c>
      <c r="C17" s="18" t="s">
        <v>122</v>
      </c>
      <c r="D17" s="8" t="s">
        <v>123</v>
      </c>
      <c r="E17" s="8"/>
      <c r="F17" s="18" t="s">
        <v>114</v>
      </c>
      <c r="G17" s="59">
        <f>'Stavební rozpočet'!G120</f>
        <v>53.68</v>
      </c>
      <c r="H17" s="59">
        <f>'Stavební rozpočet'!H120</f>
        <v>0</v>
      </c>
      <c r="I17" s="59">
        <f>ROUND(G17*H17,2)</f>
        <v>0</v>
      </c>
      <c r="J17" s="59">
        <f>'Stavební rozpočet'!J120</f>
        <v>4.6999999999999999E-4</v>
      </c>
      <c r="K17" s="59">
        <f>'Stavební rozpočet'!K120</f>
        <v>4.6999999999999999E-4</v>
      </c>
      <c r="L17" s="59">
        <f>G17*K17</f>
        <v>2.5229599999999998E-2</v>
      </c>
      <c r="M17" s="60" t="s">
        <v>115</v>
      </c>
      <c r="Z17" s="59">
        <f>ROUND(IF(AQ17="5",BJ17,0),2)</f>
        <v>0</v>
      </c>
      <c r="AB17" s="59">
        <f>ROUND(IF(AQ17="1",BH17,0),2)</f>
        <v>0</v>
      </c>
      <c r="AC17" s="59">
        <f>ROUND(IF(AQ17="1",BI17,0),2)</f>
        <v>0</v>
      </c>
      <c r="AD17" s="59">
        <f>ROUND(IF(AQ17="7",BH17,0),2)</f>
        <v>0</v>
      </c>
      <c r="AE17" s="59">
        <f>ROUND(IF(AQ17="7",BI17,0),2)</f>
        <v>0</v>
      </c>
      <c r="AF17" s="59">
        <f>ROUND(IF(AQ17="2",BH17,0),2)</f>
        <v>0</v>
      </c>
      <c r="AG17" s="59">
        <f>ROUND(IF(AQ17="2",BI17,0),2)</f>
        <v>0</v>
      </c>
      <c r="AH17" s="59">
        <f>ROUND(IF(AQ17="0",BJ17,0),2)</f>
        <v>0</v>
      </c>
      <c r="AI17" s="46" t="s">
        <v>349</v>
      </c>
      <c r="AJ17" s="59">
        <f>IF(AN17=0,I17,0)</f>
        <v>0</v>
      </c>
      <c r="AK17" s="59">
        <f>IF(AN17=12,I17,0)</f>
        <v>0</v>
      </c>
      <c r="AL17" s="59">
        <f>IF(AN17=21,I17,0)</f>
        <v>0</v>
      </c>
      <c r="AN17" s="59">
        <v>12</v>
      </c>
      <c r="AO17" s="59">
        <f>H17*0.50964582</f>
        <v>0</v>
      </c>
      <c r="AP17" s="59">
        <f>H17*(1-0.50964582)</f>
        <v>0</v>
      </c>
      <c r="AQ17" s="61" t="s">
        <v>111</v>
      </c>
      <c r="AV17" s="59">
        <f>ROUND(AW17+AX17,2)</f>
        <v>0</v>
      </c>
      <c r="AW17" s="59">
        <f>ROUND(G17*AO17,2)</f>
        <v>0</v>
      </c>
      <c r="AX17" s="59">
        <f>ROUND(G17*AP17,2)</f>
        <v>0</v>
      </c>
      <c r="AY17" s="61" t="s">
        <v>116</v>
      </c>
      <c r="AZ17" s="61" t="s">
        <v>351</v>
      </c>
      <c r="BA17" s="46" t="s">
        <v>352</v>
      </c>
      <c r="BC17" s="59">
        <f>AW17+AX17</f>
        <v>0</v>
      </c>
      <c r="BD17" s="59">
        <f>H17/(100-BE17)*100</f>
        <v>0</v>
      </c>
      <c r="BE17" s="59">
        <v>0</v>
      </c>
      <c r="BF17" s="59">
        <f>L17</f>
        <v>2.5229599999999998E-2</v>
      </c>
      <c r="BH17" s="59">
        <f>G17*AO17</f>
        <v>0</v>
      </c>
      <c r="BI17" s="59">
        <f>G17*AP17</f>
        <v>0</v>
      </c>
      <c r="BJ17" s="59">
        <f>G17*H17</f>
        <v>0</v>
      </c>
      <c r="BK17" s="59"/>
      <c r="BL17" s="59">
        <v>60</v>
      </c>
      <c r="BW17" s="59">
        <v>12</v>
      </c>
      <c r="BX17" s="16" t="s">
        <v>123</v>
      </c>
    </row>
    <row r="18" spans="1:76" x14ac:dyDescent="0.25">
      <c r="A18" s="62"/>
      <c r="D18" s="63" t="s">
        <v>124</v>
      </c>
      <c r="E18" s="63"/>
      <c r="G18" s="64">
        <v>53.68</v>
      </c>
      <c r="M18" s="65"/>
    </row>
    <row r="19" spans="1:76" ht="15" customHeight="1" x14ac:dyDescent="0.25">
      <c r="A19" s="54"/>
      <c r="B19" s="55" t="s">
        <v>349</v>
      </c>
      <c r="C19" s="55" t="s">
        <v>125</v>
      </c>
      <c r="D19" s="104" t="s">
        <v>126</v>
      </c>
      <c r="E19" s="104"/>
      <c r="F19" s="56" t="s">
        <v>88</v>
      </c>
      <c r="G19" s="56" t="s">
        <v>88</v>
      </c>
      <c r="H19" s="56" t="s">
        <v>88</v>
      </c>
      <c r="I19" s="39">
        <f>SUM(I20:I25)</f>
        <v>0</v>
      </c>
      <c r="J19" s="46"/>
      <c r="K19" s="46"/>
      <c r="L19" s="39">
        <f>SUM(L20:L25)</f>
        <v>0.94391039999999993</v>
      </c>
      <c r="M19" s="57"/>
      <c r="AI19" s="46" t="s">
        <v>349</v>
      </c>
      <c r="AS19" s="39">
        <f>SUM(AJ20:AJ25)</f>
        <v>0</v>
      </c>
      <c r="AT19" s="39">
        <f>SUM(AK20:AK25)</f>
        <v>0</v>
      </c>
      <c r="AU19" s="39">
        <f>SUM(AL20:AL25)</f>
        <v>0</v>
      </c>
    </row>
    <row r="20" spans="1:76" ht="15" customHeight="1" x14ac:dyDescent="0.25">
      <c r="A20" s="58" t="s">
        <v>127</v>
      </c>
      <c r="B20" s="18" t="s">
        <v>349</v>
      </c>
      <c r="C20" s="18" t="s">
        <v>128</v>
      </c>
      <c r="D20" s="8" t="s">
        <v>129</v>
      </c>
      <c r="E20" s="8"/>
      <c r="F20" s="18" t="s">
        <v>114</v>
      </c>
      <c r="G20" s="59">
        <f>'Stavební rozpočet'!G123</f>
        <v>26.04</v>
      </c>
      <c r="H20" s="59">
        <f>'Stavební rozpočet'!H123</f>
        <v>0</v>
      </c>
      <c r="I20" s="59">
        <f>ROUND(G20*H20,2)</f>
        <v>0</v>
      </c>
      <c r="J20" s="59">
        <f>'Stavební rozpočet'!J123</f>
        <v>3.5659999999999997E-2</v>
      </c>
      <c r="K20" s="59">
        <f>'Stavební rozpočet'!K123</f>
        <v>3.5659999999999997E-2</v>
      </c>
      <c r="L20" s="59">
        <f>G20*K20</f>
        <v>0.92858639999999992</v>
      </c>
      <c r="M20" s="60" t="s">
        <v>115</v>
      </c>
      <c r="Z20" s="59">
        <f>ROUND(IF(AQ20="5",BJ20,0),2)</f>
        <v>0</v>
      </c>
      <c r="AB20" s="59">
        <f>ROUND(IF(AQ20="1",BH20,0),2)</f>
        <v>0</v>
      </c>
      <c r="AC20" s="59">
        <f>ROUND(IF(AQ20="1",BI20,0),2)</f>
        <v>0</v>
      </c>
      <c r="AD20" s="59">
        <f>ROUND(IF(AQ20="7",BH20,0),2)</f>
        <v>0</v>
      </c>
      <c r="AE20" s="59">
        <f>ROUND(IF(AQ20="7",BI20,0),2)</f>
        <v>0</v>
      </c>
      <c r="AF20" s="59">
        <f>ROUND(IF(AQ20="2",BH20,0),2)</f>
        <v>0</v>
      </c>
      <c r="AG20" s="59">
        <f>ROUND(IF(AQ20="2",BI20,0),2)</f>
        <v>0</v>
      </c>
      <c r="AH20" s="59">
        <f>ROUND(IF(AQ20="0",BJ20,0),2)</f>
        <v>0</v>
      </c>
      <c r="AI20" s="46" t="s">
        <v>349</v>
      </c>
      <c r="AJ20" s="59">
        <f>IF(AN20=0,I20,0)</f>
        <v>0</v>
      </c>
      <c r="AK20" s="59">
        <f>IF(AN20=12,I20,0)</f>
        <v>0</v>
      </c>
      <c r="AL20" s="59">
        <f>IF(AN20=21,I20,0)</f>
        <v>0</v>
      </c>
      <c r="AN20" s="59">
        <v>12</v>
      </c>
      <c r="AO20" s="59">
        <f>H20*0.283684158</f>
        <v>0</v>
      </c>
      <c r="AP20" s="59">
        <f>H20*(1-0.283684158)</f>
        <v>0</v>
      </c>
      <c r="AQ20" s="61" t="s">
        <v>111</v>
      </c>
      <c r="AV20" s="59">
        <f>ROUND(AW20+AX20,2)</f>
        <v>0</v>
      </c>
      <c r="AW20" s="59">
        <f>ROUND(G20*AO20,2)</f>
        <v>0</v>
      </c>
      <c r="AX20" s="59">
        <f>ROUND(G20*AP20,2)</f>
        <v>0</v>
      </c>
      <c r="AY20" s="61" t="s">
        <v>130</v>
      </c>
      <c r="AZ20" s="61" t="s">
        <v>351</v>
      </c>
      <c r="BA20" s="46" t="s">
        <v>352</v>
      </c>
      <c r="BC20" s="59">
        <f>AW20+AX20</f>
        <v>0</v>
      </c>
      <c r="BD20" s="59">
        <f>H20/(100-BE20)*100</f>
        <v>0</v>
      </c>
      <c r="BE20" s="59">
        <v>0</v>
      </c>
      <c r="BF20" s="59">
        <f>L20</f>
        <v>0.92858639999999992</v>
      </c>
      <c r="BH20" s="59">
        <f>G20*AO20</f>
        <v>0</v>
      </c>
      <c r="BI20" s="59">
        <f>G20*AP20</f>
        <v>0</v>
      </c>
      <c r="BJ20" s="59">
        <f>G20*H20</f>
        <v>0</v>
      </c>
      <c r="BK20" s="59"/>
      <c r="BL20" s="59">
        <v>61</v>
      </c>
      <c r="BW20" s="59">
        <v>12</v>
      </c>
      <c r="BX20" s="16" t="s">
        <v>129</v>
      </c>
    </row>
    <row r="21" spans="1:76" ht="13.5" customHeight="1" x14ac:dyDescent="0.25">
      <c r="A21" s="62"/>
      <c r="D21" s="105" t="s">
        <v>131</v>
      </c>
      <c r="E21" s="105"/>
      <c r="F21" s="105"/>
      <c r="G21" s="105"/>
      <c r="H21" s="105"/>
      <c r="I21" s="105"/>
      <c r="J21" s="105"/>
      <c r="K21" s="105"/>
      <c r="L21" s="105"/>
      <c r="M21" s="105"/>
    </row>
    <row r="22" spans="1:76" x14ac:dyDescent="0.25">
      <c r="A22" s="62"/>
      <c r="D22" s="63" t="s">
        <v>353</v>
      </c>
      <c r="E22" s="63"/>
      <c r="G22" s="64">
        <v>26.04</v>
      </c>
      <c r="M22" s="65"/>
    </row>
    <row r="23" spans="1:76" ht="15" customHeight="1" x14ac:dyDescent="0.25">
      <c r="A23" s="58" t="s">
        <v>133</v>
      </c>
      <c r="B23" s="18" t="s">
        <v>349</v>
      </c>
      <c r="C23" s="18" t="s">
        <v>134</v>
      </c>
      <c r="D23" s="8" t="s">
        <v>135</v>
      </c>
      <c r="E23" s="8"/>
      <c r="F23" s="18" t="s">
        <v>114</v>
      </c>
      <c r="G23" s="59">
        <f>'Stavební rozpočet'!G125</f>
        <v>57.6</v>
      </c>
      <c r="H23" s="59">
        <f>'Stavební rozpočet'!H125</f>
        <v>0</v>
      </c>
      <c r="I23" s="59">
        <f>ROUND(G23*H23,2)</f>
        <v>0</v>
      </c>
      <c r="J23" s="59">
        <f>'Stavební rozpočet'!J125</f>
        <v>4.0000000000000003E-5</v>
      </c>
      <c r="K23" s="59">
        <f>'Stavební rozpočet'!K125</f>
        <v>4.0000000000000003E-5</v>
      </c>
      <c r="L23" s="59">
        <f>G23*K23</f>
        <v>2.3040000000000001E-3</v>
      </c>
      <c r="M23" s="60" t="s">
        <v>115</v>
      </c>
      <c r="Z23" s="59">
        <f>ROUND(IF(AQ23="5",BJ23,0),2)</f>
        <v>0</v>
      </c>
      <c r="AB23" s="59">
        <f>ROUND(IF(AQ23="1",BH23,0),2)</f>
        <v>0</v>
      </c>
      <c r="AC23" s="59">
        <f>ROUND(IF(AQ23="1",BI23,0),2)</f>
        <v>0</v>
      </c>
      <c r="AD23" s="59">
        <f>ROUND(IF(AQ23="7",BH23,0),2)</f>
        <v>0</v>
      </c>
      <c r="AE23" s="59">
        <f>ROUND(IF(AQ23="7",BI23,0),2)</f>
        <v>0</v>
      </c>
      <c r="AF23" s="59">
        <f>ROUND(IF(AQ23="2",BH23,0),2)</f>
        <v>0</v>
      </c>
      <c r="AG23" s="59">
        <f>ROUND(IF(AQ23="2",BI23,0),2)</f>
        <v>0</v>
      </c>
      <c r="AH23" s="59">
        <f>ROUND(IF(AQ23="0",BJ23,0),2)</f>
        <v>0</v>
      </c>
      <c r="AI23" s="46" t="s">
        <v>349</v>
      </c>
      <c r="AJ23" s="59">
        <f>IF(AN23=0,I23,0)</f>
        <v>0</v>
      </c>
      <c r="AK23" s="59">
        <f>IF(AN23=12,I23,0)</f>
        <v>0</v>
      </c>
      <c r="AL23" s="59">
        <f>IF(AN23=21,I23,0)</f>
        <v>0</v>
      </c>
      <c r="AN23" s="59">
        <v>12</v>
      </c>
      <c r="AO23" s="59">
        <f>H23*0.267961277</f>
        <v>0</v>
      </c>
      <c r="AP23" s="59">
        <f>H23*(1-0.267961277)</f>
        <v>0</v>
      </c>
      <c r="AQ23" s="61" t="s">
        <v>111</v>
      </c>
      <c r="AV23" s="59">
        <f>ROUND(AW23+AX23,2)</f>
        <v>0</v>
      </c>
      <c r="AW23" s="59">
        <f>ROUND(G23*AO23,2)</f>
        <v>0</v>
      </c>
      <c r="AX23" s="59">
        <f>ROUND(G23*AP23,2)</f>
        <v>0</v>
      </c>
      <c r="AY23" s="61" t="s">
        <v>130</v>
      </c>
      <c r="AZ23" s="61" t="s">
        <v>351</v>
      </c>
      <c r="BA23" s="46" t="s">
        <v>352</v>
      </c>
      <c r="BC23" s="59">
        <f>AW23+AX23</f>
        <v>0</v>
      </c>
      <c r="BD23" s="59">
        <f>H23/(100-BE23)*100</f>
        <v>0</v>
      </c>
      <c r="BE23" s="59">
        <v>0</v>
      </c>
      <c r="BF23" s="59">
        <f>L23</f>
        <v>2.3040000000000001E-3</v>
      </c>
      <c r="BH23" s="59">
        <f>G23*AO23</f>
        <v>0</v>
      </c>
      <c r="BI23" s="59">
        <f>G23*AP23</f>
        <v>0</v>
      </c>
      <c r="BJ23" s="59">
        <f>G23*H23</f>
        <v>0</v>
      </c>
      <c r="BK23" s="59"/>
      <c r="BL23" s="59">
        <v>61</v>
      </c>
      <c r="BW23" s="59">
        <v>12</v>
      </c>
      <c r="BX23" s="16" t="s">
        <v>135</v>
      </c>
    </row>
    <row r="24" spans="1:76" x14ac:dyDescent="0.25">
      <c r="A24" s="62"/>
      <c r="D24" s="63" t="s">
        <v>354</v>
      </c>
      <c r="E24" s="63"/>
      <c r="G24" s="64">
        <v>57.6</v>
      </c>
      <c r="M24" s="65"/>
    </row>
    <row r="25" spans="1:76" ht="15" customHeight="1" x14ac:dyDescent="0.25">
      <c r="A25" s="58" t="s">
        <v>137</v>
      </c>
      <c r="B25" s="18" t="s">
        <v>349</v>
      </c>
      <c r="C25" s="18" t="s">
        <v>138</v>
      </c>
      <c r="D25" s="8" t="s">
        <v>139</v>
      </c>
      <c r="E25" s="8"/>
      <c r="F25" s="18" t="s">
        <v>140</v>
      </c>
      <c r="G25" s="59">
        <f>'Stavební rozpočet'!G127</f>
        <v>130.19999999999999</v>
      </c>
      <c r="H25" s="59">
        <f>'Stavební rozpočet'!H127</f>
        <v>0</v>
      </c>
      <c r="I25" s="59">
        <f>ROUND(G25*H25,2)</f>
        <v>0</v>
      </c>
      <c r="J25" s="59">
        <f>'Stavební rozpočet'!J127</f>
        <v>1E-4</v>
      </c>
      <c r="K25" s="59">
        <f>'Stavební rozpočet'!K127</f>
        <v>1E-4</v>
      </c>
      <c r="L25" s="59">
        <f>G25*K25</f>
        <v>1.302E-2</v>
      </c>
      <c r="M25" s="60" t="s">
        <v>115</v>
      </c>
      <c r="Z25" s="59">
        <f>ROUND(IF(AQ25="5",BJ25,0),2)</f>
        <v>0</v>
      </c>
      <c r="AB25" s="59">
        <f>ROUND(IF(AQ25="1",BH25,0),2)</f>
        <v>0</v>
      </c>
      <c r="AC25" s="59">
        <f>ROUND(IF(AQ25="1",BI25,0),2)</f>
        <v>0</v>
      </c>
      <c r="AD25" s="59">
        <f>ROUND(IF(AQ25="7",BH25,0),2)</f>
        <v>0</v>
      </c>
      <c r="AE25" s="59">
        <f>ROUND(IF(AQ25="7",BI25,0),2)</f>
        <v>0</v>
      </c>
      <c r="AF25" s="59">
        <f>ROUND(IF(AQ25="2",BH25,0),2)</f>
        <v>0</v>
      </c>
      <c r="AG25" s="59">
        <f>ROUND(IF(AQ25="2",BI25,0),2)</f>
        <v>0</v>
      </c>
      <c r="AH25" s="59">
        <f>ROUND(IF(AQ25="0",BJ25,0),2)</f>
        <v>0</v>
      </c>
      <c r="AI25" s="46" t="s">
        <v>349</v>
      </c>
      <c r="AJ25" s="59">
        <f>IF(AN25=0,I25,0)</f>
        <v>0</v>
      </c>
      <c r="AK25" s="59">
        <f>IF(AN25=12,I25,0)</f>
        <v>0</v>
      </c>
      <c r="AL25" s="59">
        <f>IF(AN25=21,I25,0)</f>
        <v>0</v>
      </c>
      <c r="AN25" s="59">
        <v>12</v>
      </c>
      <c r="AO25" s="59">
        <f>H25*0.367459416</f>
        <v>0</v>
      </c>
      <c r="AP25" s="59">
        <f>H25*(1-0.367459416)</f>
        <v>0</v>
      </c>
      <c r="AQ25" s="61" t="s">
        <v>111</v>
      </c>
      <c r="AV25" s="59">
        <f>ROUND(AW25+AX25,2)</f>
        <v>0</v>
      </c>
      <c r="AW25" s="59">
        <f>ROUND(G25*AO25,2)</f>
        <v>0</v>
      </c>
      <c r="AX25" s="59">
        <f>ROUND(G25*AP25,2)</f>
        <v>0</v>
      </c>
      <c r="AY25" s="61" t="s">
        <v>130</v>
      </c>
      <c r="AZ25" s="61" t="s">
        <v>351</v>
      </c>
      <c r="BA25" s="46" t="s">
        <v>352</v>
      </c>
      <c r="BC25" s="59">
        <f>AW25+AX25</f>
        <v>0</v>
      </c>
      <c r="BD25" s="59">
        <f>H25/(100-BE25)*100</f>
        <v>0</v>
      </c>
      <c r="BE25" s="59">
        <v>0</v>
      </c>
      <c r="BF25" s="59">
        <f>L25</f>
        <v>1.302E-2</v>
      </c>
      <c r="BH25" s="59">
        <f>G25*AO25</f>
        <v>0</v>
      </c>
      <c r="BI25" s="59">
        <f>G25*AP25</f>
        <v>0</v>
      </c>
      <c r="BJ25" s="59">
        <f>G25*H25</f>
        <v>0</v>
      </c>
      <c r="BK25" s="59"/>
      <c r="BL25" s="59">
        <v>61</v>
      </c>
      <c r="BW25" s="59">
        <v>12</v>
      </c>
      <c r="BX25" s="16" t="s">
        <v>139</v>
      </c>
    </row>
    <row r="26" spans="1:76" ht="13.5" customHeight="1" x14ac:dyDescent="0.25">
      <c r="A26" s="62"/>
      <c r="D26" s="105" t="s">
        <v>141</v>
      </c>
      <c r="E26" s="105"/>
      <c r="F26" s="105"/>
      <c r="G26" s="105"/>
      <c r="H26" s="105"/>
      <c r="I26" s="105"/>
      <c r="J26" s="105"/>
      <c r="K26" s="105"/>
      <c r="L26" s="105"/>
      <c r="M26" s="105"/>
    </row>
    <row r="27" spans="1:76" x14ac:dyDescent="0.25">
      <c r="A27" s="62"/>
      <c r="D27" s="63" t="s">
        <v>355</v>
      </c>
      <c r="E27" s="63"/>
      <c r="G27" s="64">
        <v>130.19999999999999</v>
      </c>
      <c r="M27" s="65"/>
    </row>
    <row r="28" spans="1:76" ht="15" customHeight="1" x14ac:dyDescent="0.25">
      <c r="A28" s="54"/>
      <c r="B28" s="55" t="s">
        <v>349</v>
      </c>
      <c r="C28" s="55" t="s">
        <v>143</v>
      </c>
      <c r="D28" s="104" t="s">
        <v>144</v>
      </c>
      <c r="E28" s="104"/>
      <c r="F28" s="56" t="s">
        <v>88</v>
      </c>
      <c r="G28" s="56" t="s">
        <v>88</v>
      </c>
      <c r="H28" s="56" t="s">
        <v>88</v>
      </c>
      <c r="I28" s="39">
        <f>SUM(I29:I34)</f>
        <v>0</v>
      </c>
      <c r="J28" s="46"/>
      <c r="K28" s="46"/>
      <c r="L28" s="39">
        <f>SUM(L29:L34)</f>
        <v>0.38913170000000002</v>
      </c>
      <c r="M28" s="57"/>
      <c r="AI28" s="46" t="s">
        <v>349</v>
      </c>
      <c r="AS28" s="39">
        <f>SUM(AJ29:AJ34)</f>
        <v>0</v>
      </c>
      <c r="AT28" s="39">
        <f>SUM(AK29:AK34)</f>
        <v>0</v>
      </c>
      <c r="AU28" s="39">
        <f>SUM(AL29:AL34)</f>
        <v>0</v>
      </c>
    </row>
    <row r="29" spans="1:76" ht="15" customHeight="1" x14ac:dyDescent="0.25">
      <c r="A29" s="58" t="s">
        <v>145</v>
      </c>
      <c r="B29" s="18" t="s">
        <v>349</v>
      </c>
      <c r="C29" s="18" t="s">
        <v>146</v>
      </c>
      <c r="D29" s="8" t="s">
        <v>147</v>
      </c>
      <c r="E29" s="8"/>
      <c r="F29" s="18" t="s">
        <v>114</v>
      </c>
      <c r="G29" s="59">
        <f>'Stavební rozpočet'!G130</f>
        <v>26.835000000000001</v>
      </c>
      <c r="H29" s="59">
        <f>'Stavební rozpočet'!H130</f>
        <v>0</v>
      </c>
      <c r="I29" s="59">
        <f>ROUND(G29*H29,2)</f>
        <v>0</v>
      </c>
      <c r="J29" s="59">
        <f>'Stavební rozpočet'!J130</f>
        <v>9.6600000000000002E-3</v>
      </c>
      <c r="K29" s="59">
        <f>'Stavební rozpočet'!K130</f>
        <v>9.6600000000000002E-3</v>
      </c>
      <c r="L29" s="59">
        <f>G29*K29</f>
        <v>0.25922610000000001</v>
      </c>
      <c r="M29" s="60" t="s">
        <v>115</v>
      </c>
      <c r="Z29" s="59">
        <f>ROUND(IF(AQ29="5",BJ29,0),2)</f>
        <v>0</v>
      </c>
      <c r="AB29" s="59">
        <f>ROUND(IF(AQ29="1",BH29,0),2)</f>
        <v>0</v>
      </c>
      <c r="AC29" s="59">
        <f>ROUND(IF(AQ29="1",BI29,0),2)</f>
        <v>0</v>
      </c>
      <c r="AD29" s="59">
        <f>ROUND(IF(AQ29="7",BH29,0),2)</f>
        <v>0</v>
      </c>
      <c r="AE29" s="59">
        <f>ROUND(IF(AQ29="7",BI29,0),2)</f>
        <v>0</v>
      </c>
      <c r="AF29" s="59">
        <f>ROUND(IF(AQ29="2",BH29,0),2)</f>
        <v>0</v>
      </c>
      <c r="AG29" s="59">
        <f>ROUND(IF(AQ29="2",BI29,0),2)</f>
        <v>0</v>
      </c>
      <c r="AH29" s="59">
        <f>ROUND(IF(AQ29="0",BJ29,0),2)</f>
        <v>0</v>
      </c>
      <c r="AI29" s="46" t="s">
        <v>349</v>
      </c>
      <c r="AJ29" s="59">
        <f>IF(AN29=0,I29,0)</f>
        <v>0</v>
      </c>
      <c r="AK29" s="59">
        <f>IF(AN29=12,I29,0)</f>
        <v>0</v>
      </c>
      <c r="AL29" s="59">
        <f>IF(AN29=21,I29,0)</f>
        <v>0</v>
      </c>
      <c r="AN29" s="59">
        <v>12</v>
      </c>
      <c r="AO29" s="59">
        <f>H29*0.218564986</f>
        <v>0</v>
      </c>
      <c r="AP29" s="59">
        <f>H29*(1-0.218564986)</f>
        <v>0</v>
      </c>
      <c r="AQ29" s="61" t="s">
        <v>111</v>
      </c>
      <c r="AV29" s="59">
        <f>ROUND(AW29+AX29,2)</f>
        <v>0</v>
      </c>
      <c r="AW29" s="59">
        <f>ROUND(G29*AO29,2)</f>
        <v>0</v>
      </c>
      <c r="AX29" s="59">
        <f>ROUND(G29*AP29,2)</f>
        <v>0</v>
      </c>
      <c r="AY29" s="61" t="s">
        <v>148</v>
      </c>
      <c r="AZ29" s="61" t="s">
        <v>351</v>
      </c>
      <c r="BA29" s="46" t="s">
        <v>352</v>
      </c>
      <c r="BC29" s="59">
        <f>AW29+AX29</f>
        <v>0</v>
      </c>
      <c r="BD29" s="59">
        <f>H29/(100-BE29)*100</f>
        <v>0</v>
      </c>
      <c r="BE29" s="59">
        <v>0</v>
      </c>
      <c r="BF29" s="59">
        <f>L29</f>
        <v>0.25922610000000001</v>
      </c>
      <c r="BH29" s="59">
        <f>G29*AO29</f>
        <v>0</v>
      </c>
      <c r="BI29" s="59">
        <f>G29*AP29</f>
        <v>0</v>
      </c>
      <c r="BJ29" s="59">
        <f>G29*H29</f>
        <v>0</v>
      </c>
      <c r="BK29" s="59"/>
      <c r="BL29" s="59">
        <v>62</v>
      </c>
      <c r="BW29" s="59">
        <v>12</v>
      </c>
      <c r="BX29" s="16" t="s">
        <v>147</v>
      </c>
    </row>
    <row r="30" spans="1:76" x14ac:dyDescent="0.25">
      <c r="A30" s="62"/>
      <c r="D30" s="63" t="s">
        <v>149</v>
      </c>
      <c r="E30" s="63"/>
      <c r="G30" s="64">
        <v>26.835000000000001</v>
      </c>
      <c r="M30" s="65"/>
    </row>
    <row r="31" spans="1:76" ht="15" customHeight="1" x14ac:dyDescent="0.25">
      <c r="A31" s="58" t="s">
        <v>150</v>
      </c>
      <c r="B31" s="18" t="s">
        <v>349</v>
      </c>
      <c r="C31" s="18" t="s">
        <v>151</v>
      </c>
      <c r="D31" s="8" t="s">
        <v>152</v>
      </c>
      <c r="E31" s="8"/>
      <c r="F31" s="18" t="s">
        <v>114</v>
      </c>
      <c r="G31" s="59">
        <f>'Stavební rozpočet'!G132</f>
        <v>26.84</v>
      </c>
      <c r="H31" s="59">
        <f>'Stavební rozpočet'!H132</f>
        <v>0</v>
      </c>
      <c r="I31" s="59">
        <f>ROUND(G31*H31,2)</f>
        <v>0</v>
      </c>
      <c r="J31" s="59">
        <f>'Stavební rozpočet'!J132</f>
        <v>4.3099999999999996E-3</v>
      </c>
      <c r="K31" s="59">
        <f>'Stavební rozpočet'!K132</f>
        <v>4.3099999999999996E-3</v>
      </c>
      <c r="L31" s="59">
        <f>G31*K31</f>
        <v>0.11568039999999999</v>
      </c>
      <c r="M31" s="60" t="s">
        <v>115</v>
      </c>
      <c r="Z31" s="59">
        <f>ROUND(IF(AQ31="5",BJ31,0),2)</f>
        <v>0</v>
      </c>
      <c r="AB31" s="59">
        <f>ROUND(IF(AQ31="1",BH31,0),2)</f>
        <v>0</v>
      </c>
      <c r="AC31" s="59">
        <f>ROUND(IF(AQ31="1",BI31,0),2)</f>
        <v>0</v>
      </c>
      <c r="AD31" s="59">
        <f>ROUND(IF(AQ31="7",BH31,0),2)</f>
        <v>0</v>
      </c>
      <c r="AE31" s="59">
        <f>ROUND(IF(AQ31="7",BI31,0),2)</f>
        <v>0</v>
      </c>
      <c r="AF31" s="59">
        <f>ROUND(IF(AQ31="2",BH31,0),2)</f>
        <v>0</v>
      </c>
      <c r="AG31" s="59">
        <f>ROUND(IF(AQ31="2",BI31,0),2)</f>
        <v>0</v>
      </c>
      <c r="AH31" s="59">
        <f>ROUND(IF(AQ31="0",BJ31,0),2)</f>
        <v>0</v>
      </c>
      <c r="AI31" s="46" t="s">
        <v>349</v>
      </c>
      <c r="AJ31" s="59">
        <f>IF(AN31=0,I31,0)</f>
        <v>0</v>
      </c>
      <c r="AK31" s="59">
        <f>IF(AN31=12,I31,0)</f>
        <v>0</v>
      </c>
      <c r="AL31" s="59">
        <f>IF(AN31=21,I31,0)</f>
        <v>0</v>
      </c>
      <c r="AN31" s="59">
        <v>12</v>
      </c>
      <c r="AO31" s="59">
        <f>H31*0.224526803</f>
        <v>0</v>
      </c>
      <c r="AP31" s="59">
        <f>H31*(1-0.224526803)</f>
        <v>0</v>
      </c>
      <c r="AQ31" s="61" t="s">
        <v>111</v>
      </c>
      <c r="AV31" s="59">
        <f>ROUND(AW31+AX31,2)</f>
        <v>0</v>
      </c>
      <c r="AW31" s="59">
        <f>ROUND(G31*AO31,2)</f>
        <v>0</v>
      </c>
      <c r="AX31" s="59">
        <f>ROUND(G31*AP31,2)</f>
        <v>0</v>
      </c>
      <c r="AY31" s="61" t="s">
        <v>148</v>
      </c>
      <c r="AZ31" s="61" t="s">
        <v>351</v>
      </c>
      <c r="BA31" s="46" t="s">
        <v>352</v>
      </c>
      <c r="BC31" s="59">
        <f>AW31+AX31</f>
        <v>0</v>
      </c>
      <c r="BD31" s="59">
        <f>H31/(100-BE31)*100</f>
        <v>0</v>
      </c>
      <c r="BE31" s="59">
        <v>0</v>
      </c>
      <c r="BF31" s="59">
        <f>L31</f>
        <v>0.11568039999999999</v>
      </c>
      <c r="BH31" s="59">
        <f>G31*AO31</f>
        <v>0</v>
      </c>
      <c r="BI31" s="59">
        <f>G31*AP31</f>
        <v>0</v>
      </c>
      <c r="BJ31" s="59">
        <f>G31*H31</f>
        <v>0</v>
      </c>
      <c r="BK31" s="59"/>
      <c r="BL31" s="59">
        <v>62</v>
      </c>
      <c r="BW31" s="59">
        <v>12</v>
      </c>
      <c r="BX31" s="16" t="s">
        <v>152</v>
      </c>
    </row>
    <row r="32" spans="1:76" ht="13.5" customHeight="1" x14ac:dyDescent="0.25">
      <c r="A32" s="62"/>
      <c r="D32" s="105" t="s">
        <v>153</v>
      </c>
      <c r="E32" s="105"/>
      <c r="F32" s="105"/>
      <c r="G32" s="105"/>
      <c r="H32" s="105"/>
      <c r="I32" s="105"/>
      <c r="J32" s="105"/>
      <c r="K32" s="105"/>
      <c r="L32" s="105"/>
      <c r="M32" s="105"/>
    </row>
    <row r="33" spans="1:76" x14ac:dyDescent="0.25">
      <c r="A33" s="62"/>
      <c r="D33" s="63" t="s">
        <v>120</v>
      </c>
      <c r="E33" s="63"/>
      <c r="G33" s="64">
        <v>26.84</v>
      </c>
      <c r="M33" s="65"/>
    </row>
    <row r="34" spans="1:76" ht="15" customHeight="1" x14ac:dyDescent="0.25">
      <c r="A34" s="58" t="s">
        <v>154</v>
      </c>
      <c r="B34" s="18" t="s">
        <v>349</v>
      </c>
      <c r="C34" s="18" t="s">
        <v>155</v>
      </c>
      <c r="D34" s="8" t="s">
        <v>156</v>
      </c>
      <c r="E34" s="8"/>
      <c r="F34" s="18" t="s">
        <v>114</v>
      </c>
      <c r="G34" s="59">
        <f>'Stavební rozpočet'!G134</f>
        <v>26.84</v>
      </c>
      <c r="H34" s="59">
        <f>'Stavební rozpočet'!H134</f>
        <v>0</v>
      </c>
      <c r="I34" s="59">
        <f>ROUND(G34*H34,2)</f>
        <v>0</v>
      </c>
      <c r="J34" s="59">
        <f>'Stavební rozpočet'!J134</f>
        <v>5.2999999999999998E-4</v>
      </c>
      <c r="K34" s="59">
        <f>'Stavební rozpočet'!K134</f>
        <v>5.2999999999999998E-4</v>
      </c>
      <c r="L34" s="59">
        <f>G34*K34</f>
        <v>1.4225199999999999E-2</v>
      </c>
      <c r="M34" s="60" t="s">
        <v>115</v>
      </c>
      <c r="Z34" s="59">
        <f>ROUND(IF(AQ34="5",BJ34,0),2)</f>
        <v>0</v>
      </c>
      <c r="AB34" s="59">
        <f>ROUND(IF(AQ34="1",BH34,0),2)</f>
        <v>0</v>
      </c>
      <c r="AC34" s="59">
        <f>ROUND(IF(AQ34="1",BI34,0),2)</f>
        <v>0</v>
      </c>
      <c r="AD34" s="59">
        <f>ROUND(IF(AQ34="7",BH34,0),2)</f>
        <v>0</v>
      </c>
      <c r="AE34" s="59">
        <f>ROUND(IF(AQ34="7",BI34,0),2)</f>
        <v>0</v>
      </c>
      <c r="AF34" s="59">
        <f>ROUND(IF(AQ34="2",BH34,0),2)</f>
        <v>0</v>
      </c>
      <c r="AG34" s="59">
        <f>ROUND(IF(AQ34="2",BI34,0),2)</f>
        <v>0</v>
      </c>
      <c r="AH34" s="59">
        <f>ROUND(IF(AQ34="0",BJ34,0),2)</f>
        <v>0</v>
      </c>
      <c r="AI34" s="46" t="s">
        <v>349</v>
      </c>
      <c r="AJ34" s="59">
        <f>IF(AN34=0,I34,0)</f>
        <v>0</v>
      </c>
      <c r="AK34" s="59">
        <f>IF(AN34=12,I34,0)</f>
        <v>0</v>
      </c>
      <c r="AL34" s="59">
        <f>IF(AN34=21,I34,0)</f>
        <v>0</v>
      </c>
      <c r="AN34" s="59">
        <v>12</v>
      </c>
      <c r="AO34" s="59">
        <f>H34*0.475328947</f>
        <v>0</v>
      </c>
      <c r="AP34" s="59">
        <f>H34*(1-0.475328947)</f>
        <v>0</v>
      </c>
      <c r="AQ34" s="61" t="s">
        <v>111</v>
      </c>
      <c r="AV34" s="59">
        <f>ROUND(AW34+AX34,2)</f>
        <v>0</v>
      </c>
      <c r="AW34" s="59">
        <f>ROUND(G34*AO34,2)</f>
        <v>0</v>
      </c>
      <c r="AX34" s="59">
        <f>ROUND(G34*AP34,2)</f>
        <v>0</v>
      </c>
      <c r="AY34" s="61" t="s">
        <v>148</v>
      </c>
      <c r="AZ34" s="61" t="s">
        <v>351</v>
      </c>
      <c r="BA34" s="46" t="s">
        <v>352</v>
      </c>
      <c r="BC34" s="59">
        <f>AW34+AX34</f>
        <v>0</v>
      </c>
      <c r="BD34" s="59">
        <f>H34/(100-BE34)*100</f>
        <v>0</v>
      </c>
      <c r="BE34" s="59">
        <v>0</v>
      </c>
      <c r="BF34" s="59">
        <f>L34</f>
        <v>1.4225199999999999E-2</v>
      </c>
      <c r="BH34" s="59">
        <f>G34*AO34</f>
        <v>0</v>
      </c>
      <c r="BI34" s="59">
        <f>G34*AP34</f>
        <v>0</v>
      </c>
      <c r="BJ34" s="59">
        <f>G34*H34</f>
        <v>0</v>
      </c>
      <c r="BK34" s="59"/>
      <c r="BL34" s="59">
        <v>62</v>
      </c>
      <c r="BW34" s="59">
        <v>12</v>
      </c>
      <c r="BX34" s="16" t="s">
        <v>156</v>
      </c>
    </row>
    <row r="35" spans="1:76" x14ac:dyDescent="0.25">
      <c r="A35" s="62"/>
      <c r="D35" s="63" t="s">
        <v>120</v>
      </c>
      <c r="E35" s="63"/>
      <c r="G35" s="64">
        <v>26.84</v>
      </c>
      <c r="M35" s="65"/>
    </row>
    <row r="36" spans="1:76" ht="15" customHeight="1" x14ac:dyDescent="0.25">
      <c r="A36" s="54"/>
      <c r="B36" s="55" t="s">
        <v>349</v>
      </c>
      <c r="C36" s="55" t="s">
        <v>356</v>
      </c>
      <c r="D36" s="104" t="s">
        <v>357</v>
      </c>
      <c r="E36" s="104"/>
      <c r="F36" s="56" t="s">
        <v>88</v>
      </c>
      <c r="G36" s="56" t="s">
        <v>88</v>
      </c>
      <c r="H36" s="56" t="s">
        <v>88</v>
      </c>
      <c r="I36" s="39">
        <f>SUM(I37:I43)</f>
        <v>0</v>
      </c>
      <c r="J36" s="46"/>
      <c r="K36" s="46"/>
      <c r="L36" s="39">
        <f>SUM(L37:L43)</f>
        <v>2.5745817999999998</v>
      </c>
      <c r="M36" s="57"/>
      <c r="AI36" s="46" t="s">
        <v>349</v>
      </c>
      <c r="AS36" s="39">
        <f>SUM(AJ37:AJ43)</f>
        <v>0</v>
      </c>
      <c r="AT36" s="39">
        <f>SUM(AK37:AK43)</f>
        <v>0</v>
      </c>
      <c r="AU36" s="39">
        <f>SUM(AL37:AL43)</f>
        <v>0</v>
      </c>
    </row>
    <row r="37" spans="1:76" ht="15" customHeight="1" x14ac:dyDescent="0.25">
      <c r="A37" s="58" t="s">
        <v>159</v>
      </c>
      <c r="B37" s="18" t="s">
        <v>349</v>
      </c>
      <c r="C37" s="18" t="s">
        <v>358</v>
      </c>
      <c r="D37" s="8" t="s">
        <v>359</v>
      </c>
      <c r="E37" s="8"/>
      <c r="F37" s="18" t="s">
        <v>360</v>
      </c>
      <c r="G37" s="59">
        <f>'Stavební rozpočet'!G137</f>
        <v>1.115</v>
      </c>
      <c r="H37" s="59">
        <f>'Stavební rozpočet'!H137</f>
        <v>0</v>
      </c>
      <c r="I37" s="59">
        <f>ROUND(G37*H37,2)</f>
        <v>0</v>
      </c>
      <c r="J37" s="59">
        <f>'Stavební rozpočet'!J137</f>
        <v>1.919</v>
      </c>
      <c r="K37" s="59">
        <f>'Stavební rozpočet'!K137</f>
        <v>1.919</v>
      </c>
      <c r="L37" s="59">
        <f>G37*K37</f>
        <v>2.1396850000000001</v>
      </c>
      <c r="M37" s="60" t="s">
        <v>115</v>
      </c>
      <c r="Z37" s="59">
        <f>ROUND(IF(AQ37="5",BJ37,0),2)</f>
        <v>0</v>
      </c>
      <c r="AB37" s="59">
        <f>ROUND(IF(AQ37="1",BH37,0),2)</f>
        <v>0</v>
      </c>
      <c r="AC37" s="59">
        <f>ROUND(IF(AQ37="1",BI37,0),2)</f>
        <v>0</v>
      </c>
      <c r="AD37" s="59">
        <f>ROUND(IF(AQ37="7",BH37,0),2)</f>
        <v>0</v>
      </c>
      <c r="AE37" s="59">
        <f>ROUND(IF(AQ37="7",BI37,0),2)</f>
        <v>0</v>
      </c>
      <c r="AF37" s="59">
        <f>ROUND(IF(AQ37="2",BH37,0),2)</f>
        <v>0</v>
      </c>
      <c r="AG37" s="59">
        <f>ROUND(IF(AQ37="2",BI37,0),2)</f>
        <v>0</v>
      </c>
      <c r="AH37" s="59">
        <f>ROUND(IF(AQ37="0",BJ37,0),2)</f>
        <v>0</v>
      </c>
      <c r="AI37" s="46" t="s">
        <v>349</v>
      </c>
      <c r="AJ37" s="59">
        <f>IF(AN37=0,I37,0)</f>
        <v>0</v>
      </c>
      <c r="AK37" s="59">
        <f>IF(AN37=12,I37,0)</f>
        <v>0</v>
      </c>
      <c r="AL37" s="59">
        <f>IF(AN37=21,I37,0)</f>
        <v>0</v>
      </c>
      <c r="AN37" s="59">
        <v>12</v>
      </c>
      <c r="AO37" s="59">
        <f>H37*0.822201844</f>
        <v>0</v>
      </c>
      <c r="AP37" s="59">
        <f>H37*(1-0.822201844)</f>
        <v>0</v>
      </c>
      <c r="AQ37" s="61" t="s">
        <v>111</v>
      </c>
      <c r="AV37" s="59">
        <f>ROUND(AW37+AX37,2)</f>
        <v>0</v>
      </c>
      <c r="AW37" s="59">
        <f>ROUND(G37*AO37,2)</f>
        <v>0</v>
      </c>
      <c r="AX37" s="59">
        <f>ROUND(G37*AP37,2)</f>
        <v>0</v>
      </c>
      <c r="AY37" s="61" t="s">
        <v>361</v>
      </c>
      <c r="AZ37" s="61" t="s">
        <v>351</v>
      </c>
      <c r="BA37" s="46" t="s">
        <v>352</v>
      </c>
      <c r="BC37" s="59">
        <f>AW37+AX37</f>
        <v>0</v>
      </c>
      <c r="BD37" s="59">
        <f>H37/(100-BE37)*100</f>
        <v>0</v>
      </c>
      <c r="BE37" s="59">
        <v>0</v>
      </c>
      <c r="BF37" s="59">
        <f>L37</f>
        <v>2.1396850000000001</v>
      </c>
      <c r="BH37" s="59">
        <f>G37*AO37</f>
        <v>0</v>
      </c>
      <c r="BI37" s="59">
        <f>G37*AP37</f>
        <v>0</v>
      </c>
      <c r="BJ37" s="59">
        <f>G37*H37</f>
        <v>0</v>
      </c>
      <c r="BK37" s="59"/>
      <c r="BL37" s="59">
        <v>63</v>
      </c>
      <c r="BW37" s="59">
        <v>12</v>
      </c>
      <c r="BX37" s="16" t="s">
        <v>359</v>
      </c>
    </row>
    <row r="38" spans="1:76" x14ac:dyDescent="0.25">
      <c r="A38" s="62"/>
      <c r="D38" s="63" t="s">
        <v>362</v>
      </c>
      <c r="E38" s="63"/>
      <c r="G38" s="64">
        <v>1.115</v>
      </c>
      <c r="M38" s="65"/>
    </row>
    <row r="39" spans="1:76" ht="15" customHeight="1" x14ac:dyDescent="0.25">
      <c r="A39" s="58" t="s">
        <v>167</v>
      </c>
      <c r="B39" s="18" t="s">
        <v>349</v>
      </c>
      <c r="C39" s="18" t="s">
        <v>363</v>
      </c>
      <c r="D39" s="8" t="s">
        <v>364</v>
      </c>
      <c r="E39" s="8"/>
      <c r="F39" s="18" t="s">
        <v>114</v>
      </c>
      <c r="G39" s="59">
        <f>'Stavební rozpočet'!G139</f>
        <v>22.3</v>
      </c>
      <c r="H39" s="59">
        <f>'Stavební rozpočet'!H139</f>
        <v>0</v>
      </c>
      <c r="I39" s="59">
        <f>ROUND(G39*H39,2)</f>
        <v>0</v>
      </c>
      <c r="J39" s="59">
        <f>'Stavební rozpočet'!J139</f>
        <v>1.5959999999999998E-2</v>
      </c>
      <c r="K39" s="59">
        <f>'Stavební rozpočet'!K139</f>
        <v>1.5959999999999998E-2</v>
      </c>
      <c r="L39" s="59">
        <f>G39*K39</f>
        <v>0.355908</v>
      </c>
      <c r="M39" s="60" t="s">
        <v>115</v>
      </c>
      <c r="Z39" s="59">
        <f>ROUND(IF(AQ39="5",BJ39,0),2)</f>
        <v>0</v>
      </c>
      <c r="AB39" s="59">
        <f>ROUND(IF(AQ39="1",BH39,0),2)</f>
        <v>0</v>
      </c>
      <c r="AC39" s="59">
        <f>ROUND(IF(AQ39="1",BI39,0),2)</f>
        <v>0</v>
      </c>
      <c r="AD39" s="59">
        <f>ROUND(IF(AQ39="7",BH39,0),2)</f>
        <v>0</v>
      </c>
      <c r="AE39" s="59">
        <f>ROUND(IF(AQ39="7",BI39,0),2)</f>
        <v>0</v>
      </c>
      <c r="AF39" s="59">
        <f>ROUND(IF(AQ39="2",BH39,0),2)</f>
        <v>0</v>
      </c>
      <c r="AG39" s="59">
        <f>ROUND(IF(AQ39="2",BI39,0),2)</f>
        <v>0</v>
      </c>
      <c r="AH39" s="59">
        <f>ROUND(IF(AQ39="0",BJ39,0),2)</f>
        <v>0</v>
      </c>
      <c r="AI39" s="46" t="s">
        <v>349</v>
      </c>
      <c r="AJ39" s="59">
        <f>IF(AN39=0,I39,0)</f>
        <v>0</v>
      </c>
      <c r="AK39" s="59">
        <f>IF(AN39=12,I39,0)</f>
        <v>0</v>
      </c>
      <c r="AL39" s="59">
        <f>IF(AN39=21,I39,0)</f>
        <v>0</v>
      </c>
      <c r="AN39" s="59">
        <v>12</v>
      </c>
      <c r="AO39" s="59">
        <f>H39*0.665801611</f>
        <v>0</v>
      </c>
      <c r="AP39" s="59">
        <f>H39*(1-0.665801611)</f>
        <v>0</v>
      </c>
      <c r="AQ39" s="61" t="s">
        <v>111</v>
      </c>
      <c r="AV39" s="59">
        <f>ROUND(AW39+AX39,2)</f>
        <v>0</v>
      </c>
      <c r="AW39" s="59">
        <f>ROUND(G39*AO39,2)</f>
        <v>0</v>
      </c>
      <c r="AX39" s="59">
        <f>ROUND(G39*AP39,2)</f>
        <v>0</v>
      </c>
      <c r="AY39" s="61" t="s">
        <v>361</v>
      </c>
      <c r="AZ39" s="61" t="s">
        <v>351</v>
      </c>
      <c r="BA39" s="46" t="s">
        <v>352</v>
      </c>
      <c r="BC39" s="59">
        <f>AW39+AX39</f>
        <v>0</v>
      </c>
      <c r="BD39" s="59">
        <f>H39/(100-BE39)*100</f>
        <v>0</v>
      </c>
      <c r="BE39" s="59">
        <v>0</v>
      </c>
      <c r="BF39" s="59">
        <f>L39</f>
        <v>0.355908</v>
      </c>
      <c r="BH39" s="59">
        <f>G39*AO39</f>
        <v>0</v>
      </c>
      <c r="BI39" s="59">
        <f>G39*AP39</f>
        <v>0</v>
      </c>
      <c r="BJ39" s="59">
        <f>G39*H39</f>
        <v>0</v>
      </c>
      <c r="BK39" s="59"/>
      <c r="BL39" s="59">
        <v>63</v>
      </c>
      <c r="BW39" s="59">
        <v>12</v>
      </c>
      <c r="BX39" s="16" t="s">
        <v>364</v>
      </c>
    </row>
    <row r="40" spans="1:76" x14ac:dyDescent="0.25">
      <c r="A40" s="62"/>
      <c r="D40" s="63" t="s">
        <v>365</v>
      </c>
      <c r="E40" s="63"/>
      <c r="G40" s="64">
        <v>22.3</v>
      </c>
      <c r="M40" s="65"/>
    </row>
    <row r="41" spans="1:76" ht="15" customHeight="1" x14ac:dyDescent="0.25">
      <c r="A41" s="58" t="s">
        <v>172</v>
      </c>
      <c r="B41" s="18" t="s">
        <v>349</v>
      </c>
      <c r="C41" s="18" t="s">
        <v>366</v>
      </c>
      <c r="D41" s="8" t="s">
        <v>367</v>
      </c>
      <c r="E41" s="8"/>
      <c r="F41" s="18" t="s">
        <v>114</v>
      </c>
      <c r="G41" s="59">
        <f>'Stavební rozpočet'!G141</f>
        <v>5.61</v>
      </c>
      <c r="H41" s="59">
        <f>'Stavební rozpočet'!H141</f>
        <v>0</v>
      </c>
      <c r="I41" s="59">
        <f>ROUND(G41*H41,2)</f>
        <v>0</v>
      </c>
      <c r="J41" s="59">
        <f>'Stavební rozpočet'!J141</f>
        <v>1.4080000000000001E-2</v>
      </c>
      <c r="K41" s="59">
        <f>'Stavební rozpočet'!K141</f>
        <v>1.4080000000000001E-2</v>
      </c>
      <c r="L41" s="59">
        <f>G41*K41</f>
        <v>7.8988800000000012E-2</v>
      </c>
      <c r="M41" s="60" t="s">
        <v>115</v>
      </c>
      <c r="Z41" s="59">
        <f>ROUND(IF(AQ41="5",BJ41,0),2)</f>
        <v>0</v>
      </c>
      <c r="AB41" s="59">
        <f>ROUND(IF(AQ41="1",BH41,0),2)</f>
        <v>0</v>
      </c>
      <c r="AC41" s="59">
        <f>ROUND(IF(AQ41="1",BI41,0),2)</f>
        <v>0</v>
      </c>
      <c r="AD41" s="59">
        <f>ROUND(IF(AQ41="7",BH41,0),2)</f>
        <v>0</v>
      </c>
      <c r="AE41" s="59">
        <f>ROUND(IF(AQ41="7",BI41,0),2)</f>
        <v>0</v>
      </c>
      <c r="AF41" s="59">
        <f>ROUND(IF(AQ41="2",BH41,0),2)</f>
        <v>0</v>
      </c>
      <c r="AG41" s="59">
        <f>ROUND(IF(AQ41="2",BI41,0),2)</f>
        <v>0</v>
      </c>
      <c r="AH41" s="59">
        <f>ROUND(IF(AQ41="0",BJ41,0),2)</f>
        <v>0</v>
      </c>
      <c r="AI41" s="46" t="s">
        <v>349</v>
      </c>
      <c r="AJ41" s="59">
        <f>IF(AN41=0,I41,0)</f>
        <v>0</v>
      </c>
      <c r="AK41" s="59">
        <f>IF(AN41=12,I41,0)</f>
        <v>0</v>
      </c>
      <c r="AL41" s="59">
        <f>IF(AN41=21,I41,0)</f>
        <v>0</v>
      </c>
      <c r="AN41" s="59">
        <v>12</v>
      </c>
      <c r="AO41" s="59">
        <f>H41*0.434931647</f>
        <v>0</v>
      </c>
      <c r="AP41" s="59">
        <f>H41*(1-0.434931647)</f>
        <v>0</v>
      </c>
      <c r="AQ41" s="61" t="s">
        <v>111</v>
      </c>
      <c r="AV41" s="59">
        <f>ROUND(AW41+AX41,2)</f>
        <v>0</v>
      </c>
      <c r="AW41" s="59">
        <f>ROUND(G41*AO41,2)</f>
        <v>0</v>
      </c>
      <c r="AX41" s="59">
        <f>ROUND(G41*AP41,2)</f>
        <v>0</v>
      </c>
      <c r="AY41" s="61" t="s">
        <v>361</v>
      </c>
      <c r="AZ41" s="61" t="s">
        <v>351</v>
      </c>
      <c r="BA41" s="46" t="s">
        <v>352</v>
      </c>
      <c r="BC41" s="59">
        <f>AW41+AX41</f>
        <v>0</v>
      </c>
      <c r="BD41" s="59">
        <f>H41/(100-BE41)*100</f>
        <v>0</v>
      </c>
      <c r="BE41" s="59">
        <v>0</v>
      </c>
      <c r="BF41" s="59">
        <f>L41</f>
        <v>7.8988800000000012E-2</v>
      </c>
      <c r="BH41" s="59">
        <f>G41*AO41</f>
        <v>0</v>
      </c>
      <c r="BI41" s="59">
        <f>G41*AP41</f>
        <v>0</v>
      </c>
      <c r="BJ41" s="59">
        <f>G41*H41</f>
        <v>0</v>
      </c>
      <c r="BK41" s="59"/>
      <c r="BL41" s="59">
        <v>63</v>
      </c>
      <c r="BW41" s="59">
        <v>12</v>
      </c>
      <c r="BX41" s="16" t="s">
        <v>367</v>
      </c>
    </row>
    <row r="42" spans="1:76" x14ac:dyDescent="0.25">
      <c r="A42" s="62"/>
      <c r="D42" s="63" t="s">
        <v>368</v>
      </c>
      <c r="E42" s="63"/>
      <c r="G42" s="64">
        <v>5.61</v>
      </c>
      <c r="M42" s="65"/>
    </row>
    <row r="43" spans="1:76" ht="15" customHeight="1" x14ac:dyDescent="0.25">
      <c r="A43" s="58" t="s">
        <v>176</v>
      </c>
      <c r="B43" s="18" t="s">
        <v>349</v>
      </c>
      <c r="C43" s="18" t="s">
        <v>369</v>
      </c>
      <c r="D43" s="8" t="s">
        <v>370</v>
      </c>
      <c r="E43" s="8"/>
      <c r="F43" s="18" t="s">
        <v>114</v>
      </c>
      <c r="G43" s="59">
        <f>'Stavební rozpočet'!G143</f>
        <v>5.61</v>
      </c>
      <c r="H43" s="59">
        <f>'Stavební rozpočet'!H143</f>
        <v>0</v>
      </c>
      <c r="I43" s="59">
        <f>ROUND(G43*H43,2)</f>
        <v>0</v>
      </c>
      <c r="J43" s="59">
        <f>'Stavební rozpočet'!J143</f>
        <v>0</v>
      </c>
      <c r="K43" s="59">
        <f>'Stavební rozpočet'!K143</f>
        <v>0</v>
      </c>
      <c r="L43" s="59">
        <f>G43*K43</f>
        <v>0</v>
      </c>
      <c r="M43" s="60" t="s">
        <v>115</v>
      </c>
      <c r="Z43" s="59">
        <f>ROUND(IF(AQ43="5",BJ43,0),2)</f>
        <v>0</v>
      </c>
      <c r="AB43" s="59">
        <f>ROUND(IF(AQ43="1",BH43,0),2)</f>
        <v>0</v>
      </c>
      <c r="AC43" s="59">
        <f>ROUND(IF(AQ43="1",BI43,0),2)</f>
        <v>0</v>
      </c>
      <c r="AD43" s="59">
        <f>ROUND(IF(AQ43="7",BH43,0),2)</f>
        <v>0</v>
      </c>
      <c r="AE43" s="59">
        <f>ROUND(IF(AQ43="7",BI43,0),2)</f>
        <v>0</v>
      </c>
      <c r="AF43" s="59">
        <f>ROUND(IF(AQ43="2",BH43,0),2)</f>
        <v>0</v>
      </c>
      <c r="AG43" s="59">
        <f>ROUND(IF(AQ43="2",BI43,0),2)</f>
        <v>0</v>
      </c>
      <c r="AH43" s="59">
        <f>ROUND(IF(AQ43="0",BJ43,0),2)</f>
        <v>0</v>
      </c>
      <c r="AI43" s="46" t="s">
        <v>349</v>
      </c>
      <c r="AJ43" s="59">
        <f>IF(AN43=0,I43,0)</f>
        <v>0</v>
      </c>
      <c r="AK43" s="59">
        <f>IF(AN43=12,I43,0)</f>
        <v>0</v>
      </c>
      <c r="AL43" s="59">
        <f>IF(AN43=21,I43,0)</f>
        <v>0</v>
      </c>
      <c r="AN43" s="59">
        <v>12</v>
      </c>
      <c r="AO43" s="59">
        <f>H43*0</f>
        <v>0</v>
      </c>
      <c r="AP43" s="59">
        <f>H43*(1-0)</f>
        <v>0</v>
      </c>
      <c r="AQ43" s="61" t="s">
        <v>111</v>
      </c>
      <c r="AV43" s="59">
        <f>ROUND(AW43+AX43,2)</f>
        <v>0</v>
      </c>
      <c r="AW43" s="59">
        <f>ROUND(G43*AO43,2)</f>
        <v>0</v>
      </c>
      <c r="AX43" s="59">
        <f>ROUND(G43*AP43,2)</f>
        <v>0</v>
      </c>
      <c r="AY43" s="61" t="s">
        <v>361</v>
      </c>
      <c r="AZ43" s="61" t="s">
        <v>351</v>
      </c>
      <c r="BA43" s="46" t="s">
        <v>352</v>
      </c>
      <c r="BC43" s="59">
        <f>AW43+AX43</f>
        <v>0</v>
      </c>
      <c r="BD43" s="59">
        <f>H43/(100-BE43)*100</f>
        <v>0</v>
      </c>
      <c r="BE43" s="59">
        <v>0</v>
      </c>
      <c r="BF43" s="59">
        <f>L43</f>
        <v>0</v>
      </c>
      <c r="BH43" s="59">
        <f>G43*AO43</f>
        <v>0</v>
      </c>
      <c r="BI43" s="59">
        <f>G43*AP43</f>
        <v>0</v>
      </c>
      <c r="BJ43" s="59">
        <f>G43*H43</f>
        <v>0</v>
      </c>
      <c r="BK43" s="59"/>
      <c r="BL43" s="59">
        <v>63</v>
      </c>
      <c r="BW43" s="59">
        <v>12</v>
      </c>
      <c r="BX43" s="16" t="s">
        <v>370</v>
      </c>
    </row>
    <row r="44" spans="1:76" x14ac:dyDescent="0.25">
      <c r="A44" s="62"/>
      <c r="D44" s="63" t="s">
        <v>371</v>
      </c>
      <c r="E44" s="63"/>
      <c r="G44" s="64">
        <v>5.61</v>
      </c>
      <c r="M44" s="65"/>
    </row>
    <row r="45" spans="1:76" ht="15" customHeight="1" x14ac:dyDescent="0.25">
      <c r="A45" s="54"/>
      <c r="B45" s="55" t="s">
        <v>349</v>
      </c>
      <c r="C45" s="55" t="s">
        <v>157</v>
      </c>
      <c r="D45" s="104" t="s">
        <v>158</v>
      </c>
      <c r="E45" s="104"/>
      <c r="F45" s="56" t="s">
        <v>88</v>
      </c>
      <c r="G45" s="56" t="s">
        <v>88</v>
      </c>
      <c r="H45" s="56" t="s">
        <v>88</v>
      </c>
      <c r="I45" s="39">
        <f>SUM(I46)</f>
        <v>0</v>
      </c>
      <c r="J45" s="46"/>
      <c r="K45" s="46"/>
      <c r="L45" s="39">
        <f>SUM(L46)</f>
        <v>0.15338399999999999</v>
      </c>
      <c r="M45" s="57"/>
      <c r="AI45" s="46" t="s">
        <v>349</v>
      </c>
      <c r="AS45" s="39">
        <f>SUM(AJ46)</f>
        <v>0</v>
      </c>
      <c r="AT45" s="39">
        <f>SUM(AK46)</f>
        <v>0</v>
      </c>
      <c r="AU45" s="39">
        <f>SUM(AL46)</f>
        <v>0</v>
      </c>
    </row>
    <row r="46" spans="1:76" ht="15" customHeight="1" x14ac:dyDescent="0.25">
      <c r="A46" s="58" t="s">
        <v>183</v>
      </c>
      <c r="B46" s="18" t="s">
        <v>349</v>
      </c>
      <c r="C46" s="18" t="s">
        <v>160</v>
      </c>
      <c r="D46" s="8" t="s">
        <v>161</v>
      </c>
      <c r="E46" s="8"/>
      <c r="F46" s="18" t="s">
        <v>140</v>
      </c>
      <c r="G46" s="59">
        <f>'Stavební rozpočet'!G146</f>
        <v>24.9</v>
      </c>
      <c r="H46" s="59">
        <f>'Stavební rozpočet'!H146</f>
        <v>0</v>
      </c>
      <c r="I46" s="59">
        <f>ROUND(G46*H46,2)</f>
        <v>0</v>
      </c>
      <c r="J46" s="59">
        <f>'Stavební rozpočet'!J146</f>
        <v>6.1599999999999997E-3</v>
      </c>
      <c r="K46" s="59">
        <f>'Stavební rozpočet'!K146</f>
        <v>6.1599999999999997E-3</v>
      </c>
      <c r="L46" s="59">
        <f>G46*K46</f>
        <v>0.15338399999999999</v>
      </c>
      <c r="M46" s="60" t="s">
        <v>115</v>
      </c>
      <c r="Z46" s="59">
        <f>ROUND(IF(AQ46="5",BJ46,0),2)</f>
        <v>0</v>
      </c>
      <c r="AB46" s="59">
        <f>ROUND(IF(AQ46="1",BH46,0),2)</f>
        <v>0</v>
      </c>
      <c r="AC46" s="59">
        <f>ROUND(IF(AQ46="1",BI46,0),2)</f>
        <v>0</v>
      </c>
      <c r="AD46" s="59">
        <f>ROUND(IF(AQ46="7",BH46,0),2)</f>
        <v>0</v>
      </c>
      <c r="AE46" s="59">
        <f>ROUND(IF(AQ46="7",BI46,0),2)</f>
        <v>0</v>
      </c>
      <c r="AF46" s="59">
        <f>ROUND(IF(AQ46="2",BH46,0),2)</f>
        <v>0</v>
      </c>
      <c r="AG46" s="59">
        <f>ROUND(IF(AQ46="2",BI46,0),2)</f>
        <v>0</v>
      </c>
      <c r="AH46" s="59">
        <f>ROUND(IF(AQ46="0",BJ46,0),2)</f>
        <v>0</v>
      </c>
      <c r="AI46" s="46" t="s">
        <v>349</v>
      </c>
      <c r="AJ46" s="59">
        <f>IF(AN46=0,I46,0)</f>
        <v>0</v>
      </c>
      <c r="AK46" s="59">
        <f>IF(AN46=12,I46,0)</f>
        <v>0</v>
      </c>
      <c r="AL46" s="59">
        <f>IF(AN46=21,I46,0)</f>
        <v>0</v>
      </c>
      <c r="AN46" s="59">
        <v>12</v>
      </c>
      <c r="AO46" s="59">
        <f>H46*0.526177858</f>
        <v>0</v>
      </c>
      <c r="AP46" s="59">
        <f>H46*(1-0.526177858)</f>
        <v>0</v>
      </c>
      <c r="AQ46" s="61" t="s">
        <v>111</v>
      </c>
      <c r="AV46" s="59">
        <f>ROUND(AW46+AX46,2)</f>
        <v>0</v>
      </c>
      <c r="AW46" s="59">
        <f>ROUND(G46*AO46,2)</f>
        <v>0</v>
      </c>
      <c r="AX46" s="59">
        <f>ROUND(G46*AP46,2)</f>
        <v>0</v>
      </c>
      <c r="AY46" s="61" t="s">
        <v>162</v>
      </c>
      <c r="AZ46" s="61" t="s">
        <v>351</v>
      </c>
      <c r="BA46" s="46" t="s">
        <v>352</v>
      </c>
      <c r="BC46" s="59">
        <f>AW46+AX46</f>
        <v>0</v>
      </c>
      <c r="BD46" s="59">
        <f>H46/(100-BE46)*100</f>
        <v>0</v>
      </c>
      <c r="BE46" s="59">
        <v>0</v>
      </c>
      <c r="BF46" s="59">
        <f>L46</f>
        <v>0.15338399999999999</v>
      </c>
      <c r="BH46" s="59">
        <f>G46*AO46</f>
        <v>0</v>
      </c>
      <c r="BI46" s="59">
        <f>G46*AP46</f>
        <v>0</v>
      </c>
      <c r="BJ46" s="59">
        <f>G46*H46</f>
        <v>0</v>
      </c>
      <c r="BK46" s="59"/>
      <c r="BL46" s="59">
        <v>64</v>
      </c>
      <c r="BW46" s="59">
        <v>12</v>
      </c>
      <c r="BX46" s="16" t="s">
        <v>161</v>
      </c>
    </row>
    <row r="47" spans="1:76" ht="13.5" customHeight="1" x14ac:dyDescent="0.25">
      <c r="A47" s="62"/>
      <c r="D47" s="105" t="s">
        <v>163</v>
      </c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76" x14ac:dyDescent="0.25">
      <c r="A48" s="62"/>
      <c r="D48" s="63" t="s">
        <v>372</v>
      </c>
      <c r="E48" s="63"/>
      <c r="G48" s="64">
        <v>24.9</v>
      </c>
      <c r="M48" s="65"/>
    </row>
    <row r="49" spans="1:76" ht="15" customHeight="1" x14ac:dyDescent="0.25">
      <c r="A49" s="54"/>
      <c r="B49" s="55" t="s">
        <v>349</v>
      </c>
      <c r="C49" s="55" t="s">
        <v>373</v>
      </c>
      <c r="D49" s="104" t="s">
        <v>374</v>
      </c>
      <c r="E49" s="104"/>
      <c r="F49" s="56" t="s">
        <v>88</v>
      </c>
      <c r="G49" s="56" t="s">
        <v>88</v>
      </c>
      <c r="H49" s="56" t="s">
        <v>88</v>
      </c>
      <c r="I49" s="39">
        <f>SUM(I50:I54)</f>
        <v>0</v>
      </c>
      <c r="J49" s="46"/>
      <c r="K49" s="46"/>
      <c r="L49" s="39">
        <f>SUM(L50:L54)</f>
        <v>0.31602040000000003</v>
      </c>
      <c r="M49" s="57"/>
      <c r="AI49" s="46" t="s">
        <v>349</v>
      </c>
      <c r="AS49" s="39">
        <f>SUM(AJ50:AJ54)</f>
        <v>0</v>
      </c>
      <c r="AT49" s="39">
        <f>SUM(AK50:AK54)</f>
        <v>0</v>
      </c>
      <c r="AU49" s="39">
        <f>SUM(AL50:AL54)</f>
        <v>0</v>
      </c>
    </row>
    <row r="50" spans="1:76" ht="15" customHeight="1" x14ac:dyDescent="0.25">
      <c r="A50" s="58" t="s">
        <v>190</v>
      </c>
      <c r="B50" s="18" t="s">
        <v>349</v>
      </c>
      <c r="C50" s="18" t="s">
        <v>375</v>
      </c>
      <c r="D50" s="8" t="s">
        <v>376</v>
      </c>
      <c r="E50" s="8"/>
      <c r="F50" s="18" t="s">
        <v>114</v>
      </c>
      <c r="G50" s="59">
        <f>'Stavební rozpočet'!G149</f>
        <v>22.3</v>
      </c>
      <c r="H50" s="59">
        <f>'Stavební rozpočet'!H149</f>
        <v>0</v>
      </c>
      <c r="I50" s="59">
        <f>ROUND(G50*H50,2)</f>
        <v>0</v>
      </c>
      <c r="J50" s="59">
        <f>'Stavební rozpočet'!J149</f>
        <v>0</v>
      </c>
      <c r="K50" s="59">
        <f>'Stavební rozpočet'!K149</f>
        <v>9.7400000000000004E-3</v>
      </c>
      <c r="L50" s="59">
        <f>G50*K50</f>
        <v>0.21720200000000001</v>
      </c>
      <c r="M50" s="60" t="s">
        <v>115</v>
      </c>
      <c r="Z50" s="59">
        <f>ROUND(IF(AQ50="5",BJ50,0),2)</f>
        <v>0</v>
      </c>
      <c r="AB50" s="59">
        <f>ROUND(IF(AQ50="1",BH50,0),2)</f>
        <v>0</v>
      </c>
      <c r="AC50" s="59">
        <f>ROUND(IF(AQ50="1",BI50,0),2)</f>
        <v>0</v>
      </c>
      <c r="AD50" s="59">
        <f>ROUND(IF(AQ50="7",BH50,0),2)</f>
        <v>0</v>
      </c>
      <c r="AE50" s="59">
        <f>ROUND(IF(AQ50="7",BI50,0),2)</f>
        <v>0</v>
      </c>
      <c r="AF50" s="59">
        <f>ROUND(IF(AQ50="2",BH50,0),2)</f>
        <v>0</v>
      </c>
      <c r="AG50" s="59">
        <f>ROUND(IF(AQ50="2",BI50,0),2)</f>
        <v>0</v>
      </c>
      <c r="AH50" s="59">
        <f>ROUND(IF(AQ50="0",BJ50,0),2)</f>
        <v>0</v>
      </c>
      <c r="AI50" s="46" t="s">
        <v>349</v>
      </c>
      <c r="AJ50" s="59">
        <f>IF(AN50=0,I50,0)</f>
        <v>0</v>
      </c>
      <c r="AK50" s="59">
        <f>IF(AN50=12,I50,0)</f>
        <v>0</v>
      </c>
      <c r="AL50" s="59">
        <f>IF(AN50=21,I50,0)</f>
        <v>0</v>
      </c>
      <c r="AN50" s="59">
        <v>12</v>
      </c>
      <c r="AO50" s="59">
        <f>H50*0</f>
        <v>0</v>
      </c>
      <c r="AP50" s="59">
        <f>H50*(1-0)</f>
        <v>0</v>
      </c>
      <c r="AQ50" s="61" t="s">
        <v>150</v>
      </c>
      <c r="AV50" s="59">
        <f>ROUND(AW50+AX50,2)</f>
        <v>0</v>
      </c>
      <c r="AW50" s="59">
        <f>ROUND(G50*AO50,2)</f>
        <v>0</v>
      </c>
      <c r="AX50" s="59">
        <f>ROUND(G50*AP50,2)</f>
        <v>0</v>
      </c>
      <c r="AY50" s="61" t="s">
        <v>377</v>
      </c>
      <c r="AZ50" s="61" t="s">
        <v>378</v>
      </c>
      <c r="BA50" s="46" t="s">
        <v>352</v>
      </c>
      <c r="BC50" s="59">
        <f>AW50+AX50</f>
        <v>0</v>
      </c>
      <c r="BD50" s="59">
        <f>H50/(100-BE50)*100</f>
        <v>0</v>
      </c>
      <c r="BE50" s="59">
        <v>0</v>
      </c>
      <c r="BF50" s="59">
        <f>L50</f>
        <v>0.21720200000000001</v>
      </c>
      <c r="BH50" s="59">
        <f>G50*AO50</f>
        <v>0</v>
      </c>
      <c r="BI50" s="59">
        <f>G50*AP50</f>
        <v>0</v>
      </c>
      <c r="BJ50" s="59">
        <f>G50*H50</f>
        <v>0</v>
      </c>
      <c r="BK50" s="59"/>
      <c r="BL50" s="59">
        <v>711</v>
      </c>
      <c r="BW50" s="59">
        <v>12</v>
      </c>
      <c r="BX50" s="16" t="s">
        <v>376</v>
      </c>
    </row>
    <row r="51" spans="1:76" x14ac:dyDescent="0.25">
      <c r="A51" s="62"/>
      <c r="D51" s="63" t="s">
        <v>379</v>
      </c>
      <c r="E51" s="63"/>
      <c r="G51" s="64">
        <v>22.3</v>
      </c>
      <c r="M51" s="65"/>
    </row>
    <row r="52" spans="1:76" ht="15" customHeight="1" x14ac:dyDescent="0.25">
      <c r="A52" s="58" t="s">
        <v>201</v>
      </c>
      <c r="B52" s="18" t="s">
        <v>349</v>
      </c>
      <c r="C52" s="18" t="s">
        <v>380</v>
      </c>
      <c r="D52" s="8" t="s">
        <v>381</v>
      </c>
      <c r="E52" s="8"/>
      <c r="F52" s="18" t="s">
        <v>114</v>
      </c>
      <c r="G52" s="59">
        <f>'Stavební rozpočet'!G151</f>
        <v>24.37</v>
      </c>
      <c r="H52" s="59">
        <f>'Stavební rozpočet'!H151</f>
        <v>0</v>
      </c>
      <c r="I52" s="59">
        <f>ROUND(G52*H52,2)</f>
        <v>0</v>
      </c>
      <c r="J52" s="59">
        <f>'Stavební rozpočet'!J151</f>
        <v>3.47E-3</v>
      </c>
      <c r="K52" s="59">
        <f>'Stavební rozpočet'!K151</f>
        <v>3.47E-3</v>
      </c>
      <c r="L52" s="59">
        <f>G52*K52</f>
        <v>8.4563899999999997E-2</v>
      </c>
      <c r="M52" s="60" t="s">
        <v>115</v>
      </c>
      <c r="Z52" s="59">
        <f>ROUND(IF(AQ52="5",BJ52,0),2)</f>
        <v>0</v>
      </c>
      <c r="AB52" s="59">
        <f>ROUND(IF(AQ52="1",BH52,0),2)</f>
        <v>0</v>
      </c>
      <c r="AC52" s="59">
        <f>ROUND(IF(AQ52="1",BI52,0),2)</f>
        <v>0</v>
      </c>
      <c r="AD52" s="59">
        <f>ROUND(IF(AQ52="7",BH52,0),2)</f>
        <v>0</v>
      </c>
      <c r="AE52" s="59">
        <f>ROUND(IF(AQ52="7",BI52,0),2)</f>
        <v>0</v>
      </c>
      <c r="AF52" s="59">
        <f>ROUND(IF(AQ52="2",BH52,0),2)</f>
        <v>0</v>
      </c>
      <c r="AG52" s="59">
        <f>ROUND(IF(AQ52="2",BI52,0),2)</f>
        <v>0</v>
      </c>
      <c r="AH52" s="59">
        <f>ROUND(IF(AQ52="0",BJ52,0),2)</f>
        <v>0</v>
      </c>
      <c r="AI52" s="46" t="s">
        <v>349</v>
      </c>
      <c r="AJ52" s="59">
        <f>IF(AN52=0,I52,0)</f>
        <v>0</v>
      </c>
      <c r="AK52" s="59">
        <f>IF(AN52=12,I52,0)</f>
        <v>0</v>
      </c>
      <c r="AL52" s="59">
        <f>IF(AN52=21,I52,0)</f>
        <v>0</v>
      </c>
      <c r="AN52" s="59">
        <v>12</v>
      </c>
      <c r="AO52" s="59">
        <f>H52*0.729088049</f>
        <v>0</v>
      </c>
      <c r="AP52" s="59">
        <f>H52*(1-0.729088049)</f>
        <v>0</v>
      </c>
      <c r="AQ52" s="61" t="s">
        <v>150</v>
      </c>
      <c r="AV52" s="59">
        <f>ROUND(AW52+AX52,2)</f>
        <v>0</v>
      </c>
      <c r="AW52" s="59">
        <f>ROUND(G52*AO52,2)</f>
        <v>0</v>
      </c>
      <c r="AX52" s="59">
        <f>ROUND(G52*AP52,2)</f>
        <v>0</v>
      </c>
      <c r="AY52" s="61" t="s">
        <v>377</v>
      </c>
      <c r="AZ52" s="61" t="s">
        <v>378</v>
      </c>
      <c r="BA52" s="46" t="s">
        <v>352</v>
      </c>
      <c r="BC52" s="59">
        <f>AW52+AX52</f>
        <v>0</v>
      </c>
      <c r="BD52" s="59">
        <f>H52/(100-BE52)*100</f>
        <v>0</v>
      </c>
      <c r="BE52" s="59">
        <v>0</v>
      </c>
      <c r="BF52" s="59">
        <f>L52</f>
        <v>8.4563899999999997E-2</v>
      </c>
      <c r="BH52" s="59">
        <f>G52*AO52</f>
        <v>0</v>
      </c>
      <c r="BI52" s="59">
        <f>G52*AP52</f>
        <v>0</v>
      </c>
      <c r="BJ52" s="59">
        <f>G52*H52</f>
        <v>0</v>
      </c>
      <c r="BK52" s="59"/>
      <c r="BL52" s="59">
        <v>711</v>
      </c>
      <c r="BW52" s="59">
        <v>12</v>
      </c>
      <c r="BX52" s="16" t="s">
        <v>381</v>
      </c>
    </row>
    <row r="53" spans="1:76" x14ac:dyDescent="0.25">
      <c r="A53" s="62"/>
      <c r="D53" s="63" t="s">
        <v>382</v>
      </c>
      <c r="E53" s="63"/>
      <c r="G53" s="64">
        <v>24.37</v>
      </c>
      <c r="M53" s="65"/>
    </row>
    <row r="54" spans="1:76" ht="15" customHeight="1" x14ac:dyDescent="0.25">
      <c r="A54" s="58" t="s">
        <v>205</v>
      </c>
      <c r="B54" s="18" t="s">
        <v>349</v>
      </c>
      <c r="C54" s="18" t="s">
        <v>383</v>
      </c>
      <c r="D54" s="8" t="s">
        <v>384</v>
      </c>
      <c r="E54" s="8"/>
      <c r="F54" s="18" t="s">
        <v>140</v>
      </c>
      <c r="G54" s="59">
        <f>'Stavební rozpočet'!G153</f>
        <v>33.15</v>
      </c>
      <c r="H54" s="59">
        <f>'Stavební rozpočet'!H153</f>
        <v>0</v>
      </c>
      <c r="I54" s="59">
        <f>ROUND(G54*H54,2)</f>
        <v>0</v>
      </c>
      <c r="J54" s="59">
        <f>'Stavební rozpočet'!J153</f>
        <v>4.2999999999999999E-4</v>
      </c>
      <c r="K54" s="59">
        <f>'Stavební rozpočet'!K153</f>
        <v>4.2999999999999999E-4</v>
      </c>
      <c r="L54" s="59">
        <f>G54*K54</f>
        <v>1.42545E-2</v>
      </c>
      <c r="M54" s="60" t="s">
        <v>115</v>
      </c>
      <c r="Z54" s="59">
        <f>ROUND(IF(AQ54="5",BJ54,0),2)</f>
        <v>0</v>
      </c>
      <c r="AB54" s="59">
        <f>ROUND(IF(AQ54="1",BH54,0),2)</f>
        <v>0</v>
      </c>
      <c r="AC54" s="59">
        <f>ROUND(IF(AQ54="1",BI54,0),2)</f>
        <v>0</v>
      </c>
      <c r="AD54" s="59">
        <f>ROUND(IF(AQ54="7",BH54,0),2)</f>
        <v>0</v>
      </c>
      <c r="AE54" s="59">
        <f>ROUND(IF(AQ54="7",BI54,0),2)</f>
        <v>0</v>
      </c>
      <c r="AF54" s="59">
        <f>ROUND(IF(AQ54="2",BH54,0),2)</f>
        <v>0</v>
      </c>
      <c r="AG54" s="59">
        <f>ROUND(IF(AQ54="2",BI54,0),2)</f>
        <v>0</v>
      </c>
      <c r="AH54" s="59">
        <f>ROUND(IF(AQ54="0",BJ54,0),2)</f>
        <v>0</v>
      </c>
      <c r="AI54" s="46" t="s">
        <v>349</v>
      </c>
      <c r="AJ54" s="59">
        <f>IF(AN54=0,I54,0)</f>
        <v>0</v>
      </c>
      <c r="AK54" s="59">
        <f>IF(AN54=12,I54,0)</f>
        <v>0</v>
      </c>
      <c r="AL54" s="59">
        <f>IF(AN54=21,I54,0)</f>
        <v>0</v>
      </c>
      <c r="AN54" s="59">
        <v>12</v>
      </c>
      <c r="AO54" s="59">
        <f>H54*0.767483743</f>
        <v>0</v>
      </c>
      <c r="AP54" s="59">
        <f>H54*(1-0.767483743)</f>
        <v>0</v>
      </c>
      <c r="AQ54" s="61" t="s">
        <v>150</v>
      </c>
      <c r="AV54" s="59">
        <f>ROUND(AW54+AX54,2)</f>
        <v>0</v>
      </c>
      <c r="AW54" s="59">
        <f>ROUND(G54*AO54,2)</f>
        <v>0</v>
      </c>
      <c r="AX54" s="59">
        <f>ROUND(G54*AP54,2)</f>
        <v>0</v>
      </c>
      <c r="AY54" s="61" t="s">
        <v>377</v>
      </c>
      <c r="AZ54" s="61" t="s">
        <v>378</v>
      </c>
      <c r="BA54" s="46" t="s">
        <v>352</v>
      </c>
      <c r="BC54" s="59">
        <f>AW54+AX54</f>
        <v>0</v>
      </c>
      <c r="BD54" s="59">
        <f>H54/(100-BE54)*100</f>
        <v>0</v>
      </c>
      <c r="BE54" s="59">
        <v>0</v>
      </c>
      <c r="BF54" s="59">
        <f>L54</f>
        <v>1.42545E-2</v>
      </c>
      <c r="BH54" s="59">
        <f>G54*AO54</f>
        <v>0</v>
      </c>
      <c r="BI54" s="59">
        <f>G54*AP54</f>
        <v>0</v>
      </c>
      <c r="BJ54" s="59">
        <f>G54*H54</f>
        <v>0</v>
      </c>
      <c r="BK54" s="59"/>
      <c r="BL54" s="59">
        <v>711</v>
      </c>
      <c r="BW54" s="59">
        <v>12</v>
      </c>
      <c r="BX54" s="16" t="s">
        <v>384</v>
      </c>
    </row>
    <row r="55" spans="1:76" x14ac:dyDescent="0.25">
      <c r="A55" s="62"/>
      <c r="D55" s="63" t="s">
        <v>385</v>
      </c>
      <c r="E55" s="63"/>
      <c r="G55" s="64">
        <v>33.15</v>
      </c>
      <c r="M55" s="65"/>
    </row>
    <row r="56" spans="1:76" ht="15" customHeight="1" x14ac:dyDescent="0.25">
      <c r="A56" s="54"/>
      <c r="B56" s="55" t="s">
        <v>349</v>
      </c>
      <c r="C56" s="55" t="s">
        <v>165</v>
      </c>
      <c r="D56" s="104" t="s">
        <v>166</v>
      </c>
      <c r="E56" s="104"/>
      <c r="F56" s="56" t="s">
        <v>88</v>
      </c>
      <c r="G56" s="56" t="s">
        <v>88</v>
      </c>
      <c r="H56" s="56" t="s">
        <v>88</v>
      </c>
      <c r="I56" s="39">
        <f>SUM(I57:I65)</f>
        <v>0</v>
      </c>
      <c r="J56" s="46"/>
      <c r="K56" s="46"/>
      <c r="L56" s="39">
        <f>SUM(L57:L65)</f>
        <v>9.1239999999999988E-2</v>
      </c>
      <c r="M56" s="57"/>
      <c r="AI56" s="46" t="s">
        <v>349</v>
      </c>
      <c r="AS56" s="39">
        <f>SUM(AJ57:AJ65)</f>
        <v>0</v>
      </c>
      <c r="AT56" s="39">
        <f>SUM(AK57:AK65)</f>
        <v>0</v>
      </c>
      <c r="AU56" s="39">
        <f>SUM(AL57:AL65)</f>
        <v>0</v>
      </c>
    </row>
    <row r="57" spans="1:76" ht="15" customHeight="1" x14ac:dyDescent="0.25">
      <c r="A57" s="58" t="s">
        <v>210</v>
      </c>
      <c r="B57" s="18" t="s">
        <v>349</v>
      </c>
      <c r="C57" s="18" t="s">
        <v>168</v>
      </c>
      <c r="D57" s="8" t="s">
        <v>169</v>
      </c>
      <c r="E57" s="8"/>
      <c r="F57" s="18" t="s">
        <v>140</v>
      </c>
      <c r="G57" s="59">
        <f>'Stavební rozpočet'!G156</f>
        <v>6</v>
      </c>
      <c r="H57" s="59">
        <f>'Stavební rozpočet'!H156</f>
        <v>0</v>
      </c>
      <c r="I57" s="59">
        <f>ROUND(G57*H57,2)</f>
        <v>0</v>
      </c>
      <c r="J57" s="59">
        <f>'Stavební rozpočet'!J156</f>
        <v>0</v>
      </c>
      <c r="K57" s="59">
        <f>'Stavební rozpočet'!K156</f>
        <v>1.3500000000000001E-3</v>
      </c>
      <c r="L57" s="59">
        <f>G57*K57</f>
        <v>8.0999999999999996E-3</v>
      </c>
      <c r="M57" s="60" t="s">
        <v>115</v>
      </c>
      <c r="Z57" s="59">
        <f>ROUND(IF(AQ57="5",BJ57,0),2)</f>
        <v>0</v>
      </c>
      <c r="AB57" s="59">
        <f>ROUND(IF(AQ57="1",BH57,0),2)</f>
        <v>0</v>
      </c>
      <c r="AC57" s="59">
        <f>ROUND(IF(AQ57="1",BI57,0),2)</f>
        <v>0</v>
      </c>
      <c r="AD57" s="59">
        <f>ROUND(IF(AQ57="7",BH57,0),2)</f>
        <v>0</v>
      </c>
      <c r="AE57" s="59">
        <f>ROUND(IF(AQ57="7",BI57,0),2)</f>
        <v>0</v>
      </c>
      <c r="AF57" s="59">
        <f>ROUND(IF(AQ57="2",BH57,0),2)</f>
        <v>0</v>
      </c>
      <c r="AG57" s="59">
        <f>ROUND(IF(AQ57="2",BI57,0),2)</f>
        <v>0</v>
      </c>
      <c r="AH57" s="59">
        <f>ROUND(IF(AQ57="0",BJ57,0),2)</f>
        <v>0</v>
      </c>
      <c r="AI57" s="46" t="s">
        <v>349</v>
      </c>
      <c r="AJ57" s="59">
        <f>IF(AN57=0,I57,0)</f>
        <v>0</v>
      </c>
      <c r="AK57" s="59">
        <f>IF(AN57=12,I57,0)</f>
        <v>0</v>
      </c>
      <c r="AL57" s="59">
        <f>IF(AN57=21,I57,0)</f>
        <v>0</v>
      </c>
      <c r="AN57" s="59">
        <v>12</v>
      </c>
      <c r="AO57" s="59">
        <f>H57*0</f>
        <v>0</v>
      </c>
      <c r="AP57" s="59">
        <f>H57*(1-0)</f>
        <v>0</v>
      </c>
      <c r="AQ57" s="61" t="s">
        <v>150</v>
      </c>
      <c r="AV57" s="59">
        <f>ROUND(AW57+AX57,2)</f>
        <v>0</v>
      </c>
      <c r="AW57" s="59">
        <f>ROUND(G57*AO57,2)</f>
        <v>0</v>
      </c>
      <c r="AX57" s="59">
        <f>ROUND(G57*AP57,2)</f>
        <v>0</v>
      </c>
      <c r="AY57" s="61" t="s">
        <v>170</v>
      </c>
      <c r="AZ57" s="61" t="s">
        <v>386</v>
      </c>
      <c r="BA57" s="46" t="s">
        <v>352</v>
      </c>
      <c r="BC57" s="59">
        <f>AW57+AX57</f>
        <v>0</v>
      </c>
      <c r="BD57" s="59">
        <f>H57/(100-BE57)*100</f>
        <v>0</v>
      </c>
      <c r="BE57" s="59">
        <v>0</v>
      </c>
      <c r="BF57" s="59">
        <f>L57</f>
        <v>8.0999999999999996E-3</v>
      </c>
      <c r="BH57" s="59">
        <f>G57*AO57</f>
        <v>0</v>
      </c>
      <c r="BI57" s="59">
        <f>G57*AP57</f>
        <v>0</v>
      </c>
      <c r="BJ57" s="59">
        <f>G57*H57</f>
        <v>0</v>
      </c>
      <c r="BK57" s="59"/>
      <c r="BL57" s="59">
        <v>764</v>
      </c>
      <c r="BW57" s="59">
        <v>12</v>
      </c>
      <c r="BX57" s="16" t="s">
        <v>169</v>
      </c>
    </row>
    <row r="58" spans="1:76" x14ac:dyDescent="0.25">
      <c r="A58" s="62"/>
      <c r="D58" s="63" t="s">
        <v>145</v>
      </c>
      <c r="E58" s="63"/>
      <c r="G58" s="64">
        <v>6</v>
      </c>
      <c r="M58" s="65"/>
    </row>
    <row r="59" spans="1:76" ht="15" customHeight="1" x14ac:dyDescent="0.25">
      <c r="A59" s="58" t="s">
        <v>215</v>
      </c>
      <c r="B59" s="18" t="s">
        <v>349</v>
      </c>
      <c r="C59" s="18" t="s">
        <v>173</v>
      </c>
      <c r="D59" s="8" t="s">
        <v>174</v>
      </c>
      <c r="E59" s="8"/>
      <c r="F59" s="18" t="s">
        <v>140</v>
      </c>
      <c r="G59" s="59">
        <f>'Stavební rozpočet'!G158</f>
        <v>6</v>
      </c>
      <c r="H59" s="59">
        <f>'Stavební rozpočet'!H158</f>
        <v>0</v>
      </c>
      <c r="I59" s="59">
        <f>ROUND(G59*H59,2)</f>
        <v>0</v>
      </c>
      <c r="J59" s="59">
        <f>'Stavební rozpočet'!J158</f>
        <v>3.9500000000000004E-3</v>
      </c>
      <c r="K59" s="59">
        <f>'Stavební rozpočet'!K158</f>
        <v>3.9500000000000004E-3</v>
      </c>
      <c r="L59" s="59">
        <f>G59*K59</f>
        <v>2.3700000000000002E-2</v>
      </c>
      <c r="M59" s="60" t="s">
        <v>115</v>
      </c>
      <c r="Z59" s="59">
        <f>ROUND(IF(AQ59="5",BJ59,0),2)</f>
        <v>0</v>
      </c>
      <c r="AB59" s="59">
        <f>ROUND(IF(AQ59="1",BH59,0),2)</f>
        <v>0</v>
      </c>
      <c r="AC59" s="59">
        <f>ROUND(IF(AQ59="1",BI59,0),2)</f>
        <v>0</v>
      </c>
      <c r="AD59" s="59">
        <f>ROUND(IF(AQ59="7",BH59,0),2)</f>
        <v>0</v>
      </c>
      <c r="AE59" s="59">
        <f>ROUND(IF(AQ59="7",BI59,0),2)</f>
        <v>0</v>
      </c>
      <c r="AF59" s="59">
        <f>ROUND(IF(AQ59="2",BH59,0),2)</f>
        <v>0</v>
      </c>
      <c r="AG59" s="59">
        <f>ROUND(IF(AQ59="2",BI59,0),2)</f>
        <v>0</v>
      </c>
      <c r="AH59" s="59">
        <f>ROUND(IF(AQ59="0",BJ59,0),2)</f>
        <v>0</v>
      </c>
      <c r="AI59" s="46" t="s">
        <v>349</v>
      </c>
      <c r="AJ59" s="59">
        <f>IF(AN59=0,I59,0)</f>
        <v>0</v>
      </c>
      <c r="AK59" s="59">
        <f>IF(AN59=12,I59,0)</f>
        <v>0</v>
      </c>
      <c r="AL59" s="59">
        <f>IF(AN59=21,I59,0)</f>
        <v>0</v>
      </c>
      <c r="AN59" s="59">
        <v>12</v>
      </c>
      <c r="AO59" s="59">
        <f>H59*0.565634409</f>
        <v>0</v>
      </c>
      <c r="AP59" s="59">
        <f>H59*(1-0.565634409)</f>
        <v>0</v>
      </c>
      <c r="AQ59" s="61" t="s">
        <v>150</v>
      </c>
      <c r="AV59" s="59">
        <f>ROUND(AW59+AX59,2)</f>
        <v>0</v>
      </c>
      <c r="AW59" s="59">
        <f>ROUND(G59*AO59,2)</f>
        <v>0</v>
      </c>
      <c r="AX59" s="59">
        <f>ROUND(G59*AP59,2)</f>
        <v>0</v>
      </c>
      <c r="AY59" s="61" t="s">
        <v>170</v>
      </c>
      <c r="AZ59" s="61" t="s">
        <v>386</v>
      </c>
      <c r="BA59" s="46" t="s">
        <v>352</v>
      </c>
      <c r="BC59" s="59">
        <f>AW59+AX59</f>
        <v>0</v>
      </c>
      <c r="BD59" s="59">
        <f>H59/(100-BE59)*100</f>
        <v>0</v>
      </c>
      <c r="BE59" s="59">
        <v>0</v>
      </c>
      <c r="BF59" s="59">
        <f>L59</f>
        <v>2.3700000000000002E-2</v>
      </c>
      <c r="BH59" s="59">
        <f>G59*AO59</f>
        <v>0</v>
      </c>
      <c r="BI59" s="59">
        <f>G59*AP59</f>
        <v>0</v>
      </c>
      <c r="BJ59" s="59">
        <f>G59*H59</f>
        <v>0</v>
      </c>
      <c r="BK59" s="59"/>
      <c r="BL59" s="59">
        <v>764</v>
      </c>
      <c r="BW59" s="59">
        <v>12</v>
      </c>
      <c r="BX59" s="16" t="s">
        <v>174</v>
      </c>
    </row>
    <row r="60" spans="1:76" ht="13.5" customHeight="1" x14ac:dyDescent="0.25">
      <c r="A60" s="62"/>
      <c r="D60" s="105" t="s">
        <v>175</v>
      </c>
      <c r="E60" s="105"/>
      <c r="F60" s="105"/>
      <c r="G60" s="105"/>
      <c r="H60" s="105"/>
      <c r="I60" s="105"/>
      <c r="J60" s="105"/>
      <c r="K60" s="105"/>
      <c r="L60" s="105"/>
      <c r="M60" s="105"/>
    </row>
    <row r="61" spans="1:76" x14ac:dyDescent="0.25">
      <c r="A61" s="62"/>
      <c r="D61" s="63" t="s">
        <v>145</v>
      </c>
      <c r="E61" s="63"/>
      <c r="G61" s="64">
        <v>6</v>
      </c>
      <c r="M61" s="65"/>
    </row>
    <row r="62" spans="1:76" ht="15" customHeight="1" x14ac:dyDescent="0.25">
      <c r="A62" s="58" t="s">
        <v>221</v>
      </c>
      <c r="B62" s="18" t="s">
        <v>349</v>
      </c>
      <c r="C62" s="18" t="s">
        <v>177</v>
      </c>
      <c r="D62" s="8" t="s">
        <v>178</v>
      </c>
      <c r="E62" s="8"/>
      <c r="F62" s="18" t="s">
        <v>140</v>
      </c>
      <c r="G62" s="59">
        <f>'Stavební rozpočet'!G160</f>
        <v>24.9</v>
      </c>
      <c r="H62" s="59">
        <f>'Stavební rozpočet'!H160</f>
        <v>0</v>
      </c>
      <c r="I62" s="59">
        <f>ROUND(G62*H62,2)</f>
        <v>0</v>
      </c>
      <c r="J62" s="59">
        <f>'Stavební rozpočet'!J160</f>
        <v>1.4599999999999999E-3</v>
      </c>
      <c r="K62" s="59">
        <f>'Stavební rozpočet'!K160</f>
        <v>1.4599999999999999E-3</v>
      </c>
      <c r="L62" s="59">
        <f>G62*K62</f>
        <v>3.6353999999999997E-2</v>
      </c>
      <c r="M62" s="60" t="s">
        <v>115</v>
      </c>
      <c r="Z62" s="59">
        <f>ROUND(IF(AQ62="5",BJ62,0),2)</f>
        <v>0</v>
      </c>
      <c r="AB62" s="59">
        <f>ROUND(IF(AQ62="1",BH62,0),2)</f>
        <v>0</v>
      </c>
      <c r="AC62" s="59">
        <f>ROUND(IF(AQ62="1",BI62,0),2)</f>
        <v>0</v>
      </c>
      <c r="AD62" s="59">
        <f>ROUND(IF(AQ62="7",BH62,0),2)</f>
        <v>0</v>
      </c>
      <c r="AE62" s="59">
        <f>ROUND(IF(AQ62="7",BI62,0),2)</f>
        <v>0</v>
      </c>
      <c r="AF62" s="59">
        <f>ROUND(IF(AQ62="2",BH62,0),2)</f>
        <v>0</v>
      </c>
      <c r="AG62" s="59">
        <f>ROUND(IF(AQ62="2",BI62,0),2)</f>
        <v>0</v>
      </c>
      <c r="AH62" s="59">
        <f>ROUND(IF(AQ62="0",BJ62,0),2)</f>
        <v>0</v>
      </c>
      <c r="AI62" s="46" t="s">
        <v>349</v>
      </c>
      <c r="AJ62" s="59">
        <f>IF(AN62=0,I62,0)</f>
        <v>0</v>
      </c>
      <c r="AK62" s="59">
        <f>IF(AN62=12,I62,0)</f>
        <v>0</v>
      </c>
      <c r="AL62" s="59">
        <f>IF(AN62=21,I62,0)</f>
        <v>0</v>
      </c>
      <c r="AN62" s="59">
        <v>12</v>
      </c>
      <c r="AO62" s="59">
        <f>H62*0.113898183</f>
        <v>0</v>
      </c>
      <c r="AP62" s="59">
        <f>H62*(1-0.113898183)</f>
        <v>0</v>
      </c>
      <c r="AQ62" s="61" t="s">
        <v>150</v>
      </c>
      <c r="AV62" s="59">
        <f>ROUND(AW62+AX62,2)</f>
        <v>0</v>
      </c>
      <c r="AW62" s="59">
        <f>ROUND(G62*AO62,2)</f>
        <v>0</v>
      </c>
      <c r="AX62" s="59">
        <f>ROUND(G62*AP62,2)</f>
        <v>0</v>
      </c>
      <c r="AY62" s="61" t="s">
        <v>170</v>
      </c>
      <c r="AZ62" s="61" t="s">
        <v>386</v>
      </c>
      <c r="BA62" s="46" t="s">
        <v>352</v>
      </c>
      <c r="BC62" s="59">
        <f>AW62+AX62</f>
        <v>0</v>
      </c>
      <c r="BD62" s="59">
        <f>H62/(100-BE62)*100</f>
        <v>0</v>
      </c>
      <c r="BE62" s="59">
        <v>0</v>
      </c>
      <c r="BF62" s="59">
        <f>L62</f>
        <v>3.6353999999999997E-2</v>
      </c>
      <c r="BH62" s="59">
        <f>G62*AO62</f>
        <v>0</v>
      </c>
      <c r="BI62" s="59">
        <f>G62*AP62</f>
        <v>0</v>
      </c>
      <c r="BJ62" s="59">
        <f>G62*H62</f>
        <v>0</v>
      </c>
      <c r="BK62" s="59"/>
      <c r="BL62" s="59">
        <v>764</v>
      </c>
      <c r="BW62" s="59">
        <v>12</v>
      </c>
      <c r="BX62" s="16" t="s">
        <v>178</v>
      </c>
    </row>
    <row r="63" spans="1:76" ht="13.5" customHeight="1" x14ac:dyDescent="0.25">
      <c r="A63" s="62"/>
      <c r="D63" s="105" t="s">
        <v>179</v>
      </c>
      <c r="E63" s="105"/>
      <c r="F63" s="105"/>
      <c r="G63" s="105"/>
      <c r="H63" s="105"/>
      <c r="I63" s="105"/>
      <c r="J63" s="105"/>
      <c r="K63" s="105"/>
      <c r="L63" s="105"/>
      <c r="M63" s="105"/>
    </row>
    <row r="64" spans="1:76" x14ac:dyDescent="0.25">
      <c r="A64" s="62"/>
      <c r="D64" s="63" t="s">
        <v>387</v>
      </c>
      <c r="E64" s="63"/>
      <c r="G64" s="64">
        <v>24.9</v>
      </c>
      <c r="M64" s="65"/>
    </row>
    <row r="65" spans="1:76" ht="15" customHeight="1" x14ac:dyDescent="0.25">
      <c r="A65" s="58" t="s">
        <v>227</v>
      </c>
      <c r="B65" s="18" t="s">
        <v>349</v>
      </c>
      <c r="C65" s="18" t="s">
        <v>388</v>
      </c>
      <c r="D65" s="8" t="s">
        <v>389</v>
      </c>
      <c r="E65" s="8"/>
      <c r="F65" s="18" t="s">
        <v>140</v>
      </c>
      <c r="G65" s="59">
        <f>'Stavební rozpočet'!G162</f>
        <v>19.399999999999999</v>
      </c>
      <c r="H65" s="59">
        <f>'Stavební rozpočet'!H162</f>
        <v>0</v>
      </c>
      <c r="I65" s="59">
        <f>ROUND(G65*H65,2)</f>
        <v>0</v>
      </c>
      <c r="J65" s="59">
        <f>'Stavební rozpočet'!J162</f>
        <v>1.1900000000000001E-3</v>
      </c>
      <c r="K65" s="59">
        <f>'Stavební rozpočet'!K162</f>
        <v>1.1900000000000001E-3</v>
      </c>
      <c r="L65" s="59">
        <f>G65*K65</f>
        <v>2.3085999999999999E-2</v>
      </c>
      <c r="M65" s="60" t="s">
        <v>115</v>
      </c>
      <c r="Z65" s="59">
        <f>ROUND(IF(AQ65="5",BJ65,0),2)</f>
        <v>0</v>
      </c>
      <c r="AB65" s="59">
        <f>ROUND(IF(AQ65="1",BH65,0),2)</f>
        <v>0</v>
      </c>
      <c r="AC65" s="59">
        <f>ROUND(IF(AQ65="1",BI65,0),2)</f>
        <v>0</v>
      </c>
      <c r="AD65" s="59">
        <f>ROUND(IF(AQ65="7",BH65,0),2)</f>
        <v>0</v>
      </c>
      <c r="AE65" s="59">
        <f>ROUND(IF(AQ65="7",BI65,0),2)</f>
        <v>0</v>
      </c>
      <c r="AF65" s="59">
        <f>ROUND(IF(AQ65="2",BH65,0),2)</f>
        <v>0</v>
      </c>
      <c r="AG65" s="59">
        <f>ROUND(IF(AQ65="2",BI65,0),2)</f>
        <v>0</v>
      </c>
      <c r="AH65" s="59">
        <f>ROUND(IF(AQ65="0",BJ65,0),2)</f>
        <v>0</v>
      </c>
      <c r="AI65" s="46" t="s">
        <v>349</v>
      </c>
      <c r="AJ65" s="59">
        <f>IF(AN65=0,I65,0)</f>
        <v>0</v>
      </c>
      <c r="AK65" s="59">
        <f>IF(AN65=12,I65,0)</f>
        <v>0</v>
      </c>
      <c r="AL65" s="59">
        <f>IF(AN65=21,I65,0)</f>
        <v>0</v>
      </c>
      <c r="AN65" s="59">
        <v>12</v>
      </c>
      <c r="AO65" s="59">
        <f>H65*0.381899982</f>
        <v>0</v>
      </c>
      <c r="AP65" s="59">
        <f>H65*(1-0.381899982)</f>
        <v>0</v>
      </c>
      <c r="AQ65" s="61" t="s">
        <v>150</v>
      </c>
      <c r="AV65" s="59">
        <f>ROUND(AW65+AX65,2)</f>
        <v>0</v>
      </c>
      <c r="AW65" s="59">
        <f>ROUND(G65*AO65,2)</f>
        <v>0</v>
      </c>
      <c r="AX65" s="59">
        <f>ROUND(G65*AP65,2)</f>
        <v>0</v>
      </c>
      <c r="AY65" s="61" t="s">
        <v>170</v>
      </c>
      <c r="AZ65" s="61" t="s">
        <v>386</v>
      </c>
      <c r="BA65" s="46" t="s">
        <v>352</v>
      </c>
      <c r="BC65" s="59">
        <f>AW65+AX65</f>
        <v>0</v>
      </c>
      <c r="BD65" s="59">
        <f>H65/(100-BE65)*100</f>
        <v>0</v>
      </c>
      <c r="BE65" s="59">
        <v>0</v>
      </c>
      <c r="BF65" s="59">
        <f>L65</f>
        <v>2.3085999999999999E-2</v>
      </c>
      <c r="BH65" s="59">
        <f>G65*AO65</f>
        <v>0</v>
      </c>
      <c r="BI65" s="59">
        <f>G65*AP65</f>
        <v>0</v>
      </c>
      <c r="BJ65" s="59">
        <f>G65*H65</f>
        <v>0</v>
      </c>
      <c r="BK65" s="59"/>
      <c r="BL65" s="59">
        <v>764</v>
      </c>
      <c r="BW65" s="59">
        <v>12</v>
      </c>
      <c r="BX65" s="16" t="s">
        <v>389</v>
      </c>
    </row>
    <row r="66" spans="1:76" x14ac:dyDescent="0.25">
      <c r="A66" s="62"/>
      <c r="D66" s="63" t="s">
        <v>390</v>
      </c>
      <c r="E66" s="63"/>
      <c r="G66" s="64">
        <v>19.399999999999999</v>
      </c>
      <c r="M66" s="65"/>
    </row>
    <row r="67" spans="1:76" ht="15" customHeight="1" x14ac:dyDescent="0.25">
      <c r="A67" s="54"/>
      <c r="B67" s="55" t="s">
        <v>349</v>
      </c>
      <c r="C67" s="55" t="s">
        <v>181</v>
      </c>
      <c r="D67" s="104" t="s">
        <v>182</v>
      </c>
      <c r="E67" s="104"/>
      <c r="F67" s="56" t="s">
        <v>88</v>
      </c>
      <c r="G67" s="56" t="s">
        <v>88</v>
      </c>
      <c r="H67" s="56" t="s">
        <v>88</v>
      </c>
      <c r="I67" s="39">
        <f>SUM(I68:I84)</f>
        <v>0</v>
      </c>
      <c r="J67" s="46"/>
      <c r="K67" s="46"/>
      <c r="L67" s="39">
        <f>SUM(L68:L84)</f>
        <v>2.3335080000000006</v>
      </c>
      <c r="M67" s="57"/>
      <c r="AI67" s="46" t="s">
        <v>349</v>
      </c>
      <c r="AS67" s="39">
        <f>SUM(AJ68:AJ84)</f>
        <v>0</v>
      </c>
      <c r="AT67" s="39">
        <f>SUM(AK68:AK84)</f>
        <v>0</v>
      </c>
      <c r="AU67" s="39">
        <f>SUM(AL68:AL84)</f>
        <v>0</v>
      </c>
    </row>
    <row r="68" spans="1:76" ht="15" customHeight="1" x14ac:dyDescent="0.25">
      <c r="A68" s="58" t="s">
        <v>234</v>
      </c>
      <c r="B68" s="18" t="s">
        <v>349</v>
      </c>
      <c r="C68" s="18" t="s">
        <v>191</v>
      </c>
      <c r="D68" s="8" t="s">
        <v>192</v>
      </c>
      <c r="E68" s="8"/>
      <c r="F68" s="18" t="s">
        <v>114</v>
      </c>
      <c r="G68" s="59">
        <f>'Stavební rozpočet'!G165</f>
        <v>57.6</v>
      </c>
      <c r="H68" s="59">
        <f>'Stavební rozpočet'!H165</f>
        <v>0</v>
      </c>
      <c r="I68" s="59">
        <f>ROUND(G68*H68,2)</f>
        <v>0</v>
      </c>
      <c r="J68" s="59">
        <f>'Stavební rozpočet'!J165</f>
        <v>4.0370000000000003E-2</v>
      </c>
      <c r="K68" s="59">
        <f>'Stavební rozpočet'!K165</f>
        <v>4.0370000000000003E-2</v>
      </c>
      <c r="L68" s="59">
        <f>G68*K68</f>
        <v>2.3253120000000003</v>
      </c>
      <c r="M68" s="60" t="s">
        <v>115</v>
      </c>
      <c r="Z68" s="59">
        <f>ROUND(IF(AQ68="5",BJ68,0),2)</f>
        <v>0</v>
      </c>
      <c r="AB68" s="59">
        <f>ROUND(IF(AQ68="1",BH68,0),2)</f>
        <v>0</v>
      </c>
      <c r="AC68" s="59">
        <f>ROUND(IF(AQ68="1",BI68,0),2)</f>
        <v>0</v>
      </c>
      <c r="AD68" s="59">
        <f>ROUND(IF(AQ68="7",BH68,0),2)</f>
        <v>0</v>
      </c>
      <c r="AE68" s="59">
        <f>ROUND(IF(AQ68="7",BI68,0),2)</f>
        <v>0</v>
      </c>
      <c r="AF68" s="59">
        <f>ROUND(IF(AQ68="2",BH68,0),2)</f>
        <v>0</v>
      </c>
      <c r="AG68" s="59">
        <f>ROUND(IF(AQ68="2",BI68,0),2)</f>
        <v>0</v>
      </c>
      <c r="AH68" s="59">
        <f>ROUND(IF(AQ68="0",BJ68,0),2)</f>
        <v>0</v>
      </c>
      <c r="AI68" s="46" t="s">
        <v>349</v>
      </c>
      <c r="AJ68" s="59">
        <f>IF(AN68=0,I68,0)</f>
        <v>0</v>
      </c>
      <c r="AK68" s="59">
        <f>IF(AN68=12,I68,0)</f>
        <v>0</v>
      </c>
      <c r="AL68" s="59">
        <f>IF(AN68=21,I68,0)</f>
        <v>0</v>
      </c>
      <c r="AN68" s="59">
        <v>12</v>
      </c>
      <c r="AO68" s="59">
        <f>H68*0.920036743</f>
        <v>0</v>
      </c>
      <c r="AP68" s="59">
        <f>H68*(1-0.920036743)</f>
        <v>0</v>
      </c>
      <c r="AQ68" s="61" t="s">
        <v>150</v>
      </c>
      <c r="AV68" s="59">
        <f>ROUND(AW68+AX68,2)</f>
        <v>0</v>
      </c>
      <c r="AW68" s="59">
        <f>ROUND(G68*AO68,2)</f>
        <v>0</v>
      </c>
      <c r="AX68" s="59">
        <f>ROUND(G68*AP68,2)</f>
        <v>0</v>
      </c>
      <c r="AY68" s="61" t="s">
        <v>187</v>
      </c>
      <c r="AZ68" s="61" t="s">
        <v>386</v>
      </c>
      <c r="BA68" s="46" t="s">
        <v>352</v>
      </c>
      <c r="BC68" s="59">
        <f>AW68+AX68</f>
        <v>0</v>
      </c>
      <c r="BD68" s="59">
        <f>H68/(100-BE68)*100</f>
        <v>0</v>
      </c>
      <c r="BE68" s="59">
        <v>0</v>
      </c>
      <c r="BF68" s="59">
        <f>L68</f>
        <v>2.3253120000000003</v>
      </c>
      <c r="BH68" s="59">
        <f>G68*AO68</f>
        <v>0</v>
      </c>
      <c r="BI68" s="59">
        <f>G68*AP68</f>
        <v>0</v>
      </c>
      <c r="BJ68" s="59">
        <f>G68*H68</f>
        <v>0</v>
      </c>
      <c r="BK68" s="59"/>
      <c r="BL68" s="59">
        <v>766</v>
      </c>
      <c r="BW68" s="59">
        <v>12</v>
      </c>
      <c r="BX68" s="16" t="s">
        <v>192</v>
      </c>
    </row>
    <row r="69" spans="1:76" ht="13.5" customHeight="1" x14ac:dyDescent="0.25">
      <c r="A69" s="62"/>
      <c r="D69" s="105" t="s">
        <v>193</v>
      </c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76" x14ac:dyDescent="0.25">
      <c r="A70" s="62"/>
      <c r="D70" s="63" t="s">
        <v>391</v>
      </c>
      <c r="E70" s="63"/>
      <c r="G70" s="64">
        <v>9</v>
      </c>
      <c r="M70" s="65"/>
    </row>
    <row r="71" spans="1:76" x14ac:dyDescent="0.25">
      <c r="A71" s="62"/>
      <c r="D71" s="63" t="s">
        <v>392</v>
      </c>
      <c r="E71" s="63"/>
      <c r="G71" s="64">
        <v>5.4</v>
      </c>
      <c r="M71" s="65"/>
    </row>
    <row r="72" spans="1:76" x14ac:dyDescent="0.25">
      <c r="A72" s="62"/>
      <c r="D72" s="63" t="s">
        <v>393</v>
      </c>
      <c r="E72" s="63"/>
      <c r="G72" s="64">
        <v>21.6</v>
      </c>
      <c r="M72" s="65"/>
    </row>
    <row r="73" spans="1:76" x14ac:dyDescent="0.25">
      <c r="A73" s="62"/>
      <c r="D73" s="63" t="s">
        <v>394</v>
      </c>
      <c r="E73" s="63"/>
      <c r="G73" s="64">
        <v>14.4</v>
      </c>
      <c r="M73" s="65"/>
    </row>
    <row r="74" spans="1:76" x14ac:dyDescent="0.25">
      <c r="A74" s="62"/>
      <c r="D74" s="63" t="s">
        <v>395</v>
      </c>
      <c r="E74" s="63"/>
      <c r="G74" s="64">
        <v>7.2</v>
      </c>
      <c r="M74" s="65"/>
    </row>
    <row r="75" spans="1:76" ht="15" customHeight="1" x14ac:dyDescent="0.25">
      <c r="A75" s="58" t="s">
        <v>241</v>
      </c>
      <c r="B75" s="18" t="s">
        <v>349</v>
      </c>
      <c r="C75" s="18" t="s">
        <v>206</v>
      </c>
      <c r="D75" s="8" t="s">
        <v>207</v>
      </c>
      <c r="E75" s="8"/>
      <c r="F75" s="18" t="s">
        <v>140</v>
      </c>
      <c r="G75" s="59">
        <f>'Stavební rozpočet'!G171</f>
        <v>130.19999999999999</v>
      </c>
      <c r="H75" s="59">
        <f>'Stavební rozpočet'!H171</f>
        <v>0</v>
      </c>
      <c r="I75" s="59">
        <f>ROUND(G75*H75,2)</f>
        <v>0</v>
      </c>
      <c r="J75" s="59">
        <f>'Stavební rozpočet'!J171</f>
        <v>4.0000000000000003E-5</v>
      </c>
      <c r="K75" s="59">
        <f>'Stavební rozpočet'!K171</f>
        <v>4.0000000000000003E-5</v>
      </c>
      <c r="L75" s="59">
        <f>G75*K75</f>
        <v>5.208E-3</v>
      </c>
      <c r="M75" s="60" t="s">
        <v>115</v>
      </c>
      <c r="Z75" s="59">
        <f>ROUND(IF(AQ75="5",BJ75,0),2)</f>
        <v>0</v>
      </c>
      <c r="AB75" s="59">
        <f>ROUND(IF(AQ75="1",BH75,0),2)</f>
        <v>0</v>
      </c>
      <c r="AC75" s="59">
        <f>ROUND(IF(AQ75="1",BI75,0),2)</f>
        <v>0</v>
      </c>
      <c r="AD75" s="59">
        <f>ROUND(IF(AQ75="7",BH75,0),2)</f>
        <v>0</v>
      </c>
      <c r="AE75" s="59">
        <f>ROUND(IF(AQ75="7",BI75,0),2)</f>
        <v>0</v>
      </c>
      <c r="AF75" s="59">
        <f>ROUND(IF(AQ75="2",BH75,0),2)</f>
        <v>0</v>
      </c>
      <c r="AG75" s="59">
        <f>ROUND(IF(AQ75="2",BI75,0),2)</f>
        <v>0</v>
      </c>
      <c r="AH75" s="59">
        <f>ROUND(IF(AQ75="0",BJ75,0),2)</f>
        <v>0</v>
      </c>
      <c r="AI75" s="46" t="s">
        <v>349</v>
      </c>
      <c r="AJ75" s="59">
        <f>IF(AN75=0,I75,0)</f>
        <v>0</v>
      </c>
      <c r="AK75" s="59">
        <f>IF(AN75=12,I75,0)</f>
        <v>0</v>
      </c>
      <c r="AL75" s="59">
        <f>IF(AN75=21,I75,0)</f>
        <v>0</v>
      </c>
      <c r="AN75" s="59">
        <v>12</v>
      </c>
      <c r="AO75" s="59">
        <f>H75*0.41255311</f>
        <v>0</v>
      </c>
      <c r="AP75" s="59">
        <f>H75*(1-0.41255311)</f>
        <v>0</v>
      </c>
      <c r="AQ75" s="61" t="s">
        <v>150</v>
      </c>
      <c r="AV75" s="59">
        <f>ROUND(AW75+AX75,2)</f>
        <v>0</v>
      </c>
      <c r="AW75" s="59">
        <f>ROUND(G75*AO75,2)</f>
        <v>0</v>
      </c>
      <c r="AX75" s="59">
        <f>ROUND(G75*AP75,2)</f>
        <v>0</v>
      </c>
      <c r="AY75" s="61" t="s">
        <v>187</v>
      </c>
      <c r="AZ75" s="61" t="s">
        <v>386</v>
      </c>
      <c r="BA75" s="46" t="s">
        <v>352</v>
      </c>
      <c r="BC75" s="59">
        <f>AW75+AX75</f>
        <v>0</v>
      </c>
      <c r="BD75" s="59">
        <f>H75/(100-BE75)*100</f>
        <v>0</v>
      </c>
      <c r="BE75" s="59">
        <v>0</v>
      </c>
      <c r="BF75" s="59">
        <f>L75</f>
        <v>5.208E-3</v>
      </c>
      <c r="BH75" s="59">
        <f>G75*AO75</f>
        <v>0</v>
      </c>
      <c r="BI75" s="59">
        <f>G75*AP75</f>
        <v>0</v>
      </c>
      <c r="BJ75" s="59">
        <f>G75*H75</f>
        <v>0</v>
      </c>
      <c r="BK75" s="59"/>
      <c r="BL75" s="59">
        <v>766</v>
      </c>
      <c r="BW75" s="59">
        <v>12</v>
      </c>
      <c r="BX75" s="16" t="s">
        <v>207</v>
      </c>
    </row>
    <row r="76" spans="1:76" ht="13.5" customHeight="1" x14ac:dyDescent="0.25">
      <c r="A76" s="62"/>
      <c r="D76" s="105" t="s">
        <v>208</v>
      </c>
      <c r="E76" s="105"/>
      <c r="F76" s="105"/>
      <c r="G76" s="105"/>
      <c r="H76" s="105"/>
      <c r="I76" s="105"/>
      <c r="J76" s="105"/>
      <c r="K76" s="105"/>
      <c r="L76" s="105"/>
      <c r="M76" s="105"/>
    </row>
    <row r="77" spans="1:76" x14ac:dyDescent="0.25">
      <c r="A77" s="62"/>
      <c r="D77" s="63" t="s">
        <v>396</v>
      </c>
      <c r="E77" s="63"/>
      <c r="G77" s="64">
        <v>130.19999999999999</v>
      </c>
      <c r="M77" s="65"/>
    </row>
    <row r="78" spans="1:76" ht="15" customHeight="1" x14ac:dyDescent="0.25">
      <c r="A78" s="58" t="s">
        <v>248</v>
      </c>
      <c r="B78" s="18" t="s">
        <v>349</v>
      </c>
      <c r="C78" s="18" t="s">
        <v>211</v>
      </c>
      <c r="D78" s="8" t="s">
        <v>212</v>
      </c>
      <c r="E78" s="8"/>
      <c r="F78" s="18" t="s">
        <v>140</v>
      </c>
      <c r="G78" s="59">
        <f>'Stavební rozpočet'!G173</f>
        <v>24.9</v>
      </c>
      <c r="H78" s="59">
        <f>'Stavební rozpočet'!H173</f>
        <v>0</v>
      </c>
      <c r="I78" s="59">
        <f>ROUND(G78*H78,2)</f>
        <v>0</v>
      </c>
      <c r="J78" s="59">
        <f>'Stavební rozpočet'!J173</f>
        <v>1.2E-4</v>
      </c>
      <c r="K78" s="59">
        <f>'Stavební rozpočet'!K173</f>
        <v>1.2E-4</v>
      </c>
      <c r="L78" s="59">
        <f>G78*K78</f>
        <v>2.9879999999999998E-3</v>
      </c>
      <c r="M78" s="60" t="s">
        <v>115</v>
      </c>
      <c r="Z78" s="59">
        <f>ROUND(IF(AQ78="5",BJ78,0),2)</f>
        <v>0</v>
      </c>
      <c r="AB78" s="59">
        <f>ROUND(IF(AQ78="1",BH78,0),2)</f>
        <v>0</v>
      </c>
      <c r="AC78" s="59">
        <f>ROUND(IF(AQ78="1",BI78,0),2)</f>
        <v>0</v>
      </c>
      <c r="AD78" s="59">
        <f>ROUND(IF(AQ78="7",BH78,0),2)</f>
        <v>0</v>
      </c>
      <c r="AE78" s="59">
        <f>ROUND(IF(AQ78="7",BI78,0),2)</f>
        <v>0</v>
      </c>
      <c r="AF78" s="59">
        <f>ROUND(IF(AQ78="2",BH78,0),2)</f>
        <v>0</v>
      </c>
      <c r="AG78" s="59">
        <f>ROUND(IF(AQ78="2",BI78,0),2)</f>
        <v>0</v>
      </c>
      <c r="AH78" s="59">
        <f>ROUND(IF(AQ78="0",BJ78,0),2)</f>
        <v>0</v>
      </c>
      <c r="AI78" s="46" t="s">
        <v>349</v>
      </c>
      <c r="AJ78" s="59">
        <f>IF(AN78=0,I78,0)</f>
        <v>0</v>
      </c>
      <c r="AK78" s="59">
        <f>IF(AN78=12,I78,0)</f>
        <v>0</v>
      </c>
      <c r="AL78" s="59">
        <f>IF(AN78=21,I78,0)</f>
        <v>0</v>
      </c>
      <c r="AN78" s="59">
        <v>12</v>
      </c>
      <c r="AO78" s="59">
        <f>H78*0.319457388</f>
        <v>0</v>
      </c>
      <c r="AP78" s="59">
        <f>H78*(1-0.319457388)</f>
        <v>0</v>
      </c>
      <c r="AQ78" s="61" t="s">
        <v>150</v>
      </c>
      <c r="AV78" s="59">
        <f>ROUND(AW78+AX78,2)</f>
        <v>0</v>
      </c>
      <c r="AW78" s="59">
        <f>ROUND(G78*AO78,2)</f>
        <v>0</v>
      </c>
      <c r="AX78" s="59">
        <f>ROUND(G78*AP78,2)</f>
        <v>0</v>
      </c>
      <c r="AY78" s="61" t="s">
        <v>187</v>
      </c>
      <c r="AZ78" s="61" t="s">
        <v>386</v>
      </c>
      <c r="BA78" s="46" t="s">
        <v>352</v>
      </c>
      <c r="BC78" s="59">
        <f>AW78+AX78</f>
        <v>0</v>
      </c>
      <c r="BD78" s="59">
        <f>H78/(100-BE78)*100</f>
        <v>0</v>
      </c>
      <c r="BE78" s="59">
        <v>0</v>
      </c>
      <c r="BF78" s="59">
        <f>L78</f>
        <v>2.9879999999999998E-3</v>
      </c>
      <c r="BH78" s="59">
        <f>G78*AO78</f>
        <v>0</v>
      </c>
      <c r="BI78" s="59">
        <f>G78*AP78</f>
        <v>0</v>
      </c>
      <c r="BJ78" s="59">
        <f>G78*H78</f>
        <v>0</v>
      </c>
      <c r="BK78" s="59"/>
      <c r="BL78" s="59">
        <v>766</v>
      </c>
      <c r="BW78" s="59">
        <v>12</v>
      </c>
      <c r="BX78" s="16" t="s">
        <v>212</v>
      </c>
    </row>
    <row r="79" spans="1:76" ht="13.5" customHeight="1" x14ac:dyDescent="0.25">
      <c r="A79" s="62"/>
      <c r="D79" s="105" t="s">
        <v>213</v>
      </c>
      <c r="E79" s="105"/>
      <c r="F79" s="105"/>
      <c r="G79" s="105"/>
      <c r="H79" s="105"/>
      <c r="I79" s="105"/>
      <c r="J79" s="105"/>
      <c r="K79" s="105"/>
      <c r="L79" s="105"/>
      <c r="M79" s="105"/>
    </row>
    <row r="80" spans="1:76" x14ac:dyDescent="0.25">
      <c r="A80" s="62"/>
      <c r="D80" s="63" t="s">
        <v>387</v>
      </c>
      <c r="E80" s="63"/>
      <c r="G80" s="64">
        <v>24.9</v>
      </c>
      <c r="M80" s="65"/>
    </row>
    <row r="81" spans="1:76" ht="15" customHeight="1" x14ac:dyDescent="0.25">
      <c r="A81" s="58" t="s">
        <v>253</v>
      </c>
      <c r="B81" s="18" t="s">
        <v>349</v>
      </c>
      <c r="C81" s="18" t="s">
        <v>216</v>
      </c>
      <c r="D81" s="8" t="s">
        <v>217</v>
      </c>
      <c r="E81" s="8"/>
      <c r="F81" s="18" t="s">
        <v>218</v>
      </c>
      <c r="G81" s="59">
        <f>'Stavební rozpočet'!G175</f>
        <v>12</v>
      </c>
      <c r="H81" s="59">
        <f>'Stavební rozpočet'!H175</f>
        <v>0</v>
      </c>
      <c r="I81" s="59">
        <f>ROUND(G81*H81,2)</f>
        <v>0</v>
      </c>
      <c r="J81" s="59">
        <f>'Stavební rozpočet'!J175</f>
        <v>0</v>
      </c>
      <c r="K81" s="59">
        <f>'Stavební rozpočet'!K175</f>
        <v>0</v>
      </c>
      <c r="L81" s="59">
        <f>G81*K81</f>
        <v>0</v>
      </c>
      <c r="M81" s="60"/>
      <c r="Z81" s="59">
        <f>ROUND(IF(AQ81="5",BJ81,0),2)</f>
        <v>0</v>
      </c>
      <c r="AB81" s="59">
        <f>ROUND(IF(AQ81="1",BH81,0),2)</f>
        <v>0</v>
      </c>
      <c r="AC81" s="59">
        <f>ROUND(IF(AQ81="1",BI81,0),2)</f>
        <v>0</v>
      </c>
      <c r="AD81" s="59">
        <f>ROUND(IF(AQ81="7",BH81,0),2)</f>
        <v>0</v>
      </c>
      <c r="AE81" s="59">
        <f>ROUND(IF(AQ81="7",BI81,0),2)</f>
        <v>0</v>
      </c>
      <c r="AF81" s="59">
        <f>ROUND(IF(AQ81="2",BH81,0),2)</f>
        <v>0</v>
      </c>
      <c r="AG81" s="59">
        <f>ROUND(IF(AQ81="2",BI81,0),2)</f>
        <v>0</v>
      </c>
      <c r="AH81" s="59">
        <f>ROUND(IF(AQ81="0",BJ81,0),2)</f>
        <v>0</v>
      </c>
      <c r="AI81" s="46" t="s">
        <v>349</v>
      </c>
      <c r="AJ81" s="59">
        <f>IF(AN81=0,I81,0)</f>
        <v>0</v>
      </c>
      <c r="AK81" s="59">
        <f>IF(AN81=12,I81,0)</f>
        <v>0</v>
      </c>
      <c r="AL81" s="59">
        <f>IF(AN81=21,I81,0)</f>
        <v>0</v>
      </c>
      <c r="AN81" s="59">
        <v>12</v>
      </c>
      <c r="AO81" s="59">
        <f>H81*0</f>
        <v>0</v>
      </c>
      <c r="AP81" s="59">
        <f>H81*(1-0)</f>
        <v>0</v>
      </c>
      <c r="AQ81" s="61" t="s">
        <v>150</v>
      </c>
      <c r="AV81" s="59">
        <f>ROUND(AW81+AX81,2)</f>
        <v>0</v>
      </c>
      <c r="AW81" s="59">
        <f>ROUND(G81*AO81,2)</f>
        <v>0</v>
      </c>
      <c r="AX81" s="59">
        <f>ROUND(G81*AP81,2)</f>
        <v>0</v>
      </c>
      <c r="AY81" s="61" t="s">
        <v>187</v>
      </c>
      <c r="AZ81" s="61" t="s">
        <v>386</v>
      </c>
      <c r="BA81" s="46" t="s">
        <v>352</v>
      </c>
      <c r="BC81" s="59">
        <f>AW81+AX81</f>
        <v>0</v>
      </c>
      <c r="BD81" s="59">
        <f>H81/(100-BE81)*100</f>
        <v>0</v>
      </c>
      <c r="BE81" s="59">
        <v>0</v>
      </c>
      <c r="BF81" s="59">
        <f>L81</f>
        <v>0</v>
      </c>
      <c r="BH81" s="59">
        <f>G81*AO81</f>
        <v>0</v>
      </c>
      <c r="BI81" s="59">
        <f>G81*AP81</f>
        <v>0</v>
      </c>
      <c r="BJ81" s="59">
        <f>G81*H81</f>
        <v>0</v>
      </c>
      <c r="BK81" s="59"/>
      <c r="BL81" s="59">
        <v>766</v>
      </c>
      <c r="BW81" s="59">
        <v>12</v>
      </c>
      <c r="BX81" s="16" t="s">
        <v>217</v>
      </c>
    </row>
    <row r="82" spans="1:76" ht="13.5" customHeight="1" x14ac:dyDescent="0.25">
      <c r="A82" s="62"/>
      <c r="D82" s="105" t="s">
        <v>219</v>
      </c>
      <c r="E82" s="105"/>
      <c r="F82" s="105"/>
      <c r="G82" s="105"/>
      <c r="H82" s="105"/>
      <c r="I82" s="105"/>
      <c r="J82" s="105"/>
      <c r="K82" s="105"/>
      <c r="L82" s="105"/>
      <c r="M82" s="105"/>
    </row>
    <row r="83" spans="1:76" x14ac:dyDescent="0.25">
      <c r="A83" s="62"/>
      <c r="D83" s="63" t="s">
        <v>176</v>
      </c>
      <c r="E83" s="63"/>
      <c r="G83" s="64">
        <v>12</v>
      </c>
      <c r="M83" s="65"/>
    </row>
    <row r="84" spans="1:76" ht="15" customHeight="1" x14ac:dyDescent="0.25">
      <c r="A84" s="58" t="s">
        <v>261</v>
      </c>
      <c r="B84" s="18" t="s">
        <v>349</v>
      </c>
      <c r="C84" s="18" t="s">
        <v>222</v>
      </c>
      <c r="D84" s="8" t="s">
        <v>223</v>
      </c>
      <c r="E84" s="8"/>
      <c r="F84" s="18" t="s">
        <v>224</v>
      </c>
      <c r="G84" s="59">
        <f>'Stavební rozpočet'!G177</f>
        <v>1.859</v>
      </c>
      <c r="H84" s="59">
        <f>'Stavební rozpočet'!H177</f>
        <v>0</v>
      </c>
      <c r="I84" s="59">
        <f>ROUND(G84*H84,2)</f>
        <v>0</v>
      </c>
      <c r="J84" s="59">
        <f>'Stavební rozpočet'!J177</f>
        <v>0</v>
      </c>
      <c r="K84" s="59">
        <f>'Stavební rozpočet'!K177</f>
        <v>0</v>
      </c>
      <c r="L84" s="59">
        <f>G84*K84</f>
        <v>0</v>
      </c>
      <c r="M84" s="60" t="s">
        <v>115</v>
      </c>
      <c r="Z84" s="59">
        <f>ROUND(IF(AQ84="5",BJ84,0),2)</f>
        <v>0</v>
      </c>
      <c r="AB84" s="59">
        <f>ROUND(IF(AQ84="1",BH84,0),2)</f>
        <v>0</v>
      </c>
      <c r="AC84" s="59">
        <f>ROUND(IF(AQ84="1",BI84,0),2)</f>
        <v>0</v>
      </c>
      <c r="AD84" s="59">
        <f>ROUND(IF(AQ84="7",BH84,0),2)</f>
        <v>0</v>
      </c>
      <c r="AE84" s="59">
        <f>ROUND(IF(AQ84="7",BI84,0),2)</f>
        <v>0</v>
      </c>
      <c r="AF84" s="59">
        <f>ROUND(IF(AQ84="2",BH84,0),2)</f>
        <v>0</v>
      </c>
      <c r="AG84" s="59">
        <f>ROUND(IF(AQ84="2",BI84,0),2)</f>
        <v>0</v>
      </c>
      <c r="AH84" s="59">
        <f>ROUND(IF(AQ84="0",BJ84,0),2)</f>
        <v>0</v>
      </c>
      <c r="AI84" s="46" t="s">
        <v>349</v>
      </c>
      <c r="AJ84" s="59">
        <f>IF(AN84=0,I84,0)</f>
        <v>0</v>
      </c>
      <c r="AK84" s="59">
        <f>IF(AN84=12,I84,0)</f>
        <v>0</v>
      </c>
      <c r="AL84" s="59">
        <f>IF(AN84=21,I84,0)</f>
        <v>0</v>
      </c>
      <c r="AN84" s="59">
        <v>12</v>
      </c>
      <c r="AO84" s="59">
        <f>H84*0</f>
        <v>0</v>
      </c>
      <c r="AP84" s="59">
        <f>H84*(1-0)</f>
        <v>0</v>
      </c>
      <c r="AQ84" s="61" t="s">
        <v>137</v>
      </c>
      <c r="AV84" s="59">
        <f>ROUND(AW84+AX84,2)</f>
        <v>0</v>
      </c>
      <c r="AW84" s="59">
        <f>ROUND(G84*AO84,2)</f>
        <v>0</v>
      </c>
      <c r="AX84" s="59">
        <f>ROUND(G84*AP84,2)</f>
        <v>0</v>
      </c>
      <c r="AY84" s="61" t="s">
        <v>187</v>
      </c>
      <c r="AZ84" s="61" t="s">
        <v>386</v>
      </c>
      <c r="BA84" s="46" t="s">
        <v>352</v>
      </c>
      <c r="BC84" s="59">
        <f>AW84+AX84</f>
        <v>0</v>
      </c>
      <c r="BD84" s="59">
        <f>H84/(100-BE84)*100</f>
        <v>0</v>
      </c>
      <c r="BE84" s="59">
        <v>0</v>
      </c>
      <c r="BF84" s="59">
        <f>L84</f>
        <v>0</v>
      </c>
      <c r="BH84" s="59">
        <f>G84*AO84</f>
        <v>0</v>
      </c>
      <c r="BI84" s="59">
        <f>G84*AP84</f>
        <v>0</v>
      </c>
      <c r="BJ84" s="59">
        <f>G84*H84</f>
        <v>0</v>
      </c>
      <c r="BK84" s="59"/>
      <c r="BL84" s="59">
        <v>766</v>
      </c>
      <c r="BW84" s="59">
        <v>12</v>
      </c>
      <c r="BX84" s="16" t="s">
        <v>223</v>
      </c>
    </row>
    <row r="85" spans="1:76" ht="15" customHeight="1" x14ac:dyDescent="0.25">
      <c r="A85" s="54"/>
      <c r="B85" s="55" t="s">
        <v>349</v>
      </c>
      <c r="C85" s="55" t="s">
        <v>397</v>
      </c>
      <c r="D85" s="104" t="s">
        <v>398</v>
      </c>
      <c r="E85" s="104"/>
      <c r="F85" s="56" t="s">
        <v>88</v>
      </c>
      <c r="G85" s="56" t="s">
        <v>88</v>
      </c>
      <c r="H85" s="56" t="s">
        <v>88</v>
      </c>
      <c r="I85" s="39">
        <f>SUM(I86)</f>
        <v>0</v>
      </c>
      <c r="J85" s="46"/>
      <c r="K85" s="46"/>
      <c r="L85" s="39">
        <f>SUM(L86)</f>
        <v>0.261324</v>
      </c>
      <c r="M85" s="57"/>
      <c r="AI85" s="46" t="s">
        <v>349</v>
      </c>
      <c r="AS85" s="39">
        <f>SUM(AJ86)</f>
        <v>0</v>
      </c>
      <c r="AT85" s="39">
        <f>SUM(AK86)</f>
        <v>0</v>
      </c>
      <c r="AU85" s="39">
        <f>SUM(AL86)</f>
        <v>0</v>
      </c>
    </row>
    <row r="86" spans="1:76" ht="15" customHeight="1" x14ac:dyDescent="0.25">
      <c r="A86" s="58" t="s">
        <v>269</v>
      </c>
      <c r="B86" s="18" t="s">
        <v>349</v>
      </c>
      <c r="C86" s="18" t="s">
        <v>399</v>
      </c>
      <c r="D86" s="8" t="s">
        <v>400</v>
      </c>
      <c r="E86" s="8"/>
      <c r="F86" s="18" t="s">
        <v>114</v>
      </c>
      <c r="G86" s="59">
        <f>'Stavební rozpočet'!G179</f>
        <v>24.4</v>
      </c>
      <c r="H86" s="59">
        <f>'Stavební rozpočet'!H179</f>
        <v>0</v>
      </c>
      <c r="I86" s="59">
        <f>ROUND(G86*H86,2)</f>
        <v>0</v>
      </c>
      <c r="J86" s="59">
        <f>'Stavební rozpočet'!J179</f>
        <v>1.0710000000000001E-2</v>
      </c>
      <c r="K86" s="59">
        <f>'Stavební rozpočet'!K179</f>
        <v>1.0710000000000001E-2</v>
      </c>
      <c r="L86" s="59">
        <f>G86*K86</f>
        <v>0.261324</v>
      </c>
      <c r="M86" s="60" t="s">
        <v>115</v>
      </c>
      <c r="Z86" s="59">
        <f>ROUND(IF(AQ86="5",BJ86,0),2)</f>
        <v>0</v>
      </c>
      <c r="AB86" s="59">
        <f>ROUND(IF(AQ86="1",BH86,0),2)</f>
        <v>0</v>
      </c>
      <c r="AC86" s="59">
        <f>ROUND(IF(AQ86="1",BI86,0),2)</f>
        <v>0</v>
      </c>
      <c r="AD86" s="59">
        <f>ROUND(IF(AQ86="7",BH86,0),2)</f>
        <v>0</v>
      </c>
      <c r="AE86" s="59">
        <f>ROUND(IF(AQ86="7",BI86,0),2)</f>
        <v>0</v>
      </c>
      <c r="AF86" s="59">
        <f>ROUND(IF(AQ86="2",BH86,0),2)</f>
        <v>0</v>
      </c>
      <c r="AG86" s="59">
        <f>ROUND(IF(AQ86="2",BI86,0),2)</f>
        <v>0</v>
      </c>
      <c r="AH86" s="59">
        <f>ROUND(IF(AQ86="0",BJ86,0),2)</f>
        <v>0</v>
      </c>
      <c r="AI86" s="46" t="s">
        <v>349</v>
      </c>
      <c r="AJ86" s="59">
        <f>IF(AN86=0,I86,0)</f>
        <v>0</v>
      </c>
      <c r="AK86" s="59">
        <f>IF(AN86=12,I86,0)</f>
        <v>0</v>
      </c>
      <c r="AL86" s="59">
        <f>IF(AN86=21,I86,0)</f>
        <v>0</v>
      </c>
      <c r="AN86" s="59">
        <v>12</v>
      </c>
      <c r="AO86" s="59">
        <f>H86*0.791824982</f>
        <v>0</v>
      </c>
      <c r="AP86" s="59">
        <f>H86*(1-0.791824982)</f>
        <v>0</v>
      </c>
      <c r="AQ86" s="61" t="s">
        <v>150</v>
      </c>
      <c r="AV86" s="59">
        <f>ROUND(AW86+AX86,2)</f>
        <v>0</v>
      </c>
      <c r="AW86" s="59">
        <f>ROUND(G86*AO86,2)</f>
        <v>0</v>
      </c>
      <c r="AX86" s="59">
        <f>ROUND(G86*AP86,2)</f>
        <v>0</v>
      </c>
      <c r="AY86" s="61" t="s">
        <v>401</v>
      </c>
      <c r="AZ86" s="61" t="s">
        <v>402</v>
      </c>
      <c r="BA86" s="46" t="s">
        <v>352</v>
      </c>
      <c r="BC86" s="59">
        <f>AW86+AX86</f>
        <v>0</v>
      </c>
      <c r="BD86" s="59">
        <f>H86/(100-BE86)*100</f>
        <v>0</v>
      </c>
      <c r="BE86" s="59">
        <v>0</v>
      </c>
      <c r="BF86" s="59">
        <f>L86</f>
        <v>0.261324</v>
      </c>
      <c r="BH86" s="59">
        <f>G86*AO86</f>
        <v>0</v>
      </c>
      <c r="BI86" s="59">
        <f>G86*AP86</f>
        <v>0</v>
      </c>
      <c r="BJ86" s="59">
        <f>G86*H86</f>
        <v>0</v>
      </c>
      <c r="BK86" s="59"/>
      <c r="BL86" s="59">
        <v>777</v>
      </c>
      <c r="BW86" s="59">
        <v>12</v>
      </c>
      <c r="BX86" s="16" t="s">
        <v>400</v>
      </c>
    </row>
    <row r="87" spans="1:76" x14ac:dyDescent="0.25">
      <c r="A87" s="62"/>
      <c r="D87" s="63" t="s">
        <v>403</v>
      </c>
      <c r="E87" s="63"/>
      <c r="G87" s="64">
        <v>24.4</v>
      </c>
      <c r="M87" s="65"/>
    </row>
    <row r="88" spans="1:76" ht="15" customHeight="1" x14ac:dyDescent="0.25">
      <c r="A88" s="54"/>
      <c r="B88" s="55" t="s">
        <v>349</v>
      </c>
      <c r="C88" s="55" t="s">
        <v>225</v>
      </c>
      <c r="D88" s="104" t="s">
        <v>226</v>
      </c>
      <c r="E88" s="104"/>
      <c r="F88" s="56" t="s">
        <v>88</v>
      </c>
      <c r="G88" s="56" t="s">
        <v>88</v>
      </c>
      <c r="H88" s="56" t="s">
        <v>88</v>
      </c>
      <c r="I88" s="39">
        <f>SUM(I89:I101)</f>
        <v>0</v>
      </c>
      <c r="J88" s="46"/>
      <c r="K88" s="46"/>
      <c r="L88" s="39">
        <f>SUM(L89:L101)</f>
        <v>1.7443960000000001E-2</v>
      </c>
      <c r="M88" s="57"/>
      <c r="AI88" s="46" t="s">
        <v>349</v>
      </c>
      <c r="AS88" s="39">
        <f>SUM(AJ89:AJ101)</f>
        <v>0</v>
      </c>
      <c r="AT88" s="39">
        <f>SUM(AK89:AK101)</f>
        <v>0</v>
      </c>
      <c r="AU88" s="39">
        <f>SUM(AL89:AL101)</f>
        <v>0</v>
      </c>
    </row>
    <row r="89" spans="1:76" ht="15" customHeight="1" x14ac:dyDescent="0.25">
      <c r="A89" s="58" t="s">
        <v>279</v>
      </c>
      <c r="B89" s="18" t="s">
        <v>349</v>
      </c>
      <c r="C89" s="18" t="s">
        <v>228</v>
      </c>
      <c r="D89" s="8" t="s">
        <v>229</v>
      </c>
      <c r="E89" s="8"/>
      <c r="F89" s="18" t="s">
        <v>114</v>
      </c>
      <c r="G89" s="59">
        <f>'Stavební rozpočet'!G182</f>
        <v>6.1539999999999999</v>
      </c>
      <c r="H89" s="59">
        <f>'Stavební rozpočet'!H182</f>
        <v>0</v>
      </c>
      <c r="I89" s="59">
        <f>ROUND(G89*H89,2)</f>
        <v>0</v>
      </c>
      <c r="J89" s="59">
        <f>'Stavební rozpočet'!J182</f>
        <v>2.9E-4</v>
      </c>
      <c r="K89" s="59">
        <f>'Stavební rozpočet'!K182</f>
        <v>2.9E-4</v>
      </c>
      <c r="L89" s="59">
        <f>G89*K89</f>
        <v>1.78466E-3</v>
      </c>
      <c r="M89" s="60" t="s">
        <v>115</v>
      </c>
      <c r="Z89" s="59">
        <f>ROUND(IF(AQ89="5",BJ89,0),2)</f>
        <v>0</v>
      </c>
      <c r="AB89" s="59">
        <f>ROUND(IF(AQ89="1",BH89,0),2)</f>
        <v>0</v>
      </c>
      <c r="AC89" s="59">
        <f>ROUND(IF(AQ89="1",BI89,0),2)</f>
        <v>0</v>
      </c>
      <c r="AD89" s="59">
        <f>ROUND(IF(AQ89="7",BH89,0),2)</f>
        <v>0</v>
      </c>
      <c r="AE89" s="59">
        <f>ROUND(IF(AQ89="7",BI89,0),2)</f>
        <v>0</v>
      </c>
      <c r="AF89" s="59">
        <f>ROUND(IF(AQ89="2",BH89,0),2)</f>
        <v>0</v>
      </c>
      <c r="AG89" s="59">
        <f>ROUND(IF(AQ89="2",BI89,0),2)</f>
        <v>0</v>
      </c>
      <c r="AH89" s="59">
        <f>ROUND(IF(AQ89="0",BJ89,0),2)</f>
        <v>0</v>
      </c>
      <c r="AI89" s="46" t="s">
        <v>349</v>
      </c>
      <c r="AJ89" s="59">
        <f>IF(AN89=0,I89,0)</f>
        <v>0</v>
      </c>
      <c r="AK89" s="59">
        <f>IF(AN89=12,I89,0)</f>
        <v>0</v>
      </c>
      <c r="AL89" s="59">
        <f>IF(AN89=21,I89,0)</f>
        <v>0</v>
      </c>
      <c r="AN89" s="59">
        <v>12</v>
      </c>
      <c r="AO89" s="59">
        <f>H89*0.178147182</f>
        <v>0</v>
      </c>
      <c r="AP89" s="59">
        <f>H89*(1-0.178147182)</f>
        <v>0</v>
      </c>
      <c r="AQ89" s="61" t="s">
        <v>150</v>
      </c>
      <c r="AV89" s="59">
        <f>ROUND(AW89+AX89,2)</f>
        <v>0</v>
      </c>
      <c r="AW89" s="59">
        <f>ROUND(G89*AO89,2)</f>
        <v>0</v>
      </c>
      <c r="AX89" s="59">
        <f>ROUND(G89*AP89,2)</f>
        <v>0</v>
      </c>
      <c r="AY89" s="61" t="s">
        <v>230</v>
      </c>
      <c r="AZ89" s="61" t="s">
        <v>404</v>
      </c>
      <c r="BA89" s="46" t="s">
        <v>352</v>
      </c>
      <c r="BC89" s="59">
        <f>AW89+AX89</f>
        <v>0</v>
      </c>
      <c r="BD89" s="59">
        <f>H89/(100-BE89)*100</f>
        <v>0</v>
      </c>
      <c r="BE89" s="59">
        <v>0</v>
      </c>
      <c r="BF89" s="59">
        <f>L89</f>
        <v>1.78466E-3</v>
      </c>
      <c r="BH89" s="59">
        <f>G89*AO89</f>
        <v>0</v>
      </c>
      <c r="BI89" s="59">
        <f>G89*AP89</f>
        <v>0</v>
      </c>
      <c r="BJ89" s="59">
        <f>G89*H89</f>
        <v>0</v>
      </c>
      <c r="BK89" s="59"/>
      <c r="BL89" s="59">
        <v>783</v>
      </c>
      <c r="BW89" s="59">
        <v>12</v>
      </c>
      <c r="BX89" s="16" t="s">
        <v>229</v>
      </c>
    </row>
    <row r="90" spans="1:76" ht="13.5" customHeight="1" x14ac:dyDescent="0.25">
      <c r="A90" s="62"/>
      <c r="D90" s="105" t="s">
        <v>232</v>
      </c>
      <c r="E90" s="105"/>
      <c r="F90" s="105"/>
      <c r="G90" s="105"/>
      <c r="H90" s="105"/>
      <c r="I90" s="105"/>
      <c r="J90" s="105"/>
      <c r="K90" s="105"/>
      <c r="L90" s="105"/>
      <c r="M90" s="105"/>
    </row>
    <row r="91" spans="1:76" x14ac:dyDescent="0.25">
      <c r="A91" s="62"/>
      <c r="D91" s="63" t="s">
        <v>405</v>
      </c>
      <c r="E91" s="63"/>
      <c r="G91" s="64">
        <v>6.1539999999999999</v>
      </c>
      <c r="M91" s="65"/>
    </row>
    <row r="92" spans="1:76" ht="15" customHeight="1" x14ac:dyDescent="0.25">
      <c r="A92" s="58" t="s">
        <v>286</v>
      </c>
      <c r="B92" s="18" t="s">
        <v>349</v>
      </c>
      <c r="C92" s="18" t="s">
        <v>235</v>
      </c>
      <c r="D92" s="8" t="s">
        <v>236</v>
      </c>
      <c r="E92" s="8"/>
      <c r="F92" s="18" t="s">
        <v>114</v>
      </c>
      <c r="G92" s="59">
        <f>'Stavební rozpočet'!G184</f>
        <v>8.75</v>
      </c>
      <c r="H92" s="59">
        <f>'Stavební rozpočet'!H184</f>
        <v>0</v>
      </c>
      <c r="I92" s="59">
        <f>ROUND(G92*H92,2)</f>
        <v>0</v>
      </c>
      <c r="J92" s="59">
        <f>'Stavební rozpočet'!J184</f>
        <v>2.7E-4</v>
      </c>
      <c r="K92" s="59">
        <f>'Stavební rozpočet'!K184</f>
        <v>2.7E-4</v>
      </c>
      <c r="L92" s="59">
        <f>G92*K92</f>
        <v>2.3625E-3</v>
      </c>
      <c r="M92" s="60" t="s">
        <v>115</v>
      </c>
      <c r="Z92" s="59">
        <f>ROUND(IF(AQ92="5",BJ92,0),2)</f>
        <v>0</v>
      </c>
      <c r="AB92" s="59">
        <f>ROUND(IF(AQ92="1",BH92,0),2)</f>
        <v>0</v>
      </c>
      <c r="AC92" s="59">
        <f>ROUND(IF(AQ92="1",BI92,0),2)</f>
        <v>0</v>
      </c>
      <c r="AD92" s="59">
        <f>ROUND(IF(AQ92="7",BH92,0),2)</f>
        <v>0</v>
      </c>
      <c r="AE92" s="59">
        <f>ROUND(IF(AQ92="7",BI92,0),2)</f>
        <v>0</v>
      </c>
      <c r="AF92" s="59">
        <f>ROUND(IF(AQ92="2",BH92,0),2)</f>
        <v>0</v>
      </c>
      <c r="AG92" s="59">
        <f>ROUND(IF(AQ92="2",BI92,0),2)</f>
        <v>0</v>
      </c>
      <c r="AH92" s="59">
        <f>ROUND(IF(AQ92="0",BJ92,0),2)</f>
        <v>0</v>
      </c>
      <c r="AI92" s="46" t="s">
        <v>349</v>
      </c>
      <c r="AJ92" s="59">
        <f>IF(AN92=0,I92,0)</f>
        <v>0</v>
      </c>
      <c r="AK92" s="59">
        <f>IF(AN92=12,I92,0)</f>
        <v>0</v>
      </c>
      <c r="AL92" s="59">
        <f>IF(AN92=21,I92,0)</f>
        <v>0</v>
      </c>
      <c r="AN92" s="59">
        <v>12</v>
      </c>
      <c r="AO92" s="59">
        <f>H92*0.140415743</f>
        <v>0</v>
      </c>
      <c r="AP92" s="59">
        <f>H92*(1-0.140415743)</f>
        <v>0</v>
      </c>
      <c r="AQ92" s="61" t="s">
        <v>150</v>
      </c>
      <c r="AV92" s="59">
        <f>ROUND(AW92+AX92,2)</f>
        <v>0</v>
      </c>
      <c r="AW92" s="59">
        <f>ROUND(G92*AO92,2)</f>
        <v>0</v>
      </c>
      <c r="AX92" s="59">
        <f>ROUND(G92*AP92,2)</f>
        <v>0</v>
      </c>
      <c r="AY92" s="61" t="s">
        <v>230</v>
      </c>
      <c r="AZ92" s="61" t="s">
        <v>404</v>
      </c>
      <c r="BA92" s="46" t="s">
        <v>352</v>
      </c>
      <c r="BC92" s="59">
        <f>AW92+AX92</f>
        <v>0</v>
      </c>
      <c r="BD92" s="59">
        <f>H92/(100-BE92)*100</f>
        <v>0</v>
      </c>
      <c r="BE92" s="59">
        <v>0</v>
      </c>
      <c r="BF92" s="59">
        <f>L92</f>
        <v>2.3625E-3</v>
      </c>
      <c r="BH92" s="59">
        <f>G92*AO92</f>
        <v>0</v>
      </c>
      <c r="BI92" s="59">
        <f>G92*AP92</f>
        <v>0</v>
      </c>
      <c r="BJ92" s="59">
        <f>G92*H92</f>
        <v>0</v>
      </c>
      <c r="BK92" s="59"/>
      <c r="BL92" s="59">
        <v>783</v>
      </c>
      <c r="BW92" s="59">
        <v>12</v>
      </c>
      <c r="BX92" s="16" t="s">
        <v>236</v>
      </c>
    </row>
    <row r="93" spans="1:76" ht="13.5" customHeight="1" x14ac:dyDescent="0.25">
      <c r="A93" s="62"/>
      <c r="D93" s="105" t="s">
        <v>237</v>
      </c>
      <c r="E93" s="105"/>
      <c r="F93" s="105"/>
      <c r="G93" s="105"/>
      <c r="H93" s="105"/>
      <c r="I93" s="105"/>
      <c r="J93" s="105"/>
      <c r="K93" s="105"/>
      <c r="L93" s="105"/>
      <c r="M93" s="105"/>
    </row>
    <row r="94" spans="1:76" x14ac:dyDescent="0.25">
      <c r="A94" s="62"/>
      <c r="D94" s="63" t="s">
        <v>406</v>
      </c>
      <c r="E94" s="63"/>
      <c r="G94" s="64">
        <v>8.75</v>
      </c>
      <c r="M94" s="65"/>
    </row>
    <row r="95" spans="1:76" ht="15" customHeight="1" x14ac:dyDescent="0.25">
      <c r="A95" s="58" t="s">
        <v>292</v>
      </c>
      <c r="B95" s="18" t="s">
        <v>349</v>
      </c>
      <c r="C95" s="18" t="s">
        <v>407</v>
      </c>
      <c r="D95" s="8" t="s">
        <v>408</v>
      </c>
      <c r="E95" s="8"/>
      <c r="F95" s="18" t="s">
        <v>114</v>
      </c>
      <c r="G95" s="59">
        <f>'Stavební rozpočet'!G186</f>
        <v>30.22</v>
      </c>
      <c r="H95" s="59">
        <f>'Stavební rozpočet'!H186</f>
        <v>0</v>
      </c>
      <c r="I95" s="59">
        <f>ROUND(G95*H95,2)</f>
        <v>0</v>
      </c>
      <c r="J95" s="59">
        <f>'Stavební rozpočet'!J186</f>
        <v>3.6000000000000002E-4</v>
      </c>
      <c r="K95" s="59">
        <f>'Stavební rozpočet'!K186</f>
        <v>3.6000000000000002E-4</v>
      </c>
      <c r="L95" s="59">
        <f>G95*K95</f>
        <v>1.08792E-2</v>
      </c>
      <c r="M95" s="60" t="s">
        <v>115</v>
      </c>
      <c r="Z95" s="59">
        <f>ROUND(IF(AQ95="5",BJ95,0),2)</f>
        <v>0</v>
      </c>
      <c r="AB95" s="59">
        <f>ROUND(IF(AQ95="1",BH95,0),2)</f>
        <v>0</v>
      </c>
      <c r="AC95" s="59">
        <f>ROUND(IF(AQ95="1",BI95,0),2)</f>
        <v>0</v>
      </c>
      <c r="AD95" s="59">
        <f>ROUND(IF(AQ95="7",BH95,0),2)</f>
        <v>0</v>
      </c>
      <c r="AE95" s="59">
        <f>ROUND(IF(AQ95="7",BI95,0),2)</f>
        <v>0</v>
      </c>
      <c r="AF95" s="59">
        <f>ROUND(IF(AQ95="2",BH95,0),2)</f>
        <v>0</v>
      </c>
      <c r="AG95" s="59">
        <f>ROUND(IF(AQ95="2",BI95,0),2)</f>
        <v>0</v>
      </c>
      <c r="AH95" s="59">
        <f>ROUND(IF(AQ95="0",BJ95,0),2)</f>
        <v>0</v>
      </c>
      <c r="AI95" s="46" t="s">
        <v>349</v>
      </c>
      <c r="AJ95" s="59">
        <f>IF(AN95=0,I95,0)</f>
        <v>0</v>
      </c>
      <c r="AK95" s="59">
        <f>IF(AN95=12,I95,0)</f>
        <v>0</v>
      </c>
      <c r="AL95" s="59">
        <f>IF(AN95=21,I95,0)</f>
        <v>0</v>
      </c>
      <c r="AN95" s="59">
        <v>12</v>
      </c>
      <c r="AO95" s="59">
        <f>H95*0.23711537</f>
        <v>0</v>
      </c>
      <c r="AP95" s="59">
        <f>H95*(1-0.23711537)</f>
        <v>0</v>
      </c>
      <c r="AQ95" s="61" t="s">
        <v>150</v>
      </c>
      <c r="AV95" s="59">
        <f>ROUND(AW95+AX95,2)</f>
        <v>0</v>
      </c>
      <c r="AW95" s="59">
        <f>ROUND(G95*AO95,2)</f>
        <v>0</v>
      </c>
      <c r="AX95" s="59">
        <f>ROUND(G95*AP95,2)</f>
        <v>0</v>
      </c>
      <c r="AY95" s="61" t="s">
        <v>230</v>
      </c>
      <c r="AZ95" s="61" t="s">
        <v>404</v>
      </c>
      <c r="BA95" s="46" t="s">
        <v>352</v>
      </c>
      <c r="BC95" s="59">
        <f>AW95+AX95</f>
        <v>0</v>
      </c>
      <c r="BD95" s="59">
        <f>H95/(100-BE95)*100</f>
        <v>0</v>
      </c>
      <c r="BE95" s="59">
        <v>0</v>
      </c>
      <c r="BF95" s="59">
        <f>L95</f>
        <v>1.08792E-2</v>
      </c>
      <c r="BH95" s="59">
        <f>G95*AO95</f>
        <v>0</v>
      </c>
      <c r="BI95" s="59">
        <f>G95*AP95</f>
        <v>0</v>
      </c>
      <c r="BJ95" s="59">
        <f>G95*H95</f>
        <v>0</v>
      </c>
      <c r="BK95" s="59"/>
      <c r="BL95" s="59">
        <v>783</v>
      </c>
      <c r="BW95" s="59">
        <v>12</v>
      </c>
      <c r="BX95" s="16" t="s">
        <v>408</v>
      </c>
    </row>
    <row r="96" spans="1:76" ht="13.5" customHeight="1" x14ac:dyDescent="0.25">
      <c r="A96" s="62"/>
      <c r="D96" s="105" t="s">
        <v>409</v>
      </c>
      <c r="E96" s="105"/>
      <c r="F96" s="105"/>
      <c r="G96" s="105"/>
      <c r="H96" s="105"/>
      <c r="I96" s="105"/>
      <c r="J96" s="105"/>
      <c r="K96" s="105"/>
      <c r="L96" s="105"/>
      <c r="M96" s="105"/>
    </row>
    <row r="97" spans="1:76" x14ac:dyDescent="0.25">
      <c r="A97" s="62"/>
      <c r="D97" s="63" t="s">
        <v>410</v>
      </c>
      <c r="E97" s="63"/>
      <c r="G97" s="64">
        <v>30.22</v>
      </c>
      <c r="M97" s="65"/>
    </row>
    <row r="98" spans="1:76" ht="15" customHeight="1" x14ac:dyDescent="0.25">
      <c r="A98" s="58" t="s">
        <v>296</v>
      </c>
      <c r="B98" s="18" t="s">
        <v>349</v>
      </c>
      <c r="C98" s="18" t="s">
        <v>411</v>
      </c>
      <c r="D98" s="8" t="s">
        <v>412</v>
      </c>
      <c r="E98" s="8"/>
      <c r="F98" s="18" t="s">
        <v>114</v>
      </c>
      <c r="G98" s="59">
        <f>'Stavební rozpočet'!G188</f>
        <v>30.22</v>
      </c>
      <c r="H98" s="59">
        <f>'Stavební rozpočet'!H188</f>
        <v>0</v>
      </c>
      <c r="I98" s="59">
        <f>ROUND(G98*H98,2)</f>
        <v>0</v>
      </c>
      <c r="J98" s="59">
        <f>'Stavební rozpočet'!J188</f>
        <v>1.0000000000000001E-5</v>
      </c>
      <c r="K98" s="59">
        <f>'Stavební rozpočet'!K188</f>
        <v>1.0000000000000001E-5</v>
      </c>
      <c r="L98" s="59">
        <f>G98*K98</f>
        <v>3.0220000000000003E-4</v>
      </c>
      <c r="M98" s="60" t="s">
        <v>115</v>
      </c>
      <c r="Z98" s="59">
        <f>ROUND(IF(AQ98="5",BJ98,0),2)</f>
        <v>0</v>
      </c>
      <c r="AB98" s="59">
        <f>ROUND(IF(AQ98="1",BH98,0),2)</f>
        <v>0</v>
      </c>
      <c r="AC98" s="59">
        <f>ROUND(IF(AQ98="1",BI98,0),2)</f>
        <v>0</v>
      </c>
      <c r="AD98" s="59">
        <f>ROUND(IF(AQ98="7",BH98,0),2)</f>
        <v>0</v>
      </c>
      <c r="AE98" s="59">
        <f>ROUND(IF(AQ98="7",BI98,0),2)</f>
        <v>0</v>
      </c>
      <c r="AF98" s="59">
        <f>ROUND(IF(AQ98="2",BH98,0),2)</f>
        <v>0</v>
      </c>
      <c r="AG98" s="59">
        <f>ROUND(IF(AQ98="2",BI98,0),2)</f>
        <v>0</v>
      </c>
      <c r="AH98" s="59">
        <f>ROUND(IF(AQ98="0",BJ98,0),2)</f>
        <v>0</v>
      </c>
      <c r="AI98" s="46" t="s">
        <v>349</v>
      </c>
      <c r="AJ98" s="59">
        <f>IF(AN98=0,I98,0)</f>
        <v>0</v>
      </c>
      <c r="AK98" s="59">
        <f>IF(AN98=12,I98,0)</f>
        <v>0</v>
      </c>
      <c r="AL98" s="59">
        <f>IF(AN98=21,I98,0)</f>
        <v>0</v>
      </c>
      <c r="AN98" s="59">
        <v>12</v>
      </c>
      <c r="AO98" s="59">
        <f>H98*0.06128009</f>
        <v>0</v>
      </c>
      <c r="AP98" s="59">
        <f>H98*(1-0.06128009)</f>
        <v>0</v>
      </c>
      <c r="AQ98" s="61" t="s">
        <v>150</v>
      </c>
      <c r="AV98" s="59">
        <f>ROUND(AW98+AX98,2)</f>
        <v>0</v>
      </c>
      <c r="AW98" s="59">
        <f>ROUND(G98*AO98,2)</f>
        <v>0</v>
      </c>
      <c r="AX98" s="59">
        <f>ROUND(G98*AP98,2)</f>
        <v>0</v>
      </c>
      <c r="AY98" s="61" t="s">
        <v>230</v>
      </c>
      <c r="AZ98" s="61" t="s">
        <v>404</v>
      </c>
      <c r="BA98" s="46" t="s">
        <v>352</v>
      </c>
      <c r="BC98" s="59">
        <f>AW98+AX98</f>
        <v>0</v>
      </c>
      <c r="BD98" s="59">
        <f>H98/(100-BE98)*100</f>
        <v>0</v>
      </c>
      <c r="BE98" s="59">
        <v>0</v>
      </c>
      <c r="BF98" s="59">
        <f>L98</f>
        <v>3.0220000000000003E-4</v>
      </c>
      <c r="BH98" s="59">
        <f>G98*AO98</f>
        <v>0</v>
      </c>
      <c r="BI98" s="59">
        <f>G98*AP98</f>
        <v>0</v>
      </c>
      <c r="BJ98" s="59">
        <f>G98*H98</f>
        <v>0</v>
      </c>
      <c r="BK98" s="59"/>
      <c r="BL98" s="59">
        <v>783</v>
      </c>
      <c r="BW98" s="59">
        <v>12</v>
      </c>
      <c r="BX98" s="16" t="s">
        <v>412</v>
      </c>
    </row>
    <row r="99" spans="1:76" ht="13.5" customHeight="1" x14ac:dyDescent="0.25">
      <c r="A99" s="62"/>
      <c r="D99" s="105" t="s">
        <v>413</v>
      </c>
      <c r="E99" s="105"/>
      <c r="F99" s="105"/>
      <c r="G99" s="105"/>
      <c r="H99" s="105"/>
      <c r="I99" s="105"/>
      <c r="J99" s="105"/>
      <c r="K99" s="105"/>
      <c r="L99" s="105"/>
      <c r="M99" s="105"/>
    </row>
    <row r="100" spans="1:76" x14ac:dyDescent="0.25">
      <c r="A100" s="62"/>
      <c r="D100" s="63" t="s">
        <v>410</v>
      </c>
      <c r="E100" s="63"/>
      <c r="G100" s="64">
        <v>30.22</v>
      </c>
      <c r="M100" s="65"/>
    </row>
    <row r="101" spans="1:76" ht="15" customHeight="1" x14ac:dyDescent="0.25">
      <c r="A101" s="58" t="s">
        <v>301</v>
      </c>
      <c r="B101" s="18" t="s">
        <v>349</v>
      </c>
      <c r="C101" s="18" t="s">
        <v>414</v>
      </c>
      <c r="D101" s="8" t="s">
        <v>412</v>
      </c>
      <c r="E101" s="8"/>
      <c r="F101" s="18" t="s">
        <v>114</v>
      </c>
      <c r="G101" s="59">
        <f>'Stavební rozpočet'!G190</f>
        <v>30.22</v>
      </c>
      <c r="H101" s="59">
        <f>'Stavební rozpočet'!H190</f>
        <v>0</v>
      </c>
      <c r="I101" s="59">
        <f>ROUND(G101*H101,2)</f>
        <v>0</v>
      </c>
      <c r="J101" s="59">
        <f>'Stavební rozpočet'!J190</f>
        <v>6.9999999999999994E-5</v>
      </c>
      <c r="K101" s="59">
        <f>'Stavební rozpočet'!K190</f>
        <v>6.9999999999999994E-5</v>
      </c>
      <c r="L101" s="59">
        <f>G101*K101</f>
        <v>2.1153999999999999E-3</v>
      </c>
      <c r="M101" s="60" t="s">
        <v>115</v>
      </c>
      <c r="Z101" s="59">
        <f>ROUND(IF(AQ101="5",BJ101,0),2)</f>
        <v>0</v>
      </c>
      <c r="AB101" s="59">
        <f>ROUND(IF(AQ101="1",BH101,0),2)</f>
        <v>0</v>
      </c>
      <c r="AC101" s="59">
        <f>ROUND(IF(AQ101="1",BI101,0),2)</f>
        <v>0</v>
      </c>
      <c r="AD101" s="59">
        <f>ROUND(IF(AQ101="7",BH101,0),2)</f>
        <v>0</v>
      </c>
      <c r="AE101" s="59">
        <f>ROUND(IF(AQ101="7",BI101,0),2)</f>
        <v>0</v>
      </c>
      <c r="AF101" s="59">
        <f>ROUND(IF(AQ101="2",BH101,0),2)</f>
        <v>0</v>
      </c>
      <c r="AG101" s="59">
        <f>ROUND(IF(AQ101="2",BI101,0),2)</f>
        <v>0</v>
      </c>
      <c r="AH101" s="59">
        <f>ROUND(IF(AQ101="0",BJ101,0),2)</f>
        <v>0</v>
      </c>
      <c r="AI101" s="46" t="s">
        <v>349</v>
      </c>
      <c r="AJ101" s="59">
        <f>IF(AN101=0,I101,0)</f>
        <v>0</v>
      </c>
      <c r="AK101" s="59">
        <f>IF(AN101=12,I101,0)</f>
        <v>0</v>
      </c>
      <c r="AL101" s="59">
        <f>IF(AN101=21,I101,0)</f>
        <v>0</v>
      </c>
      <c r="AN101" s="59">
        <v>12</v>
      </c>
      <c r="AO101" s="59">
        <f>H101*0.091915035</f>
        <v>0</v>
      </c>
      <c r="AP101" s="59">
        <f>H101*(1-0.091915035)</f>
        <v>0</v>
      </c>
      <c r="AQ101" s="61" t="s">
        <v>150</v>
      </c>
      <c r="AV101" s="59">
        <f>ROUND(AW101+AX101,2)</f>
        <v>0</v>
      </c>
      <c r="AW101" s="59">
        <f>ROUND(G101*AO101,2)</f>
        <v>0</v>
      </c>
      <c r="AX101" s="59">
        <f>ROUND(G101*AP101,2)</f>
        <v>0</v>
      </c>
      <c r="AY101" s="61" t="s">
        <v>230</v>
      </c>
      <c r="AZ101" s="61" t="s">
        <v>404</v>
      </c>
      <c r="BA101" s="46" t="s">
        <v>352</v>
      </c>
      <c r="BC101" s="59">
        <f>AW101+AX101</f>
        <v>0</v>
      </c>
      <c r="BD101" s="59">
        <f>H101/(100-BE101)*100</f>
        <v>0</v>
      </c>
      <c r="BE101" s="59">
        <v>0</v>
      </c>
      <c r="BF101" s="59">
        <f>L101</f>
        <v>2.1153999999999999E-3</v>
      </c>
      <c r="BH101" s="59">
        <f>G101*AO101</f>
        <v>0</v>
      </c>
      <c r="BI101" s="59">
        <f>G101*AP101</f>
        <v>0</v>
      </c>
      <c r="BJ101" s="59">
        <f>G101*H101</f>
        <v>0</v>
      </c>
      <c r="BK101" s="59"/>
      <c r="BL101" s="59">
        <v>783</v>
      </c>
      <c r="BW101" s="59">
        <v>12</v>
      </c>
      <c r="BX101" s="16" t="s">
        <v>412</v>
      </c>
    </row>
    <row r="102" spans="1:76" ht="13.5" customHeight="1" x14ac:dyDescent="0.25">
      <c r="A102" s="62"/>
      <c r="D102" s="105" t="s">
        <v>415</v>
      </c>
      <c r="E102" s="105"/>
      <c r="F102" s="105"/>
      <c r="G102" s="105"/>
      <c r="H102" s="105"/>
      <c r="I102" s="105"/>
      <c r="J102" s="105"/>
      <c r="K102" s="105"/>
      <c r="L102" s="105"/>
      <c r="M102" s="105"/>
    </row>
    <row r="103" spans="1:76" x14ac:dyDescent="0.25">
      <c r="A103" s="62"/>
      <c r="D103" s="63" t="s">
        <v>410</v>
      </c>
      <c r="E103" s="63"/>
      <c r="G103" s="64">
        <v>30.22</v>
      </c>
      <c r="M103" s="65"/>
    </row>
    <row r="104" spans="1:76" ht="15" customHeight="1" x14ac:dyDescent="0.25">
      <c r="A104" s="54"/>
      <c r="B104" s="55" t="s">
        <v>349</v>
      </c>
      <c r="C104" s="55" t="s">
        <v>239</v>
      </c>
      <c r="D104" s="104" t="s">
        <v>240</v>
      </c>
      <c r="E104" s="104"/>
      <c r="F104" s="56" t="s">
        <v>88</v>
      </c>
      <c r="G104" s="56" t="s">
        <v>88</v>
      </c>
      <c r="H104" s="56" t="s">
        <v>88</v>
      </c>
      <c r="I104" s="39">
        <f>SUM(I105:I111)</f>
        <v>0</v>
      </c>
      <c r="J104" s="46"/>
      <c r="K104" s="46"/>
      <c r="L104" s="39">
        <f>SUM(L105:L111)</f>
        <v>0.11506860000000001</v>
      </c>
      <c r="M104" s="57"/>
      <c r="AI104" s="46" t="s">
        <v>349</v>
      </c>
      <c r="AS104" s="39">
        <f>SUM(AJ105:AJ111)</f>
        <v>0</v>
      </c>
      <c r="AT104" s="39">
        <f>SUM(AK105:AK111)</f>
        <v>0</v>
      </c>
      <c r="AU104" s="39">
        <f>SUM(AL105:AL111)</f>
        <v>0</v>
      </c>
    </row>
    <row r="105" spans="1:76" ht="15" customHeight="1" x14ac:dyDescent="0.25">
      <c r="A105" s="58" t="s">
        <v>305</v>
      </c>
      <c r="B105" s="18" t="s">
        <v>349</v>
      </c>
      <c r="C105" s="18" t="s">
        <v>242</v>
      </c>
      <c r="D105" s="8" t="s">
        <v>243</v>
      </c>
      <c r="E105" s="8"/>
      <c r="F105" s="18" t="s">
        <v>114</v>
      </c>
      <c r="G105" s="59">
        <f>'Stavební rozpočet'!G193</f>
        <v>256.68</v>
      </c>
      <c r="H105" s="59">
        <f>'Stavební rozpočet'!H193</f>
        <v>0</v>
      </c>
      <c r="I105" s="59">
        <f>ROUND(G105*H105,2)</f>
        <v>0</v>
      </c>
      <c r="J105" s="59">
        <f>'Stavební rozpočet'!J193</f>
        <v>3.5E-4</v>
      </c>
      <c r="K105" s="59">
        <f>'Stavební rozpočet'!K193</f>
        <v>3.5E-4</v>
      </c>
      <c r="L105" s="59">
        <f>G105*K105</f>
        <v>8.9838000000000001E-2</v>
      </c>
      <c r="M105" s="60" t="s">
        <v>115</v>
      </c>
      <c r="Z105" s="59">
        <f>ROUND(IF(AQ105="5",BJ105,0),2)</f>
        <v>0</v>
      </c>
      <c r="AB105" s="59">
        <f>ROUND(IF(AQ105="1",BH105,0),2)</f>
        <v>0</v>
      </c>
      <c r="AC105" s="59">
        <f>ROUND(IF(AQ105="1",BI105,0),2)</f>
        <v>0</v>
      </c>
      <c r="AD105" s="59">
        <f>ROUND(IF(AQ105="7",BH105,0),2)</f>
        <v>0</v>
      </c>
      <c r="AE105" s="59">
        <f>ROUND(IF(AQ105="7",BI105,0),2)</f>
        <v>0</v>
      </c>
      <c r="AF105" s="59">
        <f>ROUND(IF(AQ105="2",BH105,0),2)</f>
        <v>0</v>
      </c>
      <c r="AG105" s="59">
        <f>ROUND(IF(AQ105="2",BI105,0),2)</f>
        <v>0</v>
      </c>
      <c r="AH105" s="59">
        <f>ROUND(IF(AQ105="0",BJ105,0),2)</f>
        <v>0</v>
      </c>
      <c r="AI105" s="46" t="s">
        <v>349</v>
      </c>
      <c r="AJ105" s="59">
        <f>IF(AN105=0,I105,0)</f>
        <v>0</v>
      </c>
      <c r="AK105" s="59">
        <f>IF(AN105=12,I105,0)</f>
        <v>0</v>
      </c>
      <c r="AL105" s="59">
        <f>IF(AN105=21,I105,0)</f>
        <v>0</v>
      </c>
      <c r="AN105" s="59">
        <v>12</v>
      </c>
      <c r="AO105" s="59">
        <f>H105*0.577223798</f>
        <v>0</v>
      </c>
      <c r="AP105" s="59">
        <f>H105*(1-0.577223798)</f>
        <v>0</v>
      </c>
      <c r="AQ105" s="61" t="s">
        <v>150</v>
      </c>
      <c r="AV105" s="59">
        <f>ROUND(AW105+AX105,2)</f>
        <v>0</v>
      </c>
      <c r="AW105" s="59">
        <f>ROUND(G105*AO105,2)</f>
        <v>0</v>
      </c>
      <c r="AX105" s="59">
        <f>ROUND(G105*AP105,2)</f>
        <v>0</v>
      </c>
      <c r="AY105" s="61" t="s">
        <v>244</v>
      </c>
      <c r="AZ105" s="61" t="s">
        <v>404</v>
      </c>
      <c r="BA105" s="46" t="s">
        <v>352</v>
      </c>
      <c r="BC105" s="59">
        <f>AW105+AX105</f>
        <v>0</v>
      </c>
      <c r="BD105" s="59">
        <f>H105/(100-BE105)*100</f>
        <v>0</v>
      </c>
      <c r="BE105" s="59">
        <v>0</v>
      </c>
      <c r="BF105" s="59">
        <f>L105</f>
        <v>8.9838000000000001E-2</v>
      </c>
      <c r="BH105" s="59">
        <f>G105*AO105</f>
        <v>0</v>
      </c>
      <c r="BI105" s="59">
        <f>G105*AP105</f>
        <v>0</v>
      </c>
      <c r="BJ105" s="59">
        <f>G105*H105</f>
        <v>0</v>
      </c>
      <c r="BK105" s="59"/>
      <c r="BL105" s="59">
        <v>784</v>
      </c>
      <c r="BW105" s="59">
        <v>12</v>
      </c>
      <c r="BX105" s="16" t="s">
        <v>243</v>
      </c>
    </row>
    <row r="106" spans="1:76" ht="13.5" customHeight="1" x14ac:dyDescent="0.25">
      <c r="A106" s="62"/>
      <c r="D106" s="105" t="s">
        <v>245</v>
      </c>
      <c r="E106" s="105"/>
      <c r="F106" s="105"/>
      <c r="G106" s="105"/>
      <c r="H106" s="105"/>
      <c r="I106" s="105"/>
      <c r="J106" s="105"/>
      <c r="K106" s="105"/>
      <c r="L106" s="105"/>
      <c r="M106" s="105"/>
    </row>
    <row r="107" spans="1:76" x14ac:dyDescent="0.25">
      <c r="A107" s="62"/>
      <c r="D107" s="63" t="s">
        <v>416</v>
      </c>
      <c r="E107" s="63"/>
      <c r="G107" s="64">
        <v>256.68</v>
      </c>
      <c r="M107" s="65"/>
    </row>
    <row r="108" spans="1:76" ht="15" customHeight="1" x14ac:dyDescent="0.25">
      <c r="A108" s="58" t="s">
        <v>308</v>
      </c>
      <c r="B108" s="18" t="s">
        <v>349</v>
      </c>
      <c r="C108" s="18" t="s">
        <v>249</v>
      </c>
      <c r="D108" s="8" t="s">
        <v>250</v>
      </c>
      <c r="E108" s="8"/>
      <c r="F108" s="18" t="s">
        <v>114</v>
      </c>
      <c r="G108" s="59">
        <f>'Stavební rozpočet'!G195</f>
        <v>26.1</v>
      </c>
      <c r="H108" s="59">
        <f>'Stavební rozpočet'!H195</f>
        <v>0</v>
      </c>
      <c r="I108" s="59">
        <f>ROUND(G108*H108,2)</f>
        <v>0</v>
      </c>
      <c r="J108" s="59">
        <f>'Stavební rozpočet'!J195</f>
        <v>7.6999999999999996E-4</v>
      </c>
      <c r="K108" s="59">
        <f>'Stavební rozpočet'!K195</f>
        <v>7.6999999999999996E-4</v>
      </c>
      <c r="L108" s="59">
        <f>G108*K108</f>
        <v>2.0097E-2</v>
      </c>
      <c r="M108" s="60" t="s">
        <v>115</v>
      </c>
      <c r="Z108" s="59">
        <f>ROUND(IF(AQ108="5",BJ108,0),2)</f>
        <v>0</v>
      </c>
      <c r="AB108" s="59">
        <f>ROUND(IF(AQ108="1",BH108,0),2)</f>
        <v>0</v>
      </c>
      <c r="AC108" s="59">
        <f>ROUND(IF(AQ108="1",BI108,0),2)</f>
        <v>0</v>
      </c>
      <c r="AD108" s="59">
        <f>ROUND(IF(AQ108="7",BH108,0),2)</f>
        <v>0</v>
      </c>
      <c r="AE108" s="59">
        <f>ROUND(IF(AQ108="7",BI108,0),2)</f>
        <v>0</v>
      </c>
      <c r="AF108" s="59">
        <f>ROUND(IF(AQ108="2",BH108,0),2)</f>
        <v>0</v>
      </c>
      <c r="AG108" s="59">
        <f>ROUND(IF(AQ108="2",BI108,0),2)</f>
        <v>0</v>
      </c>
      <c r="AH108" s="59">
        <f>ROUND(IF(AQ108="0",BJ108,0),2)</f>
        <v>0</v>
      </c>
      <c r="AI108" s="46" t="s">
        <v>349</v>
      </c>
      <c r="AJ108" s="59">
        <f>IF(AN108=0,I108,0)</f>
        <v>0</v>
      </c>
      <c r="AK108" s="59">
        <f>IF(AN108=12,I108,0)</f>
        <v>0</v>
      </c>
      <c r="AL108" s="59">
        <f>IF(AN108=21,I108,0)</f>
        <v>0</v>
      </c>
      <c r="AN108" s="59">
        <v>12</v>
      </c>
      <c r="AO108" s="59">
        <f>H108*0.248890105</f>
        <v>0</v>
      </c>
      <c r="AP108" s="59">
        <f>H108*(1-0.248890105)</f>
        <v>0</v>
      </c>
      <c r="AQ108" s="61" t="s">
        <v>150</v>
      </c>
      <c r="AV108" s="59">
        <f>ROUND(AW108+AX108,2)</f>
        <v>0</v>
      </c>
      <c r="AW108" s="59">
        <f>ROUND(G108*AO108,2)</f>
        <v>0</v>
      </c>
      <c r="AX108" s="59">
        <f>ROUND(G108*AP108,2)</f>
        <v>0</v>
      </c>
      <c r="AY108" s="61" t="s">
        <v>244</v>
      </c>
      <c r="AZ108" s="61" t="s">
        <v>404</v>
      </c>
      <c r="BA108" s="46" t="s">
        <v>352</v>
      </c>
      <c r="BC108" s="59">
        <f>AW108+AX108</f>
        <v>0</v>
      </c>
      <c r="BD108" s="59">
        <f>H108/(100-BE108)*100</f>
        <v>0</v>
      </c>
      <c r="BE108" s="59">
        <v>0</v>
      </c>
      <c r="BF108" s="59">
        <f>L108</f>
        <v>2.0097E-2</v>
      </c>
      <c r="BH108" s="59">
        <f>G108*AO108</f>
        <v>0</v>
      </c>
      <c r="BI108" s="59">
        <f>G108*AP108</f>
        <v>0</v>
      </c>
      <c r="BJ108" s="59">
        <f>G108*H108</f>
        <v>0</v>
      </c>
      <c r="BK108" s="59"/>
      <c r="BL108" s="59">
        <v>784</v>
      </c>
      <c r="BW108" s="59">
        <v>12</v>
      </c>
      <c r="BX108" s="16" t="s">
        <v>250</v>
      </c>
    </row>
    <row r="109" spans="1:76" ht="13.5" customHeight="1" x14ac:dyDescent="0.25">
      <c r="A109" s="62"/>
      <c r="D109" s="105" t="s">
        <v>251</v>
      </c>
      <c r="E109" s="105"/>
      <c r="F109" s="105"/>
      <c r="G109" s="105"/>
      <c r="H109" s="105"/>
      <c r="I109" s="105"/>
      <c r="J109" s="105"/>
      <c r="K109" s="105"/>
      <c r="L109" s="105"/>
      <c r="M109" s="105"/>
    </row>
    <row r="110" spans="1:76" x14ac:dyDescent="0.25">
      <c r="A110" s="62"/>
      <c r="D110" s="63" t="s">
        <v>417</v>
      </c>
      <c r="E110" s="63"/>
      <c r="G110" s="64">
        <v>26.1</v>
      </c>
      <c r="M110" s="65"/>
    </row>
    <row r="111" spans="1:76" ht="15" customHeight="1" x14ac:dyDescent="0.25">
      <c r="A111" s="58" t="s">
        <v>314</v>
      </c>
      <c r="B111" s="18" t="s">
        <v>349</v>
      </c>
      <c r="C111" s="18" t="s">
        <v>254</v>
      </c>
      <c r="D111" s="8" t="s">
        <v>255</v>
      </c>
      <c r="E111" s="8"/>
      <c r="F111" s="18" t="s">
        <v>114</v>
      </c>
      <c r="G111" s="59">
        <f>'Stavební rozpočet'!G197</f>
        <v>513.36</v>
      </c>
      <c r="H111" s="59">
        <f>'Stavební rozpočet'!H197</f>
        <v>0</v>
      </c>
      <c r="I111" s="59">
        <f>ROUND(G111*H111,2)</f>
        <v>0</v>
      </c>
      <c r="J111" s="59">
        <f>'Stavební rozpočet'!J197</f>
        <v>1.0000000000000001E-5</v>
      </c>
      <c r="K111" s="59">
        <f>'Stavební rozpočet'!K197</f>
        <v>1.0000000000000001E-5</v>
      </c>
      <c r="L111" s="59">
        <f>G111*K111</f>
        <v>5.1336000000000003E-3</v>
      </c>
      <c r="M111" s="60" t="s">
        <v>115</v>
      </c>
      <c r="Z111" s="59">
        <f>ROUND(IF(AQ111="5",BJ111,0),2)</f>
        <v>0</v>
      </c>
      <c r="AB111" s="59">
        <f>ROUND(IF(AQ111="1",BH111,0),2)</f>
        <v>0</v>
      </c>
      <c r="AC111" s="59">
        <f>ROUND(IF(AQ111="1",BI111,0),2)</f>
        <v>0</v>
      </c>
      <c r="AD111" s="59">
        <f>ROUND(IF(AQ111="7",BH111,0),2)</f>
        <v>0</v>
      </c>
      <c r="AE111" s="59">
        <f>ROUND(IF(AQ111="7",BI111,0),2)</f>
        <v>0</v>
      </c>
      <c r="AF111" s="59">
        <f>ROUND(IF(AQ111="2",BH111,0),2)</f>
        <v>0</v>
      </c>
      <c r="AG111" s="59">
        <f>ROUND(IF(AQ111="2",BI111,0),2)</f>
        <v>0</v>
      </c>
      <c r="AH111" s="59">
        <f>ROUND(IF(AQ111="0",BJ111,0),2)</f>
        <v>0</v>
      </c>
      <c r="AI111" s="46" t="s">
        <v>349</v>
      </c>
      <c r="AJ111" s="59">
        <f>IF(AN111=0,I111,0)</f>
        <v>0</v>
      </c>
      <c r="AK111" s="59">
        <f>IF(AN111=12,I111,0)</f>
        <v>0</v>
      </c>
      <c r="AL111" s="59">
        <f>IF(AN111=21,I111,0)</f>
        <v>0</v>
      </c>
      <c r="AN111" s="59">
        <v>12</v>
      </c>
      <c r="AO111" s="59">
        <f>H111*0.236832231</f>
        <v>0</v>
      </c>
      <c r="AP111" s="59">
        <f>H111*(1-0.236832231)</f>
        <v>0</v>
      </c>
      <c r="AQ111" s="61" t="s">
        <v>150</v>
      </c>
      <c r="AV111" s="59">
        <f>ROUND(AW111+AX111,2)</f>
        <v>0</v>
      </c>
      <c r="AW111" s="59">
        <f>ROUND(G111*AO111,2)</f>
        <v>0</v>
      </c>
      <c r="AX111" s="59">
        <f>ROUND(G111*AP111,2)</f>
        <v>0</v>
      </c>
      <c r="AY111" s="61" t="s">
        <v>244</v>
      </c>
      <c r="AZ111" s="61" t="s">
        <v>404</v>
      </c>
      <c r="BA111" s="46" t="s">
        <v>352</v>
      </c>
      <c r="BC111" s="59">
        <f>AW111+AX111</f>
        <v>0</v>
      </c>
      <c r="BD111" s="59">
        <f>H111/(100-BE111)*100</f>
        <v>0</v>
      </c>
      <c r="BE111" s="59">
        <v>0</v>
      </c>
      <c r="BF111" s="59">
        <f>L111</f>
        <v>5.1336000000000003E-3</v>
      </c>
      <c r="BH111" s="59">
        <f>G111*AO111</f>
        <v>0</v>
      </c>
      <c r="BI111" s="59">
        <f>G111*AP111</f>
        <v>0</v>
      </c>
      <c r="BJ111" s="59">
        <f>G111*H111</f>
        <v>0</v>
      </c>
      <c r="BK111" s="59"/>
      <c r="BL111" s="59">
        <v>784</v>
      </c>
      <c r="BW111" s="59">
        <v>12</v>
      </c>
      <c r="BX111" s="16" t="s">
        <v>255</v>
      </c>
    </row>
    <row r="112" spans="1:76" ht="13.5" customHeight="1" x14ac:dyDescent="0.25">
      <c r="A112" s="62"/>
      <c r="D112" s="105" t="s">
        <v>256</v>
      </c>
      <c r="E112" s="105"/>
      <c r="F112" s="105"/>
      <c r="G112" s="105"/>
      <c r="H112" s="105"/>
      <c r="I112" s="105"/>
      <c r="J112" s="105"/>
      <c r="K112" s="105"/>
      <c r="L112" s="105"/>
      <c r="M112" s="105"/>
    </row>
    <row r="113" spans="1:76" x14ac:dyDescent="0.25">
      <c r="A113" s="62"/>
      <c r="D113" s="63" t="s">
        <v>418</v>
      </c>
      <c r="E113" s="63"/>
      <c r="G113" s="64">
        <v>513.36</v>
      </c>
      <c r="M113" s="65"/>
    </row>
    <row r="114" spans="1:76" ht="15" customHeight="1" x14ac:dyDescent="0.25">
      <c r="A114" s="54"/>
      <c r="B114" s="55" t="s">
        <v>349</v>
      </c>
      <c r="C114" s="55" t="s">
        <v>259</v>
      </c>
      <c r="D114" s="104" t="s">
        <v>260</v>
      </c>
      <c r="E114" s="104"/>
      <c r="F114" s="56" t="s">
        <v>88</v>
      </c>
      <c r="G114" s="56" t="s">
        <v>88</v>
      </c>
      <c r="H114" s="56" t="s">
        <v>88</v>
      </c>
      <c r="I114" s="39">
        <f>SUM(I115)</f>
        <v>0</v>
      </c>
      <c r="J114" s="46"/>
      <c r="K114" s="46"/>
      <c r="L114" s="39">
        <f>SUM(L115)</f>
        <v>8.2512000000000002E-2</v>
      </c>
      <c r="M114" s="57"/>
      <c r="AI114" s="46" t="s">
        <v>349</v>
      </c>
      <c r="AS114" s="39">
        <f>SUM(AJ115)</f>
        <v>0</v>
      </c>
      <c r="AT114" s="39">
        <f>SUM(AK115)</f>
        <v>0</v>
      </c>
      <c r="AU114" s="39">
        <f>SUM(AL115)</f>
        <v>0</v>
      </c>
    </row>
    <row r="115" spans="1:76" ht="15" customHeight="1" x14ac:dyDescent="0.25">
      <c r="A115" s="58" t="s">
        <v>320</v>
      </c>
      <c r="B115" s="18" t="s">
        <v>349</v>
      </c>
      <c r="C115" s="18" t="s">
        <v>262</v>
      </c>
      <c r="D115" s="8" t="s">
        <v>419</v>
      </c>
      <c r="E115" s="8"/>
      <c r="F115" s="18" t="s">
        <v>114</v>
      </c>
      <c r="G115" s="59">
        <f>'Stavební rozpočet'!G200</f>
        <v>21.6</v>
      </c>
      <c r="H115" s="59">
        <f>'Stavební rozpočet'!H200</f>
        <v>0</v>
      </c>
      <c r="I115" s="59">
        <f>ROUND(G115*H115,2)</f>
        <v>0</v>
      </c>
      <c r="J115" s="59">
        <f>'Stavební rozpočet'!J200</f>
        <v>3.82E-3</v>
      </c>
      <c r="K115" s="59">
        <f>'Stavební rozpočet'!K200</f>
        <v>3.82E-3</v>
      </c>
      <c r="L115" s="59">
        <f>G115*K115</f>
        <v>8.2512000000000002E-2</v>
      </c>
      <c r="M115" s="60" t="s">
        <v>115</v>
      </c>
      <c r="Z115" s="59">
        <f>ROUND(IF(AQ115="5",BJ115,0),2)</f>
        <v>0</v>
      </c>
      <c r="AB115" s="59">
        <f>ROUND(IF(AQ115="1",BH115,0),2)</f>
        <v>0</v>
      </c>
      <c r="AC115" s="59">
        <f>ROUND(IF(AQ115="1",BI115,0),2)</f>
        <v>0</v>
      </c>
      <c r="AD115" s="59">
        <f>ROUND(IF(AQ115="7",BH115,0),2)</f>
        <v>0</v>
      </c>
      <c r="AE115" s="59">
        <f>ROUND(IF(AQ115="7",BI115,0),2)</f>
        <v>0</v>
      </c>
      <c r="AF115" s="59">
        <f>ROUND(IF(AQ115="2",BH115,0),2)</f>
        <v>0</v>
      </c>
      <c r="AG115" s="59">
        <f>ROUND(IF(AQ115="2",BI115,0),2)</f>
        <v>0</v>
      </c>
      <c r="AH115" s="59">
        <f>ROUND(IF(AQ115="0",BJ115,0),2)</f>
        <v>0</v>
      </c>
      <c r="AI115" s="46" t="s">
        <v>349</v>
      </c>
      <c r="AJ115" s="59">
        <f>IF(AN115=0,I115,0)</f>
        <v>0</v>
      </c>
      <c r="AK115" s="59">
        <f>IF(AN115=12,I115,0)</f>
        <v>0</v>
      </c>
      <c r="AL115" s="59">
        <f>IF(AN115=21,I115,0)</f>
        <v>0</v>
      </c>
      <c r="AN115" s="59">
        <v>12</v>
      </c>
      <c r="AO115" s="59">
        <f>H115*0.657241014</f>
        <v>0</v>
      </c>
      <c r="AP115" s="59">
        <f>H115*(1-0.657241014)</f>
        <v>0</v>
      </c>
      <c r="AQ115" s="61" t="s">
        <v>150</v>
      </c>
      <c r="AV115" s="59">
        <f>ROUND(AW115+AX115,2)</f>
        <v>0</v>
      </c>
      <c r="AW115" s="59">
        <f>ROUND(G115*AO115,2)</f>
        <v>0</v>
      </c>
      <c r="AX115" s="59">
        <f>ROUND(G115*AP115,2)</f>
        <v>0</v>
      </c>
      <c r="AY115" s="61" t="s">
        <v>264</v>
      </c>
      <c r="AZ115" s="61" t="s">
        <v>404</v>
      </c>
      <c r="BA115" s="46" t="s">
        <v>352</v>
      </c>
      <c r="BC115" s="59">
        <f>AW115+AX115</f>
        <v>0</v>
      </c>
      <c r="BD115" s="59">
        <f>H115/(100-BE115)*100</f>
        <v>0</v>
      </c>
      <c r="BE115" s="59">
        <v>0</v>
      </c>
      <c r="BF115" s="59">
        <f>L115</f>
        <v>8.2512000000000002E-2</v>
      </c>
      <c r="BH115" s="59">
        <f>G115*AO115</f>
        <v>0</v>
      </c>
      <c r="BI115" s="59">
        <f>G115*AP115</f>
        <v>0</v>
      </c>
      <c r="BJ115" s="59">
        <f>G115*H115</f>
        <v>0</v>
      </c>
      <c r="BK115" s="59"/>
      <c r="BL115" s="59">
        <v>786</v>
      </c>
      <c r="BW115" s="59">
        <v>12</v>
      </c>
      <c r="BX115" s="16" t="s">
        <v>419</v>
      </c>
    </row>
    <row r="116" spans="1:76" ht="13.5" customHeight="1" x14ac:dyDescent="0.25">
      <c r="A116" s="62"/>
      <c r="D116" s="105" t="s">
        <v>265</v>
      </c>
      <c r="E116" s="105"/>
      <c r="F116" s="105"/>
      <c r="G116" s="105"/>
      <c r="H116" s="105"/>
      <c r="I116" s="105"/>
      <c r="J116" s="105"/>
      <c r="K116" s="105"/>
      <c r="L116" s="105"/>
      <c r="M116" s="105"/>
    </row>
    <row r="117" spans="1:76" x14ac:dyDescent="0.25">
      <c r="A117" s="62"/>
      <c r="D117" s="63" t="s">
        <v>420</v>
      </c>
      <c r="E117" s="63"/>
      <c r="G117" s="64">
        <v>21.6</v>
      </c>
      <c r="M117" s="65"/>
    </row>
    <row r="118" spans="1:76" ht="15" customHeight="1" x14ac:dyDescent="0.25">
      <c r="A118" s="54"/>
      <c r="B118" s="55" t="s">
        <v>349</v>
      </c>
      <c r="C118" s="55" t="s">
        <v>267</v>
      </c>
      <c r="D118" s="104" t="s">
        <v>268</v>
      </c>
      <c r="E118" s="104"/>
      <c r="F118" s="56" t="s">
        <v>88</v>
      </c>
      <c r="G118" s="56" t="s">
        <v>88</v>
      </c>
      <c r="H118" s="56" t="s">
        <v>88</v>
      </c>
      <c r="I118" s="39">
        <f>SUM(I119:I125)</f>
        <v>0</v>
      </c>
      <c r="J118" s="46"/>
      <c r="K118" s="46"/>
      <c r="L118" s="39">
        <f>SUM(L119:L125)</f>
        <v>0</v>
      </c>
      <c r="M118" s="57"/>
      <c r="AI118" s="46" t="s">
        <v>349</v>
      </c>
      <c r="AS118" s="39">
        <f>SUM(AJ119:AJ125)</f>
        <v>0</v>
      </c>
      <c r="AT118" s="39">
        <f>SUM(AK119:AK125)</f>
        <v>0</v>
      </c>
      <c r="AU118" s="39">
        <f>SUM(AL119:AL125)</f>
        <v>0</v>
      </c>
    </row>
    <row r="119" spans="1:76" ht="15" customHeight="1" x14ac:dyDescent="0.25">
      <c r="A119" s="58" t="s">
        <v>326</v>
      </c>
      <c r="B119" s="18" t="s">
        <v>349</v>
      </c>
      <c r="C119" s="18" t="s">
        <v>270</v>
      </c>
      <c r="D119" s="8" t="s">
        <v>271</v>
      </c>
      <c r="E119" s="8"/>
      <c r="F119" s="18" t="s">
        <v>272</v>
      </c>
      <c r="G119" s="59">
        <f>'Stavební rozpočet'!G203</f>
        <v>12</v>
      </c>
      <c r="H119" s="59">
        <f>'Stavební rozpočet'!H203</f>
        <v>0</v>
      </c>
      <c r="I119" s="59">
        <f>ROUND(G119*H119,2)</f>
        <v>0</v>
      </c>
      <c r="J119" s="59">
        <f>'Stavební rozpočet'!J203</f>
        <v>0</v>
      </c>
      <c r="K119" s="59">
        <f>'Stavební rozpočet'!K203</f>
        <v>0</v>
      </c>
      <c r="L119" s="59">
        <f>G119*K119</f>
        <v>0</v>
      </c>
      <c r="M119" s="60" t="s">
        <v>115</v>
      </c>
      <c r="Z119" s="59">
        <f>ROUND(IF(AQ119="5",BJ119,0),2)</f>
        <v>0</v>
      </c>
      <c r="AB119" s="59">
        <f>ROUND(IF(AQ119="1",BH119,0),2)</f>
        <v>0</v>
      </c>
      <c r="AC119" s="59">
        <f>ROUND(IF(AQ119="1",BI119,0),2)</f>
        <v>0</v>
      </c>
      <c r="AD119" s="59">
        <f>ROUND(IF(AQ119="7",BH119,0),2)</f>
        <v>0</v>
      </c>
      <c r="AE119" s="59">
        <f>ROUND(IF(AQ119="7",BI119,0),2)</f>
        <v>0</v>
      </c>
      <c r="AF119" s="59">
        <f>ROUND(IF(AQ119="2",BH119,0),2)</f>
        <v>0</v>
      </c>
      <c r="AG119" s="59">
        <f>ROUND(IF(AQ119="2",BI119,0),2)</f>
        <v>0</v>
      </c>
      <c r="AH119" s="59">
        <f>ROUND(IF(AQ119="0",BJ119,0),2)</f>
        <v>0</v>
      </c>
      <c r="AI119" s="46" t="s">
        <v>349</v>
      </c>
      <c r="AJ119" s="59">
        <f>IF(AN119=0,I119,0)</f>
        <v>0</v>
      </c>
      <c r="AK119" s="59">
        <f>IF(AN119=12,I119,0)</f>
        <v>0</v>
      </c>
      <c r="AL119" s="59">
        <f>IF(AN119=21,I119,0)</f>
        <v>0</v>
      </c>
      <c r="AN119" s="59">
        <v>12</v>
      </c>
      <c r="AO119" s="59">
        <f>H119*0</f>
        <v>0</v>
      </c>
      <c r="AP119" s="59">
        <f>H119*(1-0)</f>
        <v>0</v>
      </c>
      <c r="AQ119" s="61" t="s">
        <v>111</v>
      </c>
      <c r="AV119" s="59">
        <f>ROUND(AW119+AX119,2)</f>
        <v>0</v>
      </c>
      <c r="AW119" s="59">
        <f>ROUND(G119*AO119,2)</f>
        <v>0</v>
      </c>
      <c r="AX119" s="59">
        <f>ROUND(G119*AP119,2)</f>
        <v>0</v>
      </c>
      <c r="AY119" s="61" t="s">
        <v>273</v>
      </c>
      <c r="AZ119" s="61" t="s">
        <v>421</v>
      </c>
      <c r="BA119" s="46" t="s">
        <v>352</v>
      </c>
      <c r="BC119" s="59">
        <f>AW119+AX119</f>
        <v>0</v>
      </c>
      <c r="BD119" s="59">
        <f>H119/(100-BE119)*100</f>
        <v>0</v>
      </c>
      <c r="BE119" s="59">
        <v>0</v>
      </c>
      <c r="BF119" s="59">
        <f>L119</f>
        <v>0</v>
      </c>
      <c r="BH119" s="59">
        <f>G119*AO119</f>
        <v>0</v>
      </c>
      <c r="BI119" s="59">
        <f>G119*AP119</f>
        <v>0</v>
      </c>
      <c r="BJ119" s="59">
        <f>G119*H119</f>
        <v>0</v>
      </c>
      <c r="BK119" s="59"/>
      <c r="BL119" s="59">
        <v>90</v>
      </c>
      <c r="BW119" s="59">
        <v>12</v>
      </c>
      <c r="BX119" s="16" t="s">
        <v>271</v>
      </c>
    </row>
    <row r="120" spans="1:76" ht="81" customHeight="1" x14ac:dyDescent="0.25">
      <c r="A120" s="62"/>
      <c r="D120" s="105" t="s">
        <v>422</v>
      </c>
      <c r="E120" s="105"/>
      <c r="F120" s="105"/>
      <c r="G120" s="105"/>
      <c r="H120" s="105"/>
      <c r="I120" s="105"/>
      <c r="J120" s="105"/>
      <c r="K120" s="105"/>
      <c r="L120" s="105"/>
      <c r="M120" s="105"/>
    </row>
    <row r="121" spans="1:76" x14ac:dyDescent="0.25">
      <c r="A121" s="62"/>
      <c r="D121" s="63" t="s">
        <v>176</v>
      </c>
      <c r="E121" s="63"/>
      <c r="G121" s="64">
        <v>12</v>
      </c>
      <c r="M121" s="65"/>
    </row>
    <row r="122" spans="1:76" ht="15" customHeight="1" x14ac:dyDescent="0.25">
      <c r="A122" s="58" t="s">
        <v>331</v>
      </c>
      <c r="B122" s="18" t="s">
        <v>349</v>
      </c>
      <c r="C122" s="18" t="s">
        <v>423</v>
      </c>
      <c r="D122" s="8" t="s">
        <v>271</v>
      </c>
      <c r="E122" s="8"/>
      <c r="F122" s="18" t="s">
        <v>272</v>
      </c>
      <c r="G122" s="59">
        <f>'Stavební rozpočet'!G205</f>
        <v>18</v>
      </c>
      <c r="H122" s="59">
        <f>'Stavební rozpočet'!H205</f>
        <v>0</v>
      </c>
      <c r="I122" s="59">
        <f>ROUND(G122*H122,2)</f>
        <v>0</v>
      </c>
      <c r="J122" s="59">
        <f>'Stavební rozpočet'!J205</f>
        <v>0</v>
      </c>
      <c r="K122" s="59">
        <f>'Stavební rozpočet'!K205</f>
        <v>0</v>
      </c>
      <c r="L122" s="59">
        <f>G122*K122</f>
        <v>0</v>
      </c>
      <c r="M122" s="60" t="s">
        <v>115</v>
      </c>
      <c r="Z122" s="59">
        <f>ROUND(IF(AQ122="5",BJ122,0),2)</f>
        <v>0</v>
      </c>
      <c r="AB122" s="59">
        <f>ROUND(IF(AQ122="1",BH122,0),2)</f>
        <v>0</v>
      </c>
      <c r="AC122" s="59">
        <f>ROUND(IF(AQ122="1",BI122,0),2)</f>
        <v>0</v>
      </c>
      <c r="AD122" s="59">
        <f>ROUND(IF(AQ122="7",BH122,0),2)</f>
        <v>0</v>
      </c>
      <c r="AE122" s="59">
        <f>ROUND(IF(AQ122="7",BI122,0),2)</f>
        <v>0</v>
      </c>
      <c r="AF122" s="59">
        <f>ROUND(IF(AQ122="2",BH122,0),2)</f>
        <v>0</v>
      </c>
      <c r="AG122" s="59">
        <f>ROUND(IF(AQ122="2",BI122,0),2)</f>
        <v>0</v>
      </c>
      <c r="AH122" s="59">
        <f>ROUND(IF(AQ122="0",BJ122,0),2)</f>
        <v>0</v>
      </c>
      <c r="AI122" s="46" t="s">
        <v>349</v>
      </c>
      <c r="AJ122" s="59">
        <f>IF(AN122=0,I122,0)</f>
        <v>0</v>
      </c>
      <c r="AK122" s="59">
        <f>IF(AN122=12,I122,0)</f>
        <v>0</v>
      </c>
      <c r="AL122" s="59">
        <f>IF(AN122=21,I122,0)</f>
        <v>0</v>
      </c>
      <c r="AN122" s="59">
        <v>12</v>
      </c>
      <c r="AO122" s="59">
        <f>H122*0</f>
        <v>0</v>
      </c>
      <c r="AP122" s="59">
        <f>H122*(1-0)</f>
        <v>0</v>
      </c>
      <c r="AQ122" s="61" t="s">
        <v>111</v>
      </c>
      <c r="AV122" s="59">
        <f>ROUND(AW122+AX122,2)</f>
        <v>0</v>
      </c>
      <c r="AW122" s="59">
        <f>ROUND(G122*AO122,2)</f>
        <v>0</v>
      </c>
      <c r="AX122" s="59">
        <f>ROUND(G122*AP122,2)</f>
        <v>0</v>
      </c>
      <c r="AY122" s="61" t="s">
        <v>273</v>
      </c>
      <c r="AZ122" s="61" t="s">
        <v>421</v>
      </c>
      <c r="BA122" s="46" t="s">
        <v>352</v>
      </c>
      <c r="BC122" s="59">
        <f>AW122+AX122</f>
        <v>0</v>
      </c>
      <c r="BD122" s="59">
        <f>H122/(100-BE122)*100</f>
        <v>0</v>
      </c>
      <c r="BE122" s="59">
        <v>0</v>
      </c>
      <c r="BF122" s="59">
        <f>L122</f>
        <v>0</v>
      </c>
      <c r="BH122" s="59">
        <f>G122*AO122</f>
        <v>0</v>
      </c>
      <c r="BI122" s="59">
        <f>G122*AP122</f>
        <v>0</v>
      </c>
      <c r="BJ122" s="59">
        <f>G122*H122</f>
        <v>0</v>
      </c>
      <c r="BK122" s="59"/>
      <c r="BL122" s="59">
        <v>90</v>
      </c>
      <c r="BW122" s="59">
        <v>12</v>
      </c>
      <c r="BX122" s="16" t="s">
        <v>271</v>
      </c>
    </row>
    <row r="123" spans="1:76" ht="40.5" customHeight="1" x14ac:dyDescent="0.25">
      <c r="A123" s="62"/>
      <c r="D123" s="105" t="s">
        <v>424</v>
      </c>
      <c r="E123" s="105"/>
      <c r="F123" s="105"/>
      <c r="G123" s="105"/>
      <c r="H123" s="105"/>
      <c r="I123" s="105"/>
      <c r="J123" s="105"/>
      <c r="K123" s="105"/>
      <c r="L123" s="105"/>
      <c r="M123" s="105"/>
    </row>
    <row r="124" spans="1:76" x14ac:dyDescent="0.25">
      <c r="A124" s="62"/>
      <c r="D124" s="63" t="s">
        <v>215</v>
      </c>
      <c r="E124" s="63"/>
      <c r="G124" s="64">
        <v>18</v>
      </c>
      <c r="M124" s="65"/>
    </row>
    <row r="125" spans="1:76" ht="15" customHeight="1" x14ac:dyDescent="0.25">
      <c r="A125" s="58" t="s">
        <v>335</v>
      </c>
      <c r="B125" s="18" t="s">
        <v>349</v>
      </c>
      <c r="C125" s="18" t="s">
        <v>270</v>
      </c>
      <c r="D125" s="8" t="s">
        <v>271</v>
      </c>
      <c r="E125" s="8"/>
      <c r="F125" s="18" t="s">
        <v>272</v>
      </c>
      <c r="G125" s="59">
        <f>'Stavební rozpočet'!G207</f>
        <v>30</v>
      </c>
      <c r="H125" s="59">
        <f>'Stavební rozpočet'!H207</f>
        <v>0</v>
      </c>
      <c r="I125" s="59">
        <f>ROUND(G125*H125,2)</f>
        <v>0</v>
      </c>
      <c r="J125" s="59">
        <f>'Stavební rozpočet'!J207</f>
        <v>0</v>
      </c>
      <c r="K125" s="59">
        <f>'Stavební rozpočet'!K207</f>
        <v>0</v>
      </c>
      <c r="L125" s="59">
        <f>G125*K125</f>
        <v>0</v>
      </c>
      <c r="M125" s="60" t="s">
        <v>115</v>
      </c>
      <c r="Z125" s="59">
        <f>ROUND(IF(AQ125="5",BJ125,0),2)</f>
        <v>0</v>
      </c>
      <c r="AB125" s="59">
        <f>ROUND(IF(AQ125="1",BH125,0),2)</f>
        <v>0</v>
      </c>
      <c r="AC125" s="59">
        <f>ROUND(IF(AQ125="1",BI125,0),2)</f>
        <v>0</v>
      </c>
      <c r="AD125" s="59">
        <f>ROUND(IF(AQ125="7",BH125,0),2)</f>
        <v>0</v>
      </c>
      <c r="AE125" s="59">
        <f>ROUND(IF(AQ125="7",BI125,0),2)</f>
        <v>0</v>
      </c>
      <c r="AF125" s="59">
        <f>ROUND(IF(AQ125="2",BH125,0),2)</f>
        <v>0</v>
      </c>
      <c r="AG125" s="59">
        <f>ROUND(IF(AQ125="2",BI125,0),2)</f>
        <v>0</v>
      </c>
      <c r="AH125" s="59">
        <f>ROUND(IF(AQ125="0",BJ125,0),2)</f>
        <v>0</v>
      </c>
      <c r="AI125" s="46" t="s">
        <v>349</v>
      </c>
      <c r="AJ125" s="59">
        <f>IF(AN125=0,I125,0)</f>
        <v>0</v>
      </c>
      <c r="AK125" s="59">
        <f>IF(AN125=12,I125,0)</f>
        <v>0</v>
      </c>
      <c r="AL125" s="59">
        <f>IF(AN125=21,I125,0)</f>
        <v>0</v>
      </c>
      <c r="AN125" s="59">
        <v>12</v>
      </c>
      <c r="AO125" s="59">
        <f>H125*0</f>
        <v>0</v>
      </c>
      <c r="AP125" s="59">
        <f>H125*(1-0)</f>
        <v>0</v>
      </c>
      <c r="AQ125" s="61" t="s">
        <v>111</v>
      </c>
      <c r="AV125" s="59">
        <f>ROUND(AW125+AX125,2)</f>
        <v>0</v>
      </c>
      <c r="AW125" s="59">
        <f>ROUND(G125*AO125,2)</f>
        <v>0</v>
      </c>
      <c r="AX125" s="59">
        <f>ROUND(G125*AP125,2)</f>
        <v>0</v>
      </c>
      <c r="AY125" s="61" t="s">
        <v>273</v>
      </c>
      <c r="AZ125" s="61" t="s">
        <v>421</v>
      </c>
      <c r="BA125" s="46" t="s">
        <v>352</v>
      </c>
      <c r="BC125" s="59">
        <f>AW125+AX125</f>
        <v>0</v>
      </c>
      <c r="BD125" s="59">
        <f>H125/(100-BE125)*100</f>
        <v>0</v>
      </c>
      <c r="BE125" s="59">
        <v>0</v>
      </c>
      <c r="BF125" s="59">
        <f>L125</f>
        <v>0</v>
      </c>
      <c r="BH125" s="59">
        <f>G125*AO125</f>
        <v>0</v>
      </c>
      <c r="BI125" s="59">
        <f>G125*AP125</f>
        <v>0</v>
      </c>
      <c r="BJ125" s="59">
        <f>G125*H125</f>
        <v>0</v>
      </c>
      <c r="BK125" s="59"/>
      <c r="BL125" s="59">
        <v>90</v>
      </c>
      <c r="BW125" s="59">
        <v>12</v>
      </c>
      <c r="BX125" s="16" t="s">
        <v>271</v>
      </c>
    </row>
    <row r="126" spans="1:76" ht="13.5" customHeight="1" x14ac:dyDescent="0.25">
      <c r="A126" s="62"/>
      <c r="D126" s="105" t="s">
        <v>275</v>
      </c>
      <c r="E126" s="105"/>
      <c r="F126" s="105"/>
      <c r="G126" s="105"/>
      <c r="H126" s="105"/>
      <c r="I126" s="105"/>
      <c r="J126" s="105"/>
      <c r="K126" s="105"/>
      <c r="L126" s="105"/>
      <c r="M126" s="105"/>
    </row>
    <row r="127" spans="1:76" x14ac:dyDescent="0.25">
      <c r="A127" s="62"/>
      <c r="D127" s="63" t="s">
        <v>276</v>
      </c>
      <c r="E127" s="63"/>
      <c r="G127" s="64">
        <v>30</v>
      </c>
      <c r="M127" s="65"/>
    </row>
    <row r="128" spans="1:76" ht="15" customHeight="1" x14ac:dyDescent="0.25">
      <c r="A128" s="54"/>
      <c r="B128" s="55" t="s">
        <v>349</v>
      </c>
      <c r="C128" s="55" t="s">
        <v>277</v>
      </c>
      <c r="D128" s="104" t="s">
        <v>278</v>
      </c>
      <c r="E128" s="104"/>
      <c r="F128" s="56" t="s">
        <v>88</v>
      </c>
      <c r="G128" s="56" t="s">
        <v>88</v>
      </c>
      <c r="H128" s="56" t="s">
        <v>88</v>
      </c>
      <c r="I128" s="39">
        <f>SUM(I129:I131)</f>
        <v>0</v>
      </c>
      <c r="J128" s="46"/>
      <c r="K128" s="46"/>
      <c r="L128" s="39">
        <f>SUM(L129:L131)</f>
        <v>0.10526999999999999</v>
      </c>
      <c r="M128" s="57"/>
      <c r="AI128" s="46" t="s">
        <v>349</v>
      </c>
      <c r="AS128" s="39">
        <f>SUM(AJ129:AJ131)</f>
        <v>0</v>
      </c>
      <c r="AT128" s="39">
        <f>SUM(AK129:AK131)</f>
        <v>0</v>
      </c>
      <c r="AU128" s="39">
        <f>SUM(AL129:AL131)</f>
        <v>0</v>
      </c>
    </row>
    <row r="129" spans="1:76" ht="15" customHeight="1" x14ac:dyDescent="0.25">
      <c r="A129" s="58" t="s">
        <v>338</v>
      </c>
      <c r="B129" s="18" t="s">
        <v>349</v>
      </c>
      <c r="C129" s="18" t="s">
        <v>280</v>
      </c>
      <c r="D129" s="8" t="s">
        <v>281</v>
      </c>
      <c r="E129" s="8"/>
      <c r="F129" s="18" t="s">
        <v>114</v>
      </c>
      <c r="G129" s="59">
        <f>'Stavební rozpočet'!G210</f>
        <v>87</v>
      </c>
      <c r="H129" s="59">
        <f>'Stavební rozpočet'!H210</f>
        <v>0</v>
      </c>
      <c r="I129" s="59">
        <f>ROUND(G129*H129,2)</f>
        <v>0</v>
      </c>
      <c r="J129" s="59">
        <f>'Stavební rozpočet'!J210</f>
        <v>1.2099999999999999E-3</v>
      </c>
      <c r="K129" s="59">
        <f>'Stavební rozpočet'!K210</f>
        <v>1.2099999999999999E-3</v>
      </c>
      <c r="L129" s="59">
        <f>G129*K129</f>
        <v>0.10526999999999999</v>
      </c>
      <c r="M129" s="60" t="s">
        <v>115</v>
      </c>
      <c r="Z129" s="59">
        <f>ROUND(IF(AQ129="5",BJ129,0),2)</f>
        <v>0</v>
      </c>
      <c r="AB129" s="59">
        <f>ROUND(IF(AQ129="1",BH129,0),2)</f>
        <v>0</v>
      </c>
      <c r="AC129" s="59">
        <f>ROUND(IF(AQ129="1",BI129,0),2)</f>
        <v>0</v>
      </c>
      <c r="AD129" s="59">
        <f>ROUND(IF(AQ129="7",BH129,0),2)</f>
        <v>0</v>
      </c>
      <c r="AE129" s="59">
        <f>ROUND(IF(AQ129="7",BI129,0),2)</f>
        <v>0</v>
      </c>
      <c r="AF129" s="59">
        <f>ROUND(IF(AQ129="2",BH129,0),2)</f>
        <v>0</v>
      </c>
      <c r="AG129" s="59">
        <f>ROUND(IF(AQ129="2",BI129,0),2)</f>
        <v>0</v>
      </c>
      <c r="AH129" s="59">
        <f>ROUND(IF(AQ129="0",BJ129,0),2)</f>
        <v>0</v>
      </c>
      <c r="AI129" s="46" t="s">
        <v>349</v>
      </c>
      <c r="AJ129" s="59">
        <f>IF(AN129=0,I129,0)</f>
        <v>0</v>
      </c>
      <c r="AK129" s="59">
        <f>IF(AN129=12,I129,0)</f>
        <v>0</v>
      </c>
      <c r="AL129" s="59">
        <f>IF(AN129=21,I129,0)</f>
        <v>0</v>
      </c>
      <c r="AN129" s="59">
        <v>12</v>
      </c>
      <c r="AO129" s="59">
        <f>H129*0.309860944</f>
        <v>0</v>
      </c>
      <c r="AP129" s="59">
        <f>H129*(1-0.309860944)</f>
        <v>0</v>
      </c>
      <c r="AQ129" s="61" t="s">
        <v>111</v>
      </c>
      <c r="AV129" s="59">
        <f>ROUND(AW129+AX129,2)</f>
        <v>0</v>
      </c>
      <c r="AW129" s="59">
        <f>ROUND(G129*AO129,2)</f>
        <v>0</v>
      </c>
      <c r="AX129" s="59">
        <f>ROUND(G129*AP129,2)</f>
        <v>0</v>
      </c>
      <c r="AY129" s="61" t="s">
        <v>282</v>
      </c>
      <c r="AZ129" s="61" t="s">
        <v>421</v>
      </c>
      <c r="BA129" s="46" t="s">
        <v>352</v>
      </c>
      <c r="BC129" s="59">
        <f>AW129+AX129</f>
        <v>0</v>
      </c>
      <c r="BD129" s="59">
        <f>H129/(100-BE129)*100</f>
        <v>0</v>
      </c>
      <c r="BE129" s="59">
        <v>0</v>
      </c>
      <c r="BF129" s="59">
        <f>L129</f>
        <v>0.10526999999999999</v>
      </c>
      <c r="BH129" s="59">
        <f>G129*AO129</f>
        <v>0</v>
      </c>
      <c r="BI129" s="59">
        <f>G129*AP129</f>
        <v>0</v>
      </c>
      <c r="BJ129" s="59">
        <f>G129*H129</f>
        <v>0</v>
      </c>
      <c r="BK129" s="59"/>
      <c r="BL129" s="59">
        <v>94</v>
      </c>
      <c r="BW129" s="59">
        <v>12</v>
      </c>
      <c r="BX129" s="16" t="s">
        <v>281</v>
      </c>
    </row>
    <row r="130" spans="1:76" x14ac:dyDescent="0.25">
      <c r="A130" s="62"/>
      <c r="D130" s="63" t="s">
        <v>425</v>
      </c>
      <c r="E130" s="63"/>
      <c r="G130" s="64">
        <v>87</v>
      </c>
      <c r="M130" s="65"/>
    </row>
    <row r="131" spans="1:76" ht="15" customHeight="1" x14ac:dyDescent="0.25">
      <c r="A131" s="58" t="s">
        <v>342</v>
      </c>
      <c r="B131" s="18" t="s">
        <v>349</v>
      </c>
      <c r="C131" s="18" t="s">
        <v>426</v>
      </c>
      <c r="D131" s="8" t="s">
        <v>427</v>
      </c>
      <c r="E131" s="8"/>
      <c r="F131" s="18" t="s">
        <v>272</v>
      </c>
      <c r="G131" s="59">
        <f>'Stavební rozpočet'!G212</f>
        <v>30</v>
      </c>
      <c r="H131" s="59">
        <f>'Stavební rozpočet'!H212</f>
        <v>0</v>
      </c>
      <c r="I131" s="59">
        <f>ROUND(G131*H131,2)</f>
        <v>0</v>
      </c>
      <c r="J131" s="59">
        <f>'Stavební rozpočet'!J212</f>
        <v>0</v>
      </c>
      <c r="K131" s="59">
        <f>'Stavební rozpočet'!K212</f>
        <v>0</v>
      </c>
      <c r="L131" s="59">
        <f>G131*K131</f>
        <v>0</v>
      </c>
      <c r="M131" s="60" t="s">
        <v>115</v>
      </c>
      <c r="Z131" s="59">
        <f>ROUND(IF(AQ131="5",BJ131,0),2)</f>
        <v>0</v>
      </c>
      <c r="AB131" s="59">
        <f>ROUND(IF(AQ131="1",BH131,0),2)</f>
        <v>0</v>
      </c>
      <c r="AC131" s="59">
        <f>ROUND(IF(AQ131="1",BI131,0),2)</f>
        <v>0</v>
      </c>
      <c r="AD131" s="59">
        <f>ROUND(IF(AQ131="7",BH131,0),2)</f>
        <v>0</v>
      </c>
      <c r="AE131" s="59">
        <f>ROUND(IF(AQ131="7",BI131,0),2)</f>
        <v>0</v>
      </c>
      <c r="AF131" s="59">
        <f>ROUND(IF(AQ131="2",BH131,0),2)</f>
        <v>0</v>
      </c>
      <c r="AG131" s="59">
        <f>ROUND(IF(AQ131="2",BI131,0),2)</f>
        <v>0</v>
      </c>
      <c r="AH131" s="59">
        <f>ROUND(IF(AQ131="0",BJ131,0),2)</f>
        <v>0</v>
      </c>
      <c r="AI131" s="46" t="s">
        <v>349</v>
      </c>
      <c r="AJ131" s="59">
        <f>IF(AN131=0,I131,0)</f>
        <v>0</v>
      </c>
      <c r="AK131" s="59">
        <f>IF(AN131=12,I131,0)</f>
        <v>0</v>
      </c>
      <c r="AL131" s="59">
        <f>IF(AN131=21,I131,0)</f>
        <v>0</v>
      </c>
      <c r="AN131" s="59">
        <v>12</v>
      </c>
      <c r="AO131" s="59">
        <f>H131*0</f>
        <v>0</v>
      </c>
      <c r="AP131" s="59">
        <f>H131*(1-0)</f>
        <v>0</v>
      </c>
      <c r="AQ131" s="61" t="s">
        <v>111</v>
      </c>
      <c r="AV131" s="59">
        <f>ROUND(AW131+AX131,2)</f>
        <v>0</v>
      </c>
      <c r="AW131" s="59">
        <f>ROUND(G131*AO131,2)</f>
        <v>0</v>
      </c>
      <c r="AX131" s="59">
        <f>ROUND(G131*AP131,2)</f>
        <v>0</v>
      </c>
      <c r="AY131" s="61" t="s">
        <v>282</v>
      </c>
      <c r="AZ131" s="61" t="s">
        <v>421</v>
      </c>
      <c r="BA131" s="46" t="s">
        <v>352</v>
      </c>
      <c r="BC131" s="59">
        <f>AW131+AX131</f>
        <v>0</v>
      </c>
      <c r="BD131" s="59">
        <f>H131/(100-BE131)*100</f>
        <v>0</v>
      </c>
      <c r="BE131" s="59">
        <v>0</v>
      </c>
      <c r="BF131" s="59">
        <f>L131</f>
        <v>0</v>
      </c>
      <c r="BH131" s="59">
        <f>G131*AO131</f>
        <v>0</v>
      </c>
      <c r="BI131" s="59">
        <f>G131*AP131</f>
        <v>0</v>
      </c>
      <c r="BJ131" s="59">
        <f>G131*H131</f>
        <v>0</v>
      </c>
      <c r="BK131" s="59"/>
      <c r="BL131" s="59">
        <v>94</v>
      </c>
      <c r="BW131" s="59">
        <v>12</v>
      </c>
      <c r="BX131" s="16" t="s">
        <v>427</v>
      </c>
    </row>
    <row r="132" spans="1:76" x14ac:dyDescent="0.25">
      <c r="A132" s="62"/>
      <c r="D132" s="63" t="s">
        <v>296</v>
      </c>
      <c r="E132" s="63"/>
      <c r="G132" s="64">
        <v>30</v>
      </c>
      <c r="M132" s="65"/>
    </row>
    <row r="133" spans="1:76" ht="15" customHeight="1" x14ac:dyDescent="0.25">
      <c r="A133" s="54"/>
      <c r="B133" s="55" t="s">
        <v>349</v>
      </c>
      <c r="C133" s="55" t="s">
        <v>284</v>
      </c>
      <c r="D133" s="104" t="s">
        <v>285</v>
      </c>
      <c r="E133" s="104"/>
      <c r="F133" s="56" t="s">
        <v>88</v>
      </c>
      <c r="G133" s="56" t="s">
        <v>88</v>
      </c>
      <c r="H133" s="56" t="s">
        <v>88</v>
      </c>
      <c r="I133" s="39">
        <f>SUM(I134)</f>
        <v>0</v>
      </c>
      <c r="J133" s="46"/>
      <c r="K133" s="46"/>
      <c r="L133" s="39">
        <f>SUM(L134)</f>
        <v>1.0267200000000001E-2</v>
      </c>
      <c r="M133" s="57"/>
      <c r="AI133" s="46" t="s">
        <v>349</v>
      </c>
      <c r="AS133" s="39">
        <f>SUM(AJ134)</f>
        <v>0</v>
      </c>
      <c r="AT133" s="39">
        <f>SUM(AK134)</f>
        <v>0</v>
      </c>
      <c r="AU133" s="39">
        <f>SUM(AL134)</f>
        <v>0</v>
      </c>
    </row>
    <row r="134" spans="1:76" ht="15" customHeight="1" x14ac:dyDescent="0.25">
      <c r="A134" s="58" t="s">
        <v>428</v>
      </c>
      <c r="B134" s="18" t="s">
        <v>349</v>
      </c>
      <c r="C134" s="18" t="s">
        <v>287</v>
      </c>
      <c r="D134" s="8" t="s">
        <v>288</v>
      </c>
      <c r="E134" s="8"/>
      <c r="F134" s="18" t="s">
        <v>114</v>
      </c>
      <c r="G134" s="59">
        <f>'Stavební rozpočet'!G215</f>
        <v>256.68</v>
      </c>
      <c r="H134" s="59">
        <f>'Stavební rozpočet'!H215</f>
        <v>0</v>
      </c>
      <c r="I134" s="59">
        <f>ROUND(G134*H134,2)</f>
        <v>0</v>
      </c>
      <c r="J134" s="59">
        <f>'Stavební rozpočet'!J215</f>
        <v>4.0000000000000003E-5</v>
      </c>
      <c r="K134" s="59">
        <f>'Stavební rozpočet'!K215</f>
        <v>4.0000000000000003E-5</v>
      </c>
      <c r="L134" s="59">
        <f>G134*K134</f>
        <v>1.0267200000000001E-2</v>
      </c>
      <c r="M134" s="60" t="s">
        <v>115</v>
      </c>
      <c r="Z134" s="59">
        <f>ROUND(IF(AQ134="5",BJ134,0),2)</f>
        <v>0</v>
      </c>
      <c r="AB134" s="59">
        <f>ROUND(IF(AQ134="1",BH134,0),2)</f>
        <v>0</v>
      </c>
      <c r="AC134" s="59">
        <f>ROUND(IF(AQ134="1",BI134,0),2)</f>
        <v>0</v>
      </c>
      <c r="AD134" s="59">
        <f>ROUND(IF(AQ134="7",BH134,0),2)</f>
        <v>0</v>
      </c>
      <c r="AE134" s="59">
        <f>ROUND(IF(AQ134="7",BI134,0),2)</f>
        <v>0</v>
      </c>
      <c r="AF134" s="59">
        <f>ROUND(IF(AQ134="2",BH134,0),2)</f>
        <v>0</v>
      </c>
      <c r="AG134" s="59">
        <f>ROUND(IF(AQ134="2",BI134,0),2)</f>
        <v>0</v>
      </c>
      <c r="AH134" s="59">
        <f>ROUND(IF(AQ134="0",BJ134,0),2)</f>
        <v>0</v>
      </c>
      <c r="AI134" s="46" t="s">
        <v>349</v>
      </c>
      <c r="AJ134" s="59">
        <f>IF(AN134=0,I134,0)</f>
        <v>0</v>
      </c>
      <c r="AK134" s="59">
        <f>IF(AN134=12,I134,0)</f>
        <v>0</v>
      </c>
      <c r="AL134" s="59">
        <f>IF(AN134=21,I134,0)</f>
        <v>0</v>
      </c>
      <c r="AN134" s="59">
        <v>12</v>
      </c>
      <c r="AO134" s="59">
        <f>H134*0.012649582</f>
        <v>0</v>
      </c>
      <c r="AP134" s="59">
        <f>H134*(1-0.012649582)</f>
        <v>0</v>
      </c>
      <c r="AQ134" s="61" t="s">
        <v>111</v>
      </c>
      <c r="AV134" s="59">
        <f>ROUND(AW134+AX134,2)</f>
        <v>0</v>
      </c>
      <c r="AW134" s="59">
        <f>ROUND(G134*AO134,2)</f>
        <v>0</v>
      </c>
      <c r="AX134" s="59">
        <f>ROUND(G134*AP134,2)</f>
        <v>0</v>
      </c>
      <c r="AY134" s="61" t="s">
        <v>289</v>
      </c>
      <c r="AZ134" s="61" t="s">
        <v>421</v>
      </c>
      <c r="BA134" s="46" t="s">
        <v>352</v>
      </c>
      <c r="BC134" s="59">
        <f>AW134+AX134</f>
        <v>0</v>
      </c>
      <c r="BD134" s="59">
        <f>H134/(100-BE134)*100</f>
        <v>0</v>
      </c>
      <c r="BE134" s="59">
        <v>0</v>
      </c>
      <c r="BF134" s="59">
        <f>L134</f>
        <v>1.0267200000000001E-2</v>
      </c>
      <c r="BH134" s="59">
        <f>G134*AO134</f>
        <v>0</v>
      </c>
      <c r="BI134" s="59">
        <f>G134*AP134</f>
        <v>0</v>
      </c>
      <c r="BJ134" s="59">
        <f>G134*H134</f>
        <v>0</v>
      </c>
      <c r="BK134" s="59"/>
      <c r="BL134" s="59">
        <v>95</v>
      </c>
      <c r="BW134" s="59">
        <v>12</v>
      </c>
      <c r="BX134" s="16" t="s">
        <v>288</v>
      </c>
    </row>
    <row r="135" spans="1:76" ht="45" customHeight="1" x14ac:dyDescent="0.25">
      <c r="A135" s="62"/>
      <c r="D135" s="105" t="s">
        <v>733</v>
      </c>
      <c r="E135" s="105"/>
      <c r="F135" s="105"/>
      <c r="G135" s="105"/>
      <c r="H135" s="105"/>
      <c r="I135" s="105"/>
      <c r="J135" s="105"/>
      <c r="K135" s="105"/>
      <c r="L135" s="105"/>
      <c r="M135" s="105"/>
    </row>
    <row r="136" spans="1:76" x14ac:dyDescent="0.25">
      <c r="A136" s="62"/>
      <c r="D136" s="63" t="s">
        <v>416</v>
      </c>
      <c r="E136" s="63"/>
      <c r="G136" s="64">
        <v>256.68</v>
      </c>
      <c r="M136" s="65"/>
    </row>
    <row r="137" spans="1:76" ht="15" customHeight="1" x14ac:dyDescent="0.25">
      <c r="A137" s="54"/>
      <c r="B137" s="55" t="s">
        <v>349</v>
      </c>
      <c r="C137" s="55" t="s">
        <v>290</v>
      </c>
      <c r="D137" s="104" t="s">
        <v>291</v>
      </c>
      <c r="E137" s="104"/>
      <c r="F137" s="56" t="s">
        <v>88</v>
      </c>
      <c r="G137" s="56" t="s">
        <v>88</v>
      </c>
      <c r="H137" s="56" t="s">
        <v>88</v>
      </c>
      <c r="I137" s="39">
        <f>SUM(I138:I150)</f>
        <v>0</v>
      </c>
      <c r="J137" s="46"/>
      <c r="K137" s="46"/>
      <c r="L137" s="39">
        <f>SUM(L138:L150)</f>
        <v>7.8838920000000003</v>
      </c>
      <c r="M137" s="57"/>
      <c r="AI137" s="46" t="s">
        <v>349</v>
      </c>
      <c r="AS137" s="39">
        <f>SUM(AJ138:AJ150)</f>
        <v>0</v>
      </c>
      <c r="AT137" s="39">
        <f>SUM(AK138:AK150)</f>
        <v>0</v>
      </c>
      <c r="AU137" s="39">
        <f>SUM(AL138:AL150)</f>
        <v>0</v>
      </c>
    </row>
    <row r="138" spans="1:76" ht="15" customHeight="1" x14ac:dyDescent="0.25">
      <c r="A138" s="58" t="s">
        <v>429</v>
      </c>
      <c r="B138" s="18" t="s">
        <v>349</v>
      </c>
      <c r="C138" s="18" t="s">
        <v>293</v>
      </c>
      <c r="D138" s="8" t="s">
        <v>294</v>
      </c>
      <c r="E138" s="8"/>
      <c r="F138" s="18" t="s">
        <v>140</v>
      </c>
      <c r="G138" s="59">
        <f>'Stavební rozpočet'!G218</f>
        <v>24.9</v>
      </c>
      <c r="H138" s="59">
        <f>'Stavební rozpočet'!H218</f>
        <v>0</v>
      </c>
      <c r="I138" s="59">
        <f>ROUND(G138*H138,2)</f>
        <v>0</v>
      </c>
      <c r="J138" s="59">
        <f>'Stavební rozpočet'!J218</f>
        <v>0</v>
      </c>
      <c r="K138" s="59">
        <f>'Stavební rozpočet'!K218</f>
        <v>1.188E-2</v>
      </c>
      <c r="L138" s="59">
        <f>G138*K138</f>
        <v>0.29581199999999996</v>
      </c>
      <c r="M138" s="60" t="s">
        <v>115</v>
      </c>
      <c r="Z138" s="59">
        <f>ROUND(IF(AQ138="5",BJ138,0),2)</f>
        <v>0</v>
      </c>
      <c r="AB138" s="59">
        <f>ROUND(IF(AQ138="1",BH138,0),2)</f>
        <v>0</v>
      </c>
      <c r="AC138" s="59">
        <f>ROUND(IF(AQ138="1",BI138,0),2)</f>
        <v>0</v>
      </c>
      <c r="AD138" s="59">
        <f>ROUND(IF(AQ138="7",BH138,0),2)</f>
        <v>0</v>
      </c>
      <c r="AE138" s="59">
        <f>ROUND(IF(AQ138="7",BI138,0),2)</f>
        <v>0</v>
      </c>
      <c r="AF138" s="59">
        <f>ROUND(IF(AQ138="2",BH138,0),2)</f>
        <v>0</v>
      </c>
      <c r="AG138" s="59">
        <f>ROUND(IF(AQ138="2",BI138,0),2)</f>
        <v>0</v>
      </c>
      <c r="AH138" s="59">
        <f>ROUND(IF(AQ138="0",BJ138,0),2)</f>
        <v>0</v>
      </c>
      <c r="AI138" s="46" t="s">
        <v>349</v>
      </c>
      <c r="AJ138" s="59">
        <f>IF(AN138=0,I138,0)</f>
        <v>0</v>
      </c>
      <c r="AK138" s="59">
        <f>IF(AN138=12,I138,0)</f>
        <v>0</v>
      </c>
      <c r="AL138" s="59">
        <f>IF(AN138=21,I138,0)</f>
        <v>0</v>
      </c>
      <c r="AN138" s="59">
        <v>12</v>
      </c>
      <c r="AO138" s="59">
        <f>H138*0</f>
        <v>0</v>
      </c>
      <c r="AP138" s="59">
        <f>H138*(1-0)</f>
        <v>0</v>
      </c>
      <c r="AQ138" s="61" t="s">
        <v>111</v>
      </c>
      <c r="AV138" s="59">
        <f>ROUND(AW138+AX138,2)</f>
        <v>0</v>
      </c>
      <c r="AW138" s="59">
        <f>ROUND(G138*AO138,2)</f>
        <v>0</v>
      </c>
      <c r="AX138" s="59">
        <f>ROUND(G138*AP138,2)</f>
        <v>0</v>
      </c>
      <c r="AY138" s="61" t="s">
        <v>295</v>
      </c>
      <c r="AZ138" s="61" t="s">
        <v>421</v>
      </c>
      <c r="BA138" s="46" t="s">
        <v>352</v>
      </c>
      <c r="BC138" s="59">
        <f>AW138+AX138</f>
        <v>0</v>
      </c>
      <c r="BD138" s="59">
        <f>H138/(100-BE138)*100</f>
        <v>0</v>
      </c>
      <c r="BE138" s="59">
        <v>0</v>
      </c>
      <c r="BF138" s="59">
        <f>L138</f>
        <v>0.29581199999999996</v>
      </c>
      <c r="BH138" s="59">
        <f>G138*AO138</f>
        <v>0</v>
      </c>
      <c r="BI138" s="59">
        <f>G138*AP138</f>
        <v>0</v>
      </c>
      <c r="BJ138" s="59">
        <f>G138*H138</f>
        <v>0</v>
      </c>
      <c r="BK138" s="59"/>
      <c r="BL138" s="59">
        <v>96</v>
      </c>
      <c r="BW138" s="59">
        <v>12</v>
      </c>
      <c r="BX138" s="16" t="s">
        <v>294</v>
      </c>
    </row>
    <row r="139" spans="1:76" x14ac:dyDescent="0.25">
      <c r="A139" s="62"/>
      <c r="D139" s="63" t="s">
        <v>387</v>
      </c>
      <c r="E139" s="63"/>
      <c r="G139" s="64">
        <v>24.9</v>
      </c>
      <c r="M139" s="65"/>
    </row>
    <row r="140" spans="1:76" ht="15" customHeight="1" x14ac:dyDescent="0.25">
      <c r="A140" s="58" t="s">
        <v>430</v>
      </c>
      <c r="B140" s="18" t="s">
        <v>349</v>
      </c>
      <c r="C140" s="18" t="s">
        <v>297</v>
      </c>
      <c r="D140" s="8" t="s">
        <v>298</v>
      </c>
      <c r="E140" s="8"/>
      <c r="F140" s="18" t="s">
        <v>299</v>
      </c>
      <c r="G140" s="59">
        <f>'Stavební rozpočet'!G220</f>
        <v>44</v>
      </c>
      <c r="H140" s="59">
        <f>'Stavební rozpočet'!H220</f>
        <v>0</v>
      </c>
      <c r="I140" s="59">
        <f>ROUND(G140*H140,2)</f>
        <v>0</v>
      </c>
      <c r="J140" s="59">
        <f>'Stavební rozpočet'!J220</f>
        <v>0</v>
      </c>
      <c r="K140" s="59">
        <f>'Stavební rozpočet'!K220</f>
        <v>0</v>
      </c>
      <c r="L140" s="59">
        <f>G140*K140</f>
        <v>0</v>
      </c>
      <c r="M140" s="60" t="s">
        <v>115</v>
      </c>
      <c r="Z140" s="59">
        <f>ROUND(IF(AQ140="5",BJ140,0),2)</f>
        <v>0</v>
      </c>
      <c r="AB140" s="59">
        <f>ROUND(IF(AQ140="1",BH140,0),2)</f>
        <v>0</v>
      </c>
      <c r="AC140" s="59">
        <f>ROUND(IF(AQ140="1",BI140,0),2)</f>
        <v>0</v>
      </c>
      <c r="AD140" s="59">
        <f>ROUND(IF(AQ140="7",BH140,0),2)</f>
        <v>0</v>
      </c>
      <c r="AE140" s="59">
        <f>ROUND(IF(AQ140="7",BI140,0),2)</f>
        <v>0</v>
      </c>
      <c r="AF140" s="59">
        <f>ROUND(IF(AQ140="2",BH140,0),2)</f>
        <v>0</v>
      </c>
      <c r="AG140" s="59">
        <f>ROUND(IF(AQ140="2",BI140,0),2)</f>
        <v>0</v>
      </c>
      <c r="AH140" s="59">
        <f>ROUND(IF(AQ140="0",BJ140,0),2)</f>
        <v>0</v>
      </c>
      <c r="AI140" s="46" t="s">
        <v>349</v>
      </c>
      <c r="AJ140" s="59">
        <f>IF(AN140=0,I140,0)</f>
        <v>0</v>
      </c>
      <c r="AK140" s="59">
        <f>IF(AN140=12,I140,0)</f>
        <v>0</v>
      </c>
      <c r="AL140" s="59">
        <f>IF(AN140=21,I140,0)</f>
        <v>0</v>
      </c>
      <c r="AN140" s="59">
        <v>12</v>
      </c>
      <c r="AO140" s="59">
        <f>H140*0</f>
        <v>0</v>
      </c>
      <c r="AP140" s="59">
        <f>H140*(1-0)</f>
        <v>0</v>
      </c>
      <c r="AQ140" s="61" t="s">
        <v>111</v>
      </c>
      <c r="AV140" s="59">
        <f>ROUND(AW140+AX140,2)</f>
        <v>0</v>
      </c>
      <c r="AW140" s="59">
        <f>ROUND(G140*AO140,2)</f>
        <v>0</v>
      </c>
      <c r="AX140" s="59">
        <f>ROUND(G140*AP140,2)</f>
        <v>0</v>
      </c>
      <c r="AY140" s="61" t="s">
        <v>295</v>
      </c>
      <c r="AZ140" s="61" t="s">
        <v>421</v>
      </c>
      <c r="BA140" s="46" t="s">
        <v>352</v>
      </c>
      <c r="BC140" s="59">
        <f>AW140+AX140</f>
        <v>0</v>
      </c>
      <c r="BD140" s="59">
        <f>H140/(100-BE140)*100</f>
        <v>0</v>
      </c>
      <c r="BE140" s="59">
        <v>0</v>
      </c>
      <c r="BF140" s="59">
        <f>L140</f>
        <v>0</v>
      </c>
      <c r="BH140" s="59">
        <f>G140*AO140</f>
        <v>0</v>
      </c>
      <c r="BI140" s="59">
        <f>G140*AP140</f>
        <v>0</v>
      </c>
      <c r="BJ140" s="59">
        <f>G140*H140</f>
        <v>0</v>
      </c>
      <c r="BK140" s="59"/>
      <c r="BL140" s="59">
        <v>96</v>
      </c>
      <c r="BW140" s="59">
        <v>12</v>
      </c>
      <c r="BX140" s="16" t="s">
        <v>298</v>
      </c>
    </row>
    <row r="141" spans="1:76" x14ac:dyDescent="0.25">
      <c r="A141" s="62"/>
      <c r="D141" s="63" t="s">
        <v>431</v>
      </c>
      <c r="E141" s="63"/>
      <c r="G141" s="64">
        <v>44</v>
      </c>
      <c r="M141" s="65"/>
    </row>
    <row r="142" spans="1:76" ht="15" customHeight="1" x14ac:dyDescent="0.25">
      <c r="A142" s="58" t="s">
        <v>432</v>
      </c>
      <c r="B142" s="18" t="s">
        <v>349</v>
      </c>
      <c r="C142" s="18" t="s">
        <v>302</v>
      </c>
      <c r="D142" s="8" t="s">
        <v>303</v>
      </c>
      <c r="E142" s="8"/>
      <c r="F142" s="18" t="s">
        <v>114</v>
      </c>
      <c r="G142" s="59">
        <f>'Stavební rozpočet'!G222</f>
        <v>57.6</v>
      </c>
      <c r="H142" s="59">
        <f>'Stavební rozpočet'!H222</f>
        <v>0</v>
      </c>
      <c r="I142" s="59">
        <f>ROUND(G142*H142,2)</f>
        <v>0</v>
      </c>
      <c r="J142" s="59">
        <f>'Stavební rozpočet'!J222</f>
        <v>1E-3</v>
      </c>
      <c r="K142" s="59">
        <f>'Stavební rozpočet'!K222</f>
        <v>3.2000000000000001E-2</v>
      </c>
      <c r="L142" s="59">
        <f>G142*K142</f>
        <v>1.8432000000000002</v>
      </c>
      <c r="M142" s="60" t="s">
        <v>115</v>
      </c>
      <c r="Z142" s="59">
        <f>ROUND(IF(AQ142="5",BJ142,0),2)</f>
        <v>0</v>
      </c>
      <c r="AB142" s="59">
        <f>ROUND(IF(AQ142="1",BH142,0),2)</f>
        <v>0</v>
      </c>
      <c r="AC142" s="59">
        <f>ROUND(IF(AQ142="1",BI142,0),2)</f>
        <v>0</v>
      </c>
      <c r="AD142" s="59">
        <f>ROUND(IF(AQ142="7",BH142,0),2)</f>
        <v>0</v>
      </c>
      <c r="AE142" s="59">
        <f>ROUND(IF(AQ142="7",BI142,0),2)</f>
        <v>0</v>
      </c>
      <c r="AF142" s="59">
        <f>ROUND(IF(AQ142="2",BH142,0),2)</f>
        <v>0</v>
      </c>
      <c r="AG142" s="59">
        <f>ROUND(IF(AQ142="2",BI142,0),2)</f>
        <v>0</v>
      </c>
      <c r="AH142" s="59">
        <f>ROUND(IF(AQ142="0",BJ142,0),2)</f>
        <v>0</v>
      </c>
      <c r="AI142" s="46" t="s">
        <v>349</v>
      </c>
      <c r="AJ142" s="59">
        <f>IF(AN142=0,I142,0)</f>
        <v>0</v>
      </c>
      <c r="AK142" s="59">
        <f>IF(AN142=12,I142,0)</f>
        <v>0</v>
      </c>
      <c r="AL142" s="59">
        <f>IF(AN142=21,I142,0)</f>
        <v>0</v>
      </c>
      <c r="AN142" s="59">
        <v>12</v>
      </c>
      <c r="AO142" s="59">
        <f>H142*0.133991144</f>
        <v>0</v>
      </c>
      <c r="AP142" s="59">
        <f>H142*(1-0.133991144)</f>
        <v>0</v>
      </c>
      <c r="AQ142" s="61" t="s">
        <v>111</v>
      </c>
      <c r="AV142" s="59">
        <f>ROUND(AW142+AX142,2)</f>
        <v>0</v>
      </c>
      <c r="AW142" s="59">
        <f>ROUND(G142*AO142,2)</f>
        <v>0</v>
      </c>
      <c r="AX142" s="59">
        <f>ROUND(G142*AP142,2)</f>
        <v>0</v>
      </c>
      <c r="AY142" s="61" t="s">
        <v>295</v>
      </c>
      <c r="AZ142" s="61" t="s">
        <v>421</v>
      </c>
      <c r="BA142" s="46" t="s">
        <v>352</v>
      </c>
      <c r="BC142" s="59">
        <f>AW142+AX142</f>
        <v>0</v>
      </c>
      <c r="BD142" s="59">
        <f>H142/(100-BE142)*100</f>
        <v>0</v>
      </c>
      <c r="BE142" s="59">
        <v>0</v>
      </c>
      <c r="BF142" s="59">
        <f>L142</f>
        <v>1.8432000000000002</v>
      </c>
      <c r="BH142" s="59">
        <f>G142*AO142</f>
        <v>0</v>
      </c>
      <c r="BI142" s="59">
        <f>G142*AP142</f>
        <v>0</v>
      </c>
      <c r="BJ142" s="59">
        <f>G142*H142</f>
        <v>0</v>
      </c>
      <c r="BK142" s="59"/>
      <c r="BL142" s="59">
        <v>96</v>
      </c>
      <c r="BW142" s="59">
        <v>12</v>
      </c>
      <c r="BX142" s="16" t="s">
        <v>303</v>
      </c>
    </row>
    <row r="143" spans="1:76" x14ac:dyDescent="0.25">
      <c r="A143" s="62"/>
      <c r="D143" s="63" t="s">
        <v>433</v>
      </c>
      <c r="E143" s="63"/>
      <c r="G143" s="64">
        <v>57.6</v>
      </c>
      <c r="M143" s="65"/>
    </row>
    <row r="144" spans="1:76" ht="15" customHeight="1" x14ac:dyDescent="0.25">
      <c r="A144" s="58" t="s">
        <v>434</v>
      </c>
      <c r="B144" s="18" t="s">
        <v>349</v>
      </c>
      <c r="C144" s="18" t="s">
        <v>435</v>
      </c>
      <c r="D144" s="8" t="s">
        <v>436</v>
      </c>
      <c r="E144" s="8"/>
      <c r="F144" s="18" t="s">
        <v>360</v>
      </c>
      <c r="G144" s="59">
        <f>'Stavební rozpočet'!G224</f>
        <v>1.115</v>
      </c>
      <c r="H144" s="59">
        <f>'Stavební rozpočet'!H224</f>
        <v>0</v>
      </c>
      <c r="I144" s="59">
        <f>ROUND(G144*H144,2)</f>
        <v>0</v>
      </c>
      <c r="J144" s="59">
        <f>'Stavební rozpočet'!J224</f>
        <v>0</v>
      </c>
      <c r="K144" s="59">
        <f>'Stavební rozpočet'!K224</f>
        <v>2.2000000000000002</v>
      </c>
      <c r="L144" s="59">
        <f>G144*K144</f>
        <v>2.4530000000000003</v>
      </c>
      <c r="M144" s="60" t="s">
        <v>115</v>
      </c>
      <c r="Z144" s="59">
        <f>ROUND(IF(AQ144="5",BJ144,0),2)</f>
        <v>0</v>
      </c>
      <c r="AB144" s="59">
        <f>ROUND(IF(AQ144="1",BH144,0),2)</f>
        <v>0</v>
      </c>
      <c r="AC144" s="59">
        <f>ROUND(IF(AQ144="1",BI144,0),2)</f>
        <v>0</v>
      </c>
      <c r="AD144" s="59">
        <f>ROUND(IF(AQ144="7",BH144,0),2)</f>
        <v>0</v>
      </c>
      <c r="AE144" s="59">
        <f>ROUND(IF(AQ144="7",BI144,0),2)</f>
        <v>0</v>
      </c>
      <c r="AF144" s="59">
        <f>ROUND(IF(AQ144="2",BH144,0),2)</f>
        <v>0</v>
      </c>
      <c r="AG144" s="59">
        <f>ROUND(IF(AQ144="2",BI144,0),2)</f>
        <v>0</v>
      </c>
      <c r="AH144" s="59">
        <f>ROUND(IF(AQ144="0",BJ144,0),2)</f>
        <v>0</v>
      </c>
      <c r="AI144" s="46" t="s">
        <v>349</v>
      </c>
      <c r="AJ144" s="59">
        <f>IF(AN144=0,I144,0)</f>
        <v>0</v>
      </c>
      <c r="AK144" s="59">
        <f>IF(AN144=12,I144,0)</f>
        <v>0</v>
      </c>
      <c r="AL144" s="59">
        <f>IF(AN144=21,I144,0)</f>
        <v>0</v>
      </c>
      <c r="AN144" s="59">
        <v>12</v>
      </c>
      <c r="AO144" s="59">
        <f>H144*0</f>
        <v>0</v>
      </c>
      <c r="AP144" s="59">
        <f>H144*(1-0)</f>
        <v>0</v>
      </c>
      <c r="AQ144" s="61" t="s">
        <v>111</v>
      </c>
      <c r="AV144" s="59">
        <f>ROUND(AW144+AX144,2)</f>
        <v>0</v>
      </c>
      <c r="AW144" s="59">
        <f>ROUND(G144*AO144,2)</f>
        <v>0</v>
      </c>
      <c r="AX144" s="59">
        <f>ROUND(G144*AP144,2)</f>
        <v>0</v>
      </c>
      <c r="AY144" s="61" t="s">
        <v>295</v>
      </c>
      <c r="AZ144" s="61" t="s">
        <v>421</v>
      </c>
      <c r="BA144" s="46" t="s">
        <v>352</v>
      </c>
      <c r="BC144" s="59">
        <f>AW144+AX144</f>
        <v>0</v>
      </c>
      <c r="BD144" s="59">
        <f>H144/(100-BE144)*100</f>
        <v>0</v>
      </c>
      <c r="BE144" s="59">
        <v>0</v>
      </c>
      <c r="BF144" s="59">
        <f>L144</f>
        <v>2.4530000000000003</v>
      </c>
      <c r="BH144" s="59">
        <f>G144*AO144</f>
        <v>0</v>
      </c>
      <c r="BI144" s="59">
        <f>G144*AP144</f>
        <v>0</v>
      </c>
      <c r="BJ144" s="59">
        <f>G144*H144</f>
        <v>0</v>
      </c>
      <c r="BK144" s="59"/>
      <c r="BL144" s="59">
        <v>96</v>
      </c>
      <c r="BW144" s="59">
        <v>12</v>
      </c>
      <c r="BX144" s="16" t="s">
        <v>436</v>
      </c>
    </row>
    <row r="145" spans="1:76" x14ac:dyDescent="0.25">
      <c r="A145" s="62"/>
      <c r="D145" s="63" t="s">
        <v>362</v>
      </c>
      <c r="E145" s="63"/>
      <c r="G145" s="64">
        <v>1.115</v>
      </c>
      <c r="M145" s="65"/>
    </row>
    <row r="146" spans="1:76" ht="15" customHeight="1" x14ac:dyDescent="0.25">
      <c r="A146" s="58" t="s">
        <v>437</v>
      </c>
      <c r="B146" s="18" t="s">
        <v>349</v>
      </c>
      <c r="C146" s="18" t="s">
        <v>438</v>
      </c>
      <c r="D146" s="8" t="s">
        <v>439</v>
      </c>
      <c r="E146" s="8"/>
      <c r="F146" s="18" t="s">
        <v>360</v>
      </c>
      <c r="G146" s="59">
        <f>'Stavební rozpočet'!G226</f>
        <v>0.89200000000000002</v>
      </c>
      <c r="H146" s="59">
        <f>'Stavební rozpočet'!H226</f>
        <v>0</v>
      </c>
      <c r="I146" s="59">
        <f>ROUND(G146*H146,2)</f>
        <v>0</v>
      </c>
      <c r="J146" s="59">
        <f>'Stavební rozpočet'!J226</f>
        <v>0</v>
      </c>
      <c r="K146" s="59">
        <f>'Stavební rozpočet'!K226</f>
        <v>2.2000000000000002</v>
      </c>
      <c r="L146" s="59">
        <f>G146*K146</f>
        <v>1.9624000000000001</v>
      </c>
      <c r="M146" s="60" t="s">
        <v>115</v>
      </c>
      <c r="Z146" s="59">
        <f>ROUND(IF(AQ146="5",BJ146,0),2)</f>
        <v>0</v>
      </c>
      <c r="AB146" s="59">
        <f>ROUND(IF(AQ146="1",BH146,0),2)</f>
        <v>0</v>
      </c>
      <c r="AC146" s="59">
        <f>ROUND(IF(AQ146="1",BI146,0),2)</f>
        <v>0</v>
      </c>
      <c r="AD146" s="59">
        <f>ROUND(IF(AQ146="7",BH146,0),2)</f>
        <v>0</v>
      </c>
      <c r="AE146" s="59">
        <f>ROUND(IF(AQ146="7",BI146,0),2)</f>
        <v>0</v>
      </c>
      <c r="AF146" s="59">
        <f>ROUND(IF(AQ146="2",BH146,0),2)</f>
        <v>0</v>
      </c>
      <c r="AG146" s="59">
        <f>ROUND(IF(AQ146="2",BI146,0),2)</f>
        <v>0</v>
      </c>
      <c r="AH146" s="59">
        <f>ROUND(IF(AQ146="0",BJ146,0),2)</f>
        <v>0</v>
      </c>
      <c r="AI146" s="46" t="s">
        <v>349</v>
      </c>
      <c r="AJ146" s="59">
        <f>IF(AN146=0,I146,0)</f>
        <v>0</v>
      </c>
      <c r="AK146" s="59">
        <f>IF(AN146=12,I146,0)</f>
        <v>0</v>
      </c>
      <c r="AL146" s="59">
        <f>IF(AN146=21,I146,0)</f>
        <v>0</v>
      </c>
      <c r="AN146" s="59">
        <v>12</v>
      </c>
      <c r="AO146" s="59">
        <f>H146*0</f>
        <v>0</v>
      </c>
      <c r="AP146" s="59">
        <f>H146*(1-0)</f>
        <v>0</v>
      </c>
      <c r="AQ146" s="61" t="s">
        <v>111</v>
      </c>
      <c r="AV146" s="59">
        <f>ROUND(AW146+AX146,2)</f>
        <v>0</v>
      </c>
      <c r="AW146" s="59">
        <f>ROUND(G146*AO146,2)</f>
        <v>0</v>
      </c>
      <c r="AX146" s="59">
        <f>ROUND(G146*AP146,2)</f>
        <v>0</v>
      </c>
      <c r="AY146" s="61" t="s">
        <v>295</v>
      </c>
      <c r="AZ146" s="61" t="s">
        <v>421</v>
      </c>
      <c r="BA146" s="46" t="s">
        <v>352</v>
      </c>
      <c r="BC146" s="59">
        <f>AW146+AX146</f>
        <v>0</v>
      </c>
      <c r="BD146" s="59">
        <f>H146/(100-BE146)*100</f>
        <v>0</v>
      </c>
      <c r="BE146" s="59">
        <v>0</v>
      </c>
      <c r="BF146" s="59">
        <f>L146</f>
        <v>1.9624000000000001</v>
      </c>
      <c r="BH146" s="59">
        <f>G146*AO146</f>
        <v>0</v>
      </c>
      <c r="BI146" s="59">
        <f>G146*AP146</f>
        <v>0</v>
      </c>
      <c r="BJ146" s="59">
        <f>G146*H146</f>
        <v>0</v>
      </c>
      <c r="BK146" s="59"/>
      <c r="BL146" s="59">
        <v>96</v>
      </c>
      <c r="BW146" s="59">
        <v>12</v>
      </c>
      <c r="BX146" s="16" t="s">
        <v>439</v>
      </c>
    </row>
    <row r="147" spans="1:76" x14ac:dyDescent="0.25">
      <c r="A147" s="62"/>
      <c r="D147" s="63" t="s">
        <v>440</v>
      </c>
      <c r="E147" s="63"/>
      <c r="G147" s="64">
        <v>0.89200000000000002</v>
      </c>
      <c r="M147" s="65"/>
    </row>
    <row r="148" spans="1:76" ht="15" customHeight="1" x14ac:dyDescent="0.25">
      <c r="A148" s="58" t="s">
        <v>441</v>
      </c>
      <c r="B148" s="18" t="s">
        <v>349</v>
      </c>
      <c r="C148" s="18" t="s">
        <v>442</v>
      </c>
      <c r="D148" s="8" t="s">
        <v>443</v>
      </c>
      <c r="E148" s="8"/>
      <c r="F148" s="18" t="s">
        <v>114</v>
      </c>
      <c r="G148" s="59">
        <f>'Stavební rozpočet'!G228</f>
        <v>22.3</v>
      </c>
      <c r="H148" s="59">
        <f>'Stavební rozpočet'!H228</f>
        <v>0</v>
      </c>
      <c r="I148" s="59">
        <f>ROUND(G148*H148,2)</f>
        <v>0</v>
      </c>
      <c r="J148" s="59">
        <f>'Stavební rozpočet'!J228</f>
        <v>0</v>
      </c>
      <c r="K148" s="59">
        <f>'Stavební rozpočet'!K228</f>
        <v>1.26E-2</v>
      </c>
      <c r="L148" s="59">
        <f>G148*K148</f>
        <v>0.28098000000000001</v>
      </c>
      <c r="M148" s="60" t="s">
        <v>115</v>
      </c>
      <c r="Z148" s="59">
        <f>ROUND(IF(AQ148="5",BJ148,0),2)</f>
        <v>0</v>
      </c>
      <c r="AB148" s="59">
        <f>ROUND(IF(AQ148="1",BH148,0),2)</f>
        <v>0</v>
      </c>
      <c r="AC148" s="59">
        <f>ROUND(IF(AQ148="1",BI148,0),2)</f>
        <v>0</v>
      </c>
      <c r="AD148" s="59">
        <f>ROUND(IF(AQ148="7",BH148,0),2)</f>
        <v>0</v>
      </c>
      <c r="AE148" s="59">
        <f>ROUND(IF(AQ148="7",BI148,0),2)</f>
        <v>0</v>
      </c>
      <c r="AF148" s="59">
        <f>ROUND(IF(AQ148="2",BH148,0),2)</f>
        <v>0</v>
      </c>
      <c r="AG148" s="59">
        <f>ROUND(IF(AQ148="2",BI148,0),2)</f>
        <v>0</v>
      </c>
      <c r="AH148" s="59">
        <f>ROUND(IF(AQ148="0",BJ148,0),2)</f>
        <v>0</v>
      </c>
      <c r="AI148" s="46" t="s">
        <v>349</v>
      </c>
      <c r="AJ148" s="59">
        <f>IF(AN148=0,I148,0)</f>
        <v>0</v>
      </c>
      <c r="AK148" s="59">
        <f>IF(AN148=12,I148,0)</f>
        <v>0</v>
      </c>
      <c r="AL148" s="59">
        <f>IF(AN148=21,I148,0)</f>
        <v>0</v>
      </c>
      <c r="AN148" s="59">
        <v>12</v>
      </c>
      <c r="AO148" s="59">
        <f>H148*0</f>
        <v>0</v>
      </c>
      <c r="AP148" s="59">
        <f>H148*(1-0)</f>
        <v>0</v>
      </c>
      <c r="AQ148" s="61" t="s">
        <v>111</v>
      </c>
      <c r="AV148" s="59">
        <f>ROUND(AW148+AX148,2)</f>
        <v>0</v>
      </c>
      <c r="AW148" s="59">
        <f>ROUND(G148*AO148,2)</f>
        <v>0</v>
      </c>
      <c r="AX148" s="59">
        <f>ROUND(G148*AP148,2)</f>
        <v>0</v>
      </c>
      <c r="AY148" s="61" t="s">
        <v>295</v>
      </c>
      <c r="AZ148" s="61" t="s">
        <v>421</v>
      </c>
      <c r="BA148" s="46" t="s">
        <v>352</v>
      </c>
      <c r="BC148" s="59">
        <f>AW148+AX148</f>
        <v>0</v>
      </c>
      <c r="BD148" s="59">
        <f>H148/(100-BE148)*100</f>
        <v>0</v>
      </c>
      <c r="BE148" s="59">
        <v>0</v>
      </c>
      <c r="BF148" s="59">
        <f>L148</f>
        <v>0.28098000000000001</v>
      </c>
      <c r="BH148" s="59">
        <f>G148*AO148</f>
        <v>0</v>
      </c>
      <c r="BI148" s="59">
        <f>G148*AP148</f>
        <v>0</v>
      </c>
      <c r="BJ148" s="59">
        <f>G148*H148</f>
        <v>0</v>
      </c>
      <c r="BK148" s="59"/>
      <c r="BL148" s="59">
        <v>96</v>
      </c>
      <c r="BW148" s="59">
        <v>12</v>
      </c>
      <c r="BX148" s="16" t="s">
        <v>443</v>
      </c>
    </row>
    <row r="149" spans="1:76" x14ac:dyDescent="0.25">
      <c r="A149" s="62"/>
      <c r="D149" s="63" t="s">
        <v>444</v>
      </c>
      <c r="E149" s="63"/>
      <c r="G149" s="64">
        <v>22.3</v>
      </c>
      <c r="M149" s="65"/>
    </row>
    <row r="150" spans="1:76" ht="15" customHeight="1" x14ac:dyDescent="0.25">
      <c r="A150" s="58" t="s">
        <v>445</v>
      </c>
      <c r="B150" s="18" t="s">
        <v>349</v>
      </c>
      <c r="C150" s="18" t="s">
        <v>446</v>
      </c>
      <c r="D150" s="8" t="s">
        <v>447</v>
      </c>
      <c r="E150" s="8"/>
      <c r="F150" s="18" t="s">
        <v>114</v>
      </c>
      <c r="G150" s="59">
        <f>'Stavební rozpočet'!G230</f>
        <v>23.3</v>
      </c>
      <c r="H150" s="59">
        <f>'Stavební rozpočet'!H230</f>
        <v>0</v>
      </c>
      <c r="I150" s="59">
        <f>ROUND(G150*H150,2)</f>
        <v>0</v>
      </c>
      <c r="J150" s="59">
        <f>'Stavební rozpočet'!J230</f>
        <v>0</v>
      </c>
      <c r="K150" s="59">
        <f>'Stavební rozpočet'!K230</f>
        <v>4.4999999999999998E-2</v>
      </c>
      <c r="L150" s="59">
        <f>G150*K150</f>
        <v>1.0485</v>
      </c>
      <c r="M150" s="60" t="s">
        <v>115</v>
      </c>
      <c r="Z150" s="59">
        <f>ROUND(IF(AQ150="5",BJ150,0),2)</f>
        <v>0</v>
      </c>
      <c r="AB150" s="59">
        <f>ROUND(IF(AQ150="1",BH150,0),2)</f>
        <v>0</v>
      </c>
      <c r="AC150" s="59">
        <f>ROUND(IF(AQ150="1",BI150,0),2)</f>
        <v>0</v>
      </c>
      <c r="AD150" s="59">
        <f>ROUND(IF(AQ150="7",BH150,0),2)</f>
        <v>0</v>
      </c>
      <c r="AE150" s="59">
        <f>ROUND(IF(AQ150="7",BI150,0),2)</f>
        <v>0</v>
      </c>
      <c r="AF150" s="59">
        <f>ROUND(IF(AQ150="2",BH150,0),2)</f>
        <v>0</v>
      </c>
      <c r="AG150" s="59">
        <f>ROUND(IF(AQ150="2",BI150,0),2)</f>
        <v>0</v>
      </c>
      <c r="AH150" s="59">
        <f>ROUND(IF(AQ150="0",BJ150,0),2)</f>
        <v>0</v>
      </c>
      <c r="AI150" s="46" t="s">
        <v>349</v>
      </c>
      <c r="AJ150" s="59">
        <f>IF(AN150=0,I150,0)</f>
        <v>0</v>
      </c>
      <c r="AK150" s="59">
        <f>IF(AN150=12,I150,0)</f>
        <v>0</v>
      </c>
      <c r="AL150" s="59">
        <f>IF(AN150=21,I150,0)</f>
        <v>0</v>
      </c>
      <c r="AN150" s="59">
        <v>12</v>
      </c>
      <c r="AO150" s="59">
        <f>H150*0</f>
        <v>0</v>
      </c>
      <c r="AP150" s="59">
        <f>H150*(1-0)</f>
        <v>0</v>
      </c>
      <c r="AQ150" s="61" t="s">
        <v>111</v>
      </c>
      <c r="AV150" s="59">
        <f>ROUND(AW150+AX150,2)</f>
        <v>0</v>
      </c>
      <c r="AW150" s="59">
        <f>ROUND(G150*AO150,2)</f>
        <v>0</v>
      </c>
      <c r="AX150" s="59">
        <f>ROUND(G150*AP150,2)</f>
        <v>0</v>
      </c>
      <c r="AY150" s="61" t="s">
        <v>295</v>
      </c>
      <c r="AZ150" s="61" t="s">
        <v>421</v>
      </c>
      <c r="BA150" s="46" t="s">
        <v>352</v>
      </c>
      <c r="BC150" s="59">
        <f>AW150+AX150</f>
        <v>0</v>
      </c>
      <c r="BD150" s="59">
        <f>H150/(100-BE150)*100</f>
        <v>0</v>
      </c>
      <c r="BE150" s="59">
        <v>0</v>
      </c>
      <c r="BF150" s="59">
        <f>L150</f>
        <v>1.0485</v>
      </c>
      <c r="BH150" s="59">
        <f>G150*AO150</f>
        <v>0</v>
      </c>
      <c r="BI150" s="59">
        <f>G150*AP150</f>
        <v>0</v>
      </c>
      <c r="BJ150" s="59">
        <f>G150*H150</f>
        <v>0</v>
      </c>
      <c r="BK150" s="59"/>
      <c r="BL150" s="59">
        <v>96</v>
      </c>
      <c r="BW150" s="59">
        <v>12</v>
      </c>
      <c r="BX150" s="16" t="s">
        <v>447</v>
      </c>
    </row>
    <row r="151" spans="1:76" x14ac:dyDescent="0.25">
      <c r="A151" s="62"/>
      <c r="D151" s="63" t="s">
        <v>379</v>
      </c>
      <c r="E151" s="63"/>
      <c r="G151" s="64">
        <v>22.3</v>
      </c>
      <c r="M151" s="65"/>
    </row>
    <row r="152" spans="1:76" x14ac:dyDescent="0.25">
      <c r="A152" s="62"/>
      <c r="D152" s="63" t="s">
        <v>448</v>
      </c>
      <c r="E152" s="63"/>
      <c r="G152" s="64">
        <v>1</v>
      </c>
      <c r="M152" s="65"/>
    </row>
    <row r="153" spans="1:76" ht="15" customHeight="1" x14ac:dyDescent="0.25">
      <c r="A153" s="54"/>
      <c r="B153" s="55" t="s">
        <v>349</v>
      </c>
      <c r="C153" s="55" t="s">
        <v>312</v>
      </c>
      <c r="D153" s="104" t="s">
        <v>313</v>
      </c>
      <c r="E153" s="104"/>
      <c r="F153" s="56" t="s">
        <v>88</v>
      </c>
      <c r="G153" s="56" t="s">
        <v>88</v>
      </c>
      <c r="H153" s="56" t="s">
        <v>88</v>
      </c>
      <c r="I153" s="39">
        <f>SUM(I154)</f>
        <v>0</v>
      </c>
      <c r="J153" s="46"/>
      <c r="K153" s="46"/>
      <c r="L153" s="39">
        <f>SUM(L154)</f>
        <v>1.19784</v>
      </c>
      <c r="M153" s="57"/>
      <c r="AI153" s="46" t="s">
        <v>349</v>
      </c>
      <c r="AS153" s="39">
        <f>SUM(AJ154)</f>
        <v>0</v>
      </c>
      <c r="AT153" s="39">
        <f>SUM(AK154)</f>
        <v>0</v>
      </c>
      <c r="AU153" s="39">
        <f>SUM(AL154)</f>
        <v>0</v>
      </c>
    </row>
    <row r="154" spans="1:76" ht="15" customHeight="1" x14ac:dyDescent="0.25">
      <c r="A154" s="58" t="s">
        <v>449</v>
      </c>
      <c r="B154" s="18" t="s">
        <v>349</v>
      </c>
      <c r="C154" s="18" t="s">
        <v>315</v>
      </c>
      <c r="D154" s="8" t="s">
        <v>316</v>
      </c>
      <c r="E154" s="8"/>
      <c r="F154" s="18" t="s">
        <v>114</v>
      </c>
      <c r="G154" s="59">
        <f>'Stavební rozpočet'!G234</f>
        <v>26.04</v>
      </c>
      <c r="H154" s="59">
        <f>'Stavební rozpočet'!H234</f>
        <v>0</v>
      </c>
      <c r="I154" s="59">
        <f>ROUND(G154*H154,2)</f>
        <v>0</v>
      </c>
      <c r="J154" s="59">
        <f>'Stavební rozpočet'!J234</f>
        <v>0</v>
      </c>
      <c r="K154" s="59">
        <f>'Stavební rozpočet'!K234</f>
        <v>4.5999999999999999E-2</v>
      </c>
      <c r="L154" s="59">
        <f>G154*K154</f>
        <v>1.19784</v>
      </c>
      <c r="M154" s="60" t="s">
        <v>115</v>
      </c>
      <c r="Z154" s="59">
        <f>ROUND(IF(AQ154="5",BJ154,0),2)</f>
        <v>0</v>
      </c>
      <c r="AB154" s="59">
        <f>ROUND(IF(AQ154="1",BH154,0),2)</f>
        <v>0</v>
      </c>
      <c r="AC154" s="59">
        <f>ROUND(IF(AQ154="1",BI154,0),2)</f>
        <v>0</v>
      </c>
      <c r="AD154" s="59">
        <f>ROUND(IF(AQ154="7",BH154,0),2)</f>
        <v>0</v>
      </c>
      <c r="AE154" s="59">
        <f>ROUND(IF(AQ154="7",BI154,0),2)</f>
        <v>0</v>
      </c>
      <c r="AF154" s="59">
        <f>ROUND(IF(AQ154="2",BH154,0),2)</f>
        <v>0</v>
      </c>
      <c r="AG154" s="59">
        <f>ROUND(IF(AQ154="2",BI154,0),2)</f>
        <v>0</v>
      </c>
      <c r="AH154" s="59">
        <f>ROUND(IF(AQ154="0",BJ154,0),2)</f>
        <v>0</v>
      </c>
      <c r="AI154" s="46" t="s">
        <v>349</v>
      </c>
      <c r="AJ154" s="59">
        <f>IF(AN154=0,I154,0)</f>
        <v>0</v>
      </c>
      <c r="AK154" s="59">
        <f>IF(AN154=12,I154,0)</f>
        <v>0</v>
      </c>
      <c r="AL154" s="59">
        <f>IF(AN154=21,I154,0)</f>
        <v>0</v>
      </c>
      <c r="AN154" s="59">
        <v>12</v>
      </c>
      <c r="AO154" s="59">
        <f>H154*0</f>
        <v>0</v>
      </c>
      <c r="AP154" s="59">
        <f>H154*(1-0)</f>
        <v>0</v>
      </c>
      <c r="AQ154" s="61" t="s">
        <v>111</v>
      </c>
      <c r="AV154" s="59">
        <f>ROUND(AW154+AX154,2)</f>
        <v>0</v>
      </c>
      <c r="AW154" s="59">
        <f>ROUND(G154*AO154,2)</f>
        <v>0</v>
      </c>
      <c r="AX154" s="59">
        <f>ROUND(G154*AP154,2)</f>
        <v>0</v>
      </c>
      <c r="AY154" s="61" t="s">
        <v>317</v>
      </c>
      <c r="AZ154" s="61" t="s">
        <v>421</v>
      </c>
      <c r="BA154" s="46" t="s">
        <v>352</v>
      </c>
      <c r="BC154" s="59">
        <f>AW154+AX154</f>
        <v>0</v>
      </c>
      <c r="BD154" s="59">
        <f>H154/(100-BE154)*100</f>
        <v>0</v>
      </c>
      <c r="BE154" s="59">
        <v>0</v>
      </c>
      <c r="BF154" s="59">
        <f>L154</f>
        <v>1.19784</v>
      </c>
      <c r="BH154" s="59">
        <f>G154*AO154</f>
        <v>0</v>
      </c>
      <c r="BI154" s="59">
        <f>G154*AP154</f>
        <v>0</v>
      </c>
      <c r="BJ154" s="59">
        <f>G154*H154</f>
        <v>0</v>
      </c>
      <c r="BK154" s="59"/>
      <c r="BL154" s="59">
        <v>97</v>
      </c>
      <c r="BW154" s="59">
        <v>12</v>
      </c>
      <c r="BX154" s="16" t="s">
        <v>316</v>
      </c>
    </row>
    <row r="155" spans="1:76" x14ac:dyDescent="0.25">
      <c r="A155" s="62"/>
      <c r="D155" s="63" t="s">
        <v>450</v>
      </c>
      <c r="E155" s="63"/>
      <c r="G155" s="64">
        <v>26.04</v>
      </c>
      <c r="M155" s="65"/>
    </row>
    <row r="156" spans="1:76" ht="15" customHeight="1" x14ac:dyDescent="0.25">
      <c r="A156" s="54"/>
      <c r="B156" s="55" t="s">
        <v>349</v>
      </c>
      <c r="C156" s="55" t="s">
        <v>318</v>
      </c>
      <c r="D156" s="104" t="s">
        <v>319</v>
      </c>
      <c r="E156" s="104"/>
      <c r="F156" s="56" t="s">
        <v>88</v>
      </c>
      <c r="G156" s="56" t="s">
        <v>88</v>
      </c>
      <c r="H156" s="56" t="s">
        <v>88</v>
      </c>
      <c r="I156" s="39">
        <f>SUM(I157)</f>
        <v>0</v>
      </c>
      <c r="J156" s="46"/>
      <c r="K156" s="46"/>
      <c r="L156" s="39">
        <f>SUM(L157)</f>
        <v>0</v>
      </c>
      <c r="M156" s="57"/>
      <c r="AI156" s="46" t="s">
        <v>349</v>
      </c>
      <c r="AS156" s="39">
        <f>SUM(AJ157)</f>
        <v>0</v>
      </c>
      <c r="AT156" s="39">
        <f>SUM(AK157)</f>
        <v>0</v>
      </c>
      <c r="AU156" s="39">
        <f>SUM(AL157)</f>
        <v>0</v>
      </c>
    </row>
    <row r="157" spans="1:76" ht="15" customHeight="1" x14ac:dyDescent="0.25">
      <c r="A157" s="58" t="s">
        <v>451</v>
      </c>
      <c r="B157" s="18" t="s">
        <v>349</v>
      </c>
      <c r="C157" s="18" t="s">
        <v>321</v>
      </c>
      <c r="D157" s="8" t="s">
        <v>322</v>
      </c>
      <c r="E157" s="8"/>
      <c r="F157" s="18" t="s">
        <v>224</v>
      </c>
      <c r="G157" s="59">
        <f>'Stavební rozpočet'!G237</f>
        <v>5.1929999999999996</v>
      </c>
      <c r="H157" s="59">
        <f>'Stavební rozpočet'!H237</f>
        <v>0</v>
      </c>
      <c r="I157" s="59">
        <f>ROUND(G157*H157,2)</f>
        <v>0</v>
      </c>
      <c r="J157" s="59">
        <f>'Stavební rozpočet'!J237</f>
        <v>0</v>
      </c>
      <c r="K157" s="59">
        <f>'Stavební rozpočet'!K237</f>
        <v>0</v>
      </c>
      <c r="L157" s="59">
        <f>G157*K157</f>
        <v>0</v>
      </c>
      <c r="M157" s="60" t="s">
        <v>115</v>
      </c>
      <c r="Z157" s="59">
        <f>ROUND(IF(AQ157="5",BJ157,0),2)</f>
        <v>0</v>
      </c>
      <c r="AB157" s="59">
        <f>ROUND(IF(AQ157="1",BH157,0),2)</f>
        <v>0</v>
      </c>
      <c r="AC157" s="59">
        <f>ROUND(IF(AQ157="1",BI157,0),2)</f>
        <v>0</v>
      </c>
      <c r="AD157" s="59">
        <f>ROUND(IF(AQ157="7",BH157,0),2)</f>
        <v>0</v>
      </c>
      <c r="AE157" s="59">
        <f>ROUND(IF(AQ157="7",BI157,0),2)</f>
        <v>0</v>
      </c>
      <c r="AF157" s="59">
        <f>ROUND(IF(AQ157="2",BH157,0),2)</f>
        <v>0</v>
      </c>
      <c r="AG157" s="59">
        <f>ROUND(IF(AQ157="2",BI157,0),2)</f>
        <v>0</v>
      </c>
      <c r="AH157" s="59">
        <f>ROUND(IF(AQ157="0",BJ157,0),2)</f>
        <v>0</v>
      </c>
      <c r="AI157" s="46" t="s">
        <v>349</v>
      </c>
      <c r="AJ157" s="59">
        <f>IF(AN157=0,I157,0)</f>
        <v>0</v>
      </c>
      <c r="AK157" s="59">
        <f>IF(AN157=12,I157,0)</f>
        <v>0</v>
      </c>
      <c r="AL157" s="59">
        <f>IF(AN157=21,I157,0)</f>
        <v>0</v>
      </c>
      <c r="AN157" s="59">
        <v>12</v>
      </c>
      <c r="AO157" s="59">
        <f>H157*0</f>
        <v>0</v>
      </c>
      <c r="AP157" s="59">
        <f>H157*(1-0)</f>
        <v>0</v>
      </c>
      <c r="AQ157" s="61" t="s">
        <v>137</v>
      </c>
      <c r="AV157" s="59">
        <f>ROUND(AW157+AX157,2)</f>
        <v>0</v>
      </c>
      <c r="AW157" s="59">
        <f>ROUND(G157*AO157,2)</f>
        <v>0</v>
      </c>
      <c r="AX157" s="59">
        <f>ROUND(G157*AP157,2)</f>
        <v>0</v>
      </c>
      <c r="AY157" s="61" t="s">
        <v>323</v>
      </c>
      <c r="AZ157" s="61" t="s">
        <v>421</v>
      </c>
      <c r="BA157" s="46" t="s">
        <v>352</v>
      </c>
      <c r="BC157" s="59">
        <f>AW157+AX157</f>
        <v>0</v>
      </c>
      <c r="BD157" s="59">
        <f>H157/(100-BE157)*100</f>
        <v>0</v>
      </c>
      <c r="BE157" s="59">
        <v>0</v>
      </c>
      <c r="BF157" s="59">
        <f>L157</f>
        <v>0</v>
      </c>
      <c r="BH157" s="59">
        <f>G157*AO157</f>
        <v>0</v>
      </c>
      <c r="BI157" s="59">
        <f>G157*AP157</f>
        <v>0</v>
      </c>
      <c r="BJ157" s="59">
        <f>G157*H157</f>
        <v>0</v>
      </c>
      <c r="BK157" s="59"/>
      <c r="BL157" s="59"/>
      <c r="BW157" s="59">
        <v>12</v>
      </c>
      <c r="BX157" s="16" t="s">
        <v>322</v>
      </c>
    </row>
    <row r="158" spans="1:76" ht="15" customHeight="1" x14ac:dyDescent="0.25">
      <c r="A158" s="54"/>
      <c r="B158" s="55" t="s">
        <v>349</v>
      </c>
      <c r="C158" s="55" t="s">
        <v>324</v>
      </c>
      <c r="D158" s="104" t="s">
        <v>325</v>
      </c>
      <c r="E158" s="104"/>
      <c r="F158" s="56" t="s">
        <v>88</v>
      </c>
      <c r="G158" s="56" t="s">
        <v>88</v>
      </c>
      <c r="H158" s="56" t="s">
        <v>88</v>
      </c>
      <c r="I158" s="39">
        <f>SUM(I159:I171)</f>
        <v>0</v>
      </c>
      <c r="J158" s="46"/>
      <c r="K158" s="46"/>
      <c r="L158" s="39">
        <f>SUM(L159:L171)</f>
        <v>0</v>
      </c>
      <c r="M158" s="57"/>
      <c r="AI158" s="46" t="s">
        <v>349</v>
      </c>
      <c r="AS158" s="39">
        <f>SUM(AJ159:AJ171)</f>
        <v>0</v>
      </c>
      <c r="AT158" s="39">
        <f>SUM(AK159:AK171)</f>
        <v>0</v>
      </c>
      <c r="AU158" s="39">
        <f>SUM(AL159:AL171)</f>
        <v>0</v>
      </c>
    </row>
    <row r="159" spans="1:76" ht="15" customHeight="1" x14ac:dyDescent="0.25">
      <c r="A159" s="58" t="s">
        <v>452</v>
      </c>
      <c r="B159" s="18" t="s">
        <v>349</v>
      </c>
      <c r="C159" s="18" t="s">
        <v>453</v>
      </c>
      <c r="D159" s="8" t="s">
        <v>454</v>
      </c>
      <c r="E159" s="8"/>
      <c r="F159" s="18" t="s">
        <v>224</v>
      </c>
      <c r="G159" s="59">
        <f>'Stavební rozpočet'!G239</f>
        <v>9.3000000000000007</v>
      </c>
      <c r="H159" s="59">
        <f>'Stavební rozpočet'!H239</f>
        <v>0</v>
      </c>
      <c r="I159" s="59">
        <f>ROUND(G159*H159,2)</f>
        <v>0</v>
      </c>
      <c r="J159" s="59">
        <f>'Stavební rozpočet'!J239</f>
        <v>0</v>
      </c>
      <c r="K159" s="59">
        <f>'Stavební rozpočet'!K239</f>
        <v>0</v>
      </c>
      <c r="L159" s="59">
        <f>G159*K159</f>
        <v>0</v>
      </c>
      <c r="M159" s="60" t="s">
        <v>115</v>
      </c>
      <c r="Z159" s="59">
        <f>ROUND(IF(AQ159="5",BJ159,0),2)</f>
        <v>0</v>
      </c>
      <c r="AB159" s="59">
        <f>ROUND(IF(AQ159="1",BH159,0),2)</f>
        <v>0</v>
      </c>
      <c r="AC159" s="59">
        <f>ROUND(IF(AQ159="1",BI159,0),2)</f>
        <v>0</v>
      </c>
      <c r="AD159" s="59">
        <f>ROUND(IF(AQ159="7",BH159,0),2)</f>
        <v>0</v>
      </c>
      <c r="AE159" s="59">
        <f>ROUND(IF(AQ159="7",BI159,0),2)</f>
        <v>0</v>
      </c>
      <c r="AF159" s="59">
        <f>ROUND(IF(AQ159="2",BH159,0),2)</f>
        <v>0</v>
      </c>
      <c r="AG159" s="59">
        <f>ROUND(IF(AQ159="2",BI159,0),2)</f>
        <v>0</v>
      </c>
      <c r="AH159" s="59">
        <f>ROUND(IF(AQ159="0",BJ159,0),2)</f>
        <v>0</v>
      </c>
      <c r="AI159" s="46" t="s">
        <v>349</v>
      </c>
      <c r="AJ159" s="59">
        <f>IF(AN159=0,I159,0)</f>
        <v>0</v>
      </c>
      <c r="AK159" s="59">
        <f>IF(AN159=12,I159,0)</f>
        <v>0</v>
      </c>
      <c r="AL159" s="59">
        <f>IF(AN159=21,I159,0)</f>
        <v>0</v>
      </c>
      <c r="AN159" s="59">
        <v>12</v>
      </c>
      <c r="AO159" s="59">
        <f>H159*0</f>
        <v>0</v>
      </c>
      <c r="AP159" s="59">
        <f>H159*(1-0)</f>
        <v>0</v>
      </c>
      <c r="AQ159" s="61" t="s">
        <v>137</v>
      </c>
      <c r="AV159" s="59">
        <f>ROUND(AW159+AX159,2)</f>
        <v>0</v>
      </c>
      <c r="AW159" s="59">
        <f>ROUND(G159*AO159,2)</f>
        <v>0</v>
      </c>
      <c r="AX159" s="59">
        <f>ROUND(G159*AP159,2)</f>
        <v>0</v>
      </c>
      <c r="AY159" s="61" t="s">
        <v>329</v>
      </c>
      <c r="AZ159" s="61" t="s">
        <v>421</v>
      </c>
      <c r="BA159" s="46" t="s">
        <v>352</v>
      </c>
      <c r="BC159" s="59">
        <f>AW159+AX159</f>
        <v>0</v>
      </c>
      <c r="BD159" s="59">
        <f>H159/(100-BE159)*100</f>
        <v>0</v>
      </c>
      <c r="BE159" s="59">
        <v>0</v>
      </c>
      <c r="BF159" s="59">
        <f>L159</f>
        <v>0</v>
      </c>
      <c r="BH159" s="59">
        <f>G159*AO159</f>
        <v>0</v>
      </c>
      <c r="BI159" s="59">
        <f>G159*AP159</f>
        <v>0</v>
      </c>
      <c r="BJ159" s="59">
        <f>G159*H159</f>
        <v>0</v>
      </c>
      <c r="BK159" s="59"/>
      <c r="BL159" s="59"/>
      <c r="BW159" s="59">
        <v>12</v>
      </c>
      <c r="BX159" s="16" t="s">
        <v>454</v>
      </c>
    </row>
    <row r="160" spans="1:76" x14ac:dyDescent="0.25">
      <c r="A160" s="62"/>
      <c r="D160" s="63" t="s">
        <v>455</v>
      </c>
      <c r="E160" s="63"/>
      <c r="G160" s="64">
        <v>9.3000000000000007</v>
      </c>
      <c r="M160" s="65"/>
    </row>
    <row r="161" spans="1:76" ht="15" customHeight="1" x14ac:dyDescent="0.25">
      <c r="A161" s="58" t="s">
        <v>456</v>
      </c>
      <c r="B161" s="18" t="s">
        <v>349</v>
      </c>
      <c r="C161" s="18" t="s">
        <v>327</v>
      </c>
      <c r="D161" s="8" t="s">
        <v>328</v>
      </c>
      <c r="E161" s="8"/>
      <c r="F161" s="18" t="s">
        <v>224</v>
      </c>
      <c r="G161" s="59">
        <f>'Stavební rozpočet'!G241</f>
        <v>3.32</v>
      </c>
      <c r="H161" s="59">
        <f>'Stavební rozpočet'!H241</f>
        <v>0</v>
      </c>
      <c r="I161" s="59">
        <f>ROUND(G161*H161,2)</f>
        <v>0</v>
      </c>
      <c r="J161" s="59">
        <f>'Stavební rozpočet'!J241</f>
        <v>0</v>
      </c>
      <c r="K161" s="59">
        <f>'Stavební rozpočet'!K241</f>
        <v>0</v>
      </c>
      <c r="L161" s="59">
        <f>G161*K161</f>
        <v>0</v>
      </c>
      <c r="M161" s="60" t="s">
        <v>115</v>
      </c>
      <c r="Z161" s="59">
        <f>ROUND(IF(AQ161="5",BJ161,0),2)</f>
        <v>0</v>
      </c>
      <c r="AB161" s="59">
        <f>ROUND(IF(AQ161="1",BH161,0),2)</f>
        <v>0</v>
      </c>
      <c r="AC161" s="59">
        <f>ROUND(IF(AQ161="1",BI161,0),2)</f>
        <v>0</v>
      </c>
      <c r="AD161" s="59">
        <f>ROUND(IF(AQ161="7",BH161,0),2)</f>
        <v>0</v>
      </c>
      <c r="AE161" s="59">
        <f>ROUND(IF(AQ161="7",BI161,0),2)</f>
        <v>0</v>
      </c>
      <c r="AF161" s="59">
        <f>ROUND(IF(AQ161="2",BH161,0),2)</f>
        <v>0</v>
      </c>
      <c r="AG161" s="59">
        <f>ROUND(IF(AQ161="2",BI161,0),2)</f>
        <v>0</v>
      </c>
      <c r="AH161" s="59">
        <f>ROUND(IF(AQ161="0",BJ161,0),2)</f>
        <v>0</v>
      </c>
      <c r="AI161" s="46" t="s">
        <v>349</v>
      </c>
      <c r="AJ161" s="59">
        <f>IF(AN161=0,I161,0)</f>
        <v>0</v>
      </c>
      <c r="AK161" s="59">
        <f>IF(AN161=12,I161,0)</f>
        <v>0</v>
      </c>
      <c r="AL161" s="59">
        <f>IF(AN161=21,I161,0)</f>
        <v>0</v>
      </c>
      <c r="AN161" s="59">
        <v>12</v>
      </c>
      <c r="AO161" s="59">
        <f>H161*0</f>
        <v>0</v>
      </c>
      <c r="AP161" s="59">
        <f>H161*(1-0)</f>
        <v>0</v>
      </c>
      <c r="AQ161" s="61" t="s">
        <v>137</v>
      </c>
      <c r="AV161" s="59">
        <f>ROUND(AW161+AX161,2)</f>
        <v>0</v>
      </c>
      <c r="AW161" s="59">
        <f>ROUND(G161*AO161,2)</f>
        <v>0</v>
      </c>
      <c r="AX161" s="59">
        <f>ROUND(G161*AP161,2)</f>
        <v>0</v>
      </c>
      <c r="AY161" s="61" t="s">
        <v>329</v>
      </c>
      <c r="AZ161" s="61" t="s">
        <v>421</v>
      </c>
      <c r="BA161" s="46" t="s">
        <v>352</v>
      </c>
      <c r="BC161" s="59">
        <f>AW161+AX161</f>
        <v>0</v>
      </c>
      <c r="BD161" s="59">
        <f>H161/(100-BE161)*100</f>
        <v>0</v>
      </c>
      <c r="BE161" s="59">
        <v>0</v>
      </c>
      <c r="BF161" s="59">
        <f>L161</f>
        <v>0</v>
      </c>
      <c r="BH161" s="59">
        <f>G161*AO161</f>
        <v>0</v>
      </c>
      <c r="BI161" s="59">
        <f>G161*AP161</f>
        <v>0</v>
      </c>
      <c r="BJ161" s="59">
        <f>G161*H161</f>
        <v>0</v>
      </c>
      <c r="BK161" s="59"/>
      <c r="BL161" s="59"/>
      <c r="BW161" s="59">
        <v>12</v>
      </c>
      <c r="BX161" s="16" t="s">
        <v>328</v>
      </c>
    </row>
    <row r="162" spans="1:76" x14ac:dyDescent="0.25">
      <c r="A162" s="62"/>
      <c r="D162" s="63" t="s">
        <v>330</v>
      </c>
      <c r="E162" s="63"/>
      <c r="G162" s="64">
        <v>3.32</v>
      </c>
      <c r="M162" s="65"/>
    </row>
    <row r="163" spans="1:76" ht="15" customHeight="1" x14ac:dyDescent="0.25">
      <c r="A163" s="58" t="s">
        <v>457</v>
      </c>
      <c r="B163" s="18" t="s">
        <v>349</v>
      </c>
      <c r="C163" s="18" t="s">
        <v>332</v>
      </c>
      <c r="D163" s="8" t="s">
        <v>333</v>
      </c>
      <c r="E163" s="8"/>
      <c r="F163" s="18" t="s">
        <v>224</v>
      </c>
      <c r="G163" s="59">
        <f>'Stavební rozpočet'!G243</f>
        <v>9.3000000000000007</v>
      </c>
      <c r="H163" s="59">
        <f>'Stavební rozpočet'!H243</f>
        <v>0</v>
      </c>
      <c r="I163" s="59">
        <f>ROUND(G163*H163,2)</f>
        <v>0</v>
      </c>
      <c r="J163" s="59">
        <f>'Stavební rozpočet'!J243</f>
        <v>0</v>
      </c>
      <c r="K163" s="59">
        <f>'Stavební rozpočet'!K243</f>
        <v>0</v>
      </c>
      <c r="L163" s="59">
        <f>G163*K163</f>
        <v>0</v>
      </c>
      <c r="M163" s="60" t="s">
        <v>115</v>
      </c>
      <c r="Z163" s="59">
        <f>ROUND(IF(AQ163="5",BJ163,0),2)</f>
        <v>0</v>
      </c>
      <c r="AB163" s="59">
        <f>ROUND(IF(AQ163="1",BH163,0),2)</f>
        <v>0</v>
      </c>
      <c r="AC163" s="59">
        <f>ROUND(IF(AQ163="1",BI163,0),2)</f>
        <v>0</v>
      </c>
      <c r="AD163" s="59">
        <f>ROUND(IF(AQ163="7",BH163,0),2)</f>
        <v>0</v>
      </c>
      <c r="AE163" s="59">
        <f>ROUND(IF(AQ163="7",BI163,0),2)</f>
        <v>0</v>
      </c>
      <c r="AF163" s="59">
        <f>ROUND(IF(AQ163="2",BH163,0),2)</f>
        <v>0</v>
      </c>
      <c r="AG163" s="59">
        <f>ROUND(IF(AQ163="2",BI163,0),2)</f>
        <v>0</v>
      </c>
      <c r="AH163" s="59">
        <f>ROUND(IF(AQ163="0",BJ163,0),2)</f>
        <v>0</v>
      </c>
      <c r="AI163" s="46" t="s">
        <v>349</v>
      </c>
      <c r="AJ163" s="59">
        <f>IF(AN163=0,I163,0)</f>
        <v>0</v>
      </c>
      <c r="AK163" s="59">
        <f>IF(AN163=12,I163,0)</f>
        <v>0</v>
      </c>
      <c r="AL163" s="59">
        <f>IF(AN163=21,I163,0)</f>
        <v>0</v>
      </c>
      <c r="AN163" s="59">
        <v>12</v>
      </c>
      <c r="AO163" s="59">
        <f>H163*0</f>
        <v>0</v>
      </c>
      <c r="AP163" s="59">
        <f>H163*(1-0)</f>
        <v>0</v>
      </c>
      <c r="AQ163" s="61" t="s">
        <v>137</v>
      </c>
      <c r="AV163" s="59">
        <f>ROUND(AW163+AX163,2)</f>
        <v>0</v>
      </c>
      <c r="AW163" s="59">
        <f>ROUND(G163*AO163,2)</f>
        <v>0</v>
      </c>
      <c r="AX163" s="59">
        <f>ROUND(G163*AP163,2)</f>
        <v>0</v>
      </c>
      <c r="AY163" s="61" t="s">
        <v>329</v>
      </c>
      <c r="AZ163" s="61" t="s">
        <v>421</v>
      </c>
      <c r="BA163" s="46" t="s">
        <v>352</v>
      </c>
      <c r="BC163" s="59">
        <f>AW163+AX163</f>
        <v>0</v>
      </c>
      <c r="BD163" s="59">
        <f>H163/(100-BE163)*100</f>
        <v>0</v>
      </c>
      <c r="BE163" s="59">
        <v>0</v>
      </c>
      <c r="BF163" s="59">
        <f>L163</f>
        <v>0</v>
      </c>
      <c r="BH163" s="59">
        <f>G163*AO163</f>
        <v>0</v>
      </c>
      <c r="BI163" s="59">
        <f>G163*AP163</f>
        <v>0</v>
      </c>
      <c r="BJ163" s="59">
        <f>G163*H163</f>
        <v>0</v>
      </c>
      <c r="BK163" s="59"/>
      <c r="BL163" s="59"/>
      <c r="BW163" s="59">
        <v>12</v>
      </c>
      <c r="BX163" s="16" t="s">
        <v>333</v>
      </c>
    </row>
    <row r="164" spans="1:76" x14ac:dyDescent="0.25">
      <c r="A164" s="62"/>
      <c r="D164" s="63" t="s">
        <v>458</v>
      </c>
      <c r="E164" s="63"/>
      <c r="G164" s="64">
        <v>9.3000000000000007</v>
      </c>
      <c r="M164" s="65"/>
    </row>
    <row r="165" spans="1:76" ht="15" customHeight="1" x14ac:dyDescent="0.25">
      <c r="A165" s="58" t="s">
        <v>459</v>
      </c>
      <c r="B165" s="18" t="s">
        <v>349</v>
      </c>
      <c r="C165" s="18" t="s">
        <v>336</v>
      </c>
      <c r="D165" s="8" t="s">
        <v>337</v>
      </c>
      <c r="E165" s="8"/>
      <c r="F165" s="18" t="s">
        <v>224</v>
      </c>
      <c r="G165" s="59">
        <f>'Stavební rozpočet'!G245</f>
        <v>9.3000000000000007</v>
      </c>
      <c r="H165" s="59">
        <f>'Stavební rozpočet'!H245</f>
        <v>0</v>
      </c>
      <c r="I165" s="59">
        <f>ROUND(G165*H165,2)</f>
        <v>0</v>
      </c>
      <c r="J165" s="59">
        <f>'Stavební rozpočet'!J245</f>
        <v>0</v>
      </c>
      <c r="K165" s="59">
        <f>'Stavební rozpočet'!K245</f>
        <v>0</v>
      </c>
      <c r="L165" s="59">
        <f>G165*K165</f>
        <v>0</v>
      </c>
      <c r="M165" s="60" t="s">
        <v>115</v>
      </c>
      <c r="Z165" s="59">
        <f>ROUND(IF(AQ165="5",BJ165,0),2)</f>
        <v>0</v>
      </c>
      <c r="AB165" s="59">
        <f>ROUND(IF(AQ165="1",BH165,0),2)</f>
        <v>0</v>
      </c>
      <c r="AC165" s="59">
        <f>ROUND(IF(AQ165="1",BI165,0),2)</f>
        <v>0</v>
      </c>
      <c r="AD165" s="59">
        <f>ROUND(IF(AQ165="7",BH165,0),2)</f>
        <v>0</v>
      </c>
      <c r="AE165" s="59">
        <f>ROUND(IF(AQ165="7",BI165,0),2)</f>
        <v>0</v>
      </c>
      <c r="AF165" s="59">
        <f>ROUND(IF(AQ165="2",BH165,0),2)</f>
        <v>0</v>
      </c>
      <c r="AG165" s="59">
        <f>ROUND(IF(AQ165="2",BI165,0),2)</f>
        <v>0</v>
      </c>
      <c r="AH165" s="59">
        <f>ROUND(IF(AQ165="0",BJ165,0),2)</f>
        <v>0</v>
      </c>
      <c r="AI165" s="46" t="s">
        <v>349</v>
      </c>
      <c r="AJ165" s="59">
        <f>IF(AN165=0,I165,0)</f>
        <v>0</v>
      </c>
      <c r="AK165" s="59">
        <f>IF(AN165=12,I165,0)</f>
        <v>0</v>
      </c>
      <c r="AL165" s="59">
        <f>IF(AN165=21,I165,0)</f>
        <v>0</v>
      </c>
      <c r="AN165" s="59">
        <v>12</v>
      </c>
      <c r="AO165" s="59">
        <f>H165*0</f>
        <v>0</v>
      </c>
      <c r="AP165" s="59">
        <f>H165*(1-0)</f>
        <v>0</v>
      </c>
      <c r="AQ165" s="61" t="s">
        <v>137</v>
      </c>
      <c r="AV165" s="59">
        <f>ROUND(AW165+AX165,2)</f>
        <v>0</v>
      </c>
      <c r="AW165" s="59">
        <f>ROUND(G165*AO165,2)</f>
        <v>0</v>
      </c>
      <c r="AX165" s="59">
        <f>ROUND(G165*AP165,2)</f>
        <v>0</v>
      </c>
      <c r="AY165" s="61" t="s">
        <v>329</v>
      </c>
      <c r="AZ165" s="61" t="s">
        <v>421</v>
      </c>
      <c r="BA165" s="46" t="s">
        <v>352</v>
      </c>
      <c r="BC165" s="59">
        <f>AW165+AX165</f>
        <v>0</v>
      </c>
      <c r="BD165" s="59">
        <f>H165/(100-BE165)*100</f>
        <v>0</v>
      </c>
      <c r="BE165" s="59">
        <v>0</v>
      </c>
      <c r="BF165" s="59">
        <f>L165</f>
        <v>0</v>
      </c>
      <c r="BH165" s="59">
        <f>G165*AO165</f>
        <v>0</v>
      </c>
      <c r="BI165" s="59">
        <f>G165*AP165</f>
        <v>0</v>
      </c>
      <c r="BJ165" s="59">
        <f>G165*H165</f>
        <v>0</v>
      </c>
      <c r="BK165" s="59"/>
      <c r="BL165" s="59"/>
      <c r="BW165" s="59">
        <v>12</v>
      </c>
      <c r="BX165" s="16" t="s">
        <v>337</v>
      </c>
    </row>
    <row r="166" spans="1:76" x14ac:dyDescent="0.25">
      <c r="A166" s="62"/>
      <c r="D166" s="63" t="s">
        <v>458</v>
      </c>
      <c r="E166" s="63"/>
      <c r="G166" s="64">
        <v>9.3000000000000007</v>
      </c>
      <c r="M166" s="65"/>
    </row>
    <row r="167" spans="1:76" ht="15" customHeight="1" x14ac:dyDescent="0.25">
      <c r="A167" s="58" t="s">
        <v>460</v>
      </c>
      <c r="B167" s="18" t="s">
        <v>349</v>
      </c>
      <c r="C167" s="18" t="s">
        <v>339</v>
      </c>
      <c r="D167" s="8" t="s">
        <v>340</v>
      </c>
      <c r="E167" s="8"/>
      <c r="F167" s="18" t="s">
        <v>224</v>
      </c>
      <c r="G167" s="59">
        <f>'Stavební rozpočet'!G247</f>
        <v>2.15</v>
      </c>
      <c r="H167" s="59">
        <f>'Stavební rozpočet'!H247</f>
        <v>0</v>
      </c>
      <c r="I167" s="59">
        <f>ROUND(G167*H167,2)</f>
        <v>0</v>
      </c>
      <c r="J167" s="59">
        <f>'Stavební rozpočet'!J247</f>
        <v>0</v>
      </c>
      <c r="K167" s="59">
        <f>'Stavební rozpočet'!K247</f>
        <v>0</v>
      </c>
      <c r="L167" s="59">
        <f>G167*K167</f>
        <v>0</v>
      </c>
      <c r="M167" s="60" t="s">
        <v>115</v>
      </c>
      <c r="Z167" s="59">
        <f>ROUND(IF(AQ167="5",BJ167,0),2)</f>
        <v>0</v>
      </c>
      <c r="AB167" s="59">
        <f>ROUND(IF(AQ167="1",BH167,0),2)</f>
        <v>0</v>
      </c>
      <c r="AC167" s="59">
        <f>ROUND(IF(AQ167="1",BI167,0),2)</f>
        <v>0</v>
      </c>
      <c r="AD167" s="59">
        <f>ROUND(IF(AQ167="7",BH167,0),2)</f>
        <v>0</v>
      </c>
      <c r="AE167" s="59">
        <f>ROUND(IF(AQ167="7",BI167,0),2)</f>
        <v>0</v>
      </c>
      <c r="AF167" s="59">
        <f>ROUND(IF(AQ167="2",BH167,0),2)</f>
        <v>0</v>
      </c>
      <c r="AG167" s="59">
        <f>ROUND(IF(AQ167="2",BI167,0),2)</f>
        <v>0</v>
      </c>
      <c r="AH167" s="59">
        <f>ROUND(IF(AQ167="0",BJ167,0),2)</f>
        <v>0</v>
      </c>
      <c r="AI167" s="46" t="s">
        <v>349</v>
      </c>
      <c r="AJ167" s="59">
        <f>IF(AN167=0,I167,0)</f>
        <v>0</v>
      </c>
      <c r="AK167" s="59">
        <f>IF(AN167=12,I167,0)</f>
        <v>0</v>
      </c>
      <c r="AL167" s="59">
        <f>IF(AN167=21,I167,0)</f>
        <v>0</v>
      </c>
      <c r="AN167" s="59">
        <v>12</v>
      </c>
      <c r="AO167" s="59">
        <f>H167*0</f>
        <v>0</v>
      </c>
      <c r="AP167" s="59">
        <f>H167*(1-0)</f>
        <v>0</v>
      </c>
      <c r="AQ167" s="61" t="s">
        <v>137</v>
      </c>
      <c r="AV167" s="59">
        <f>ROUND(AW167+AX167,2)</f>
        <v>0</v>
      </c>
      <c r="AW167" s="59">
        <f>ROUND(G167*AO167,2)</f>
        <v>0</v>
      </c>
      <c r="AX167" s="59">
        <f>ROUND(G167*AP167,2)</f>
        <v>0</v>
      </c>
      <c r="AY167" s="61" t="s">
        <v>329</v>
      </c>
      <c r="AZ167" s="61" t="s">
        <v>421</v>
      </c>
      <c r="BA167" s="46" t="s">
        <v>352</v>
      </c>
      <c r="BC167" s="59">
        <f>AW167+AX167</f>
        <v>0</v>
      </c>
      <c r="BD167" s="59">
        <f>H167/(100-BE167)*100</f>
        <v>0</v>
      </c>
      <c r="BE167" s="59">
        <v>0</v>
      </c>
      <c r="BF167" s="59">
        <f>L167</f>
        <v>0</v>
      </c>
      <c r="BH167" s="59">
        <f>G167*AO167</f>
        <v>0</v>
      </c>
      <c r="BI167" s="59">
        <f>G167*AP167</f>
        <v>0</v>
      </c>
      <c r="BJ167" s="59">
        <f>G167*H167</f>
        <v>0</v>
      </c>
      <c r="BK167" s="59"/>
      <c r="BL167" s="59"/>
      <c r="BW167" s="59">
        <v>12</v>
      </c>
      <c r="BX167" s="16" t="s">
        <v>340</v>
      </c>
    </row>
    <row r="168" spans="1:76" x14ac:dyDescent="0.25">
      <c r="A168" s="62"/>
      <c r="D168" s="63" t="s">
        <v>461</v>
      </c>
      <c r="E168" s="63"/>
      <c r="G168" s="64">
        <v>2.15</v>
      </c>
      <c r="M168" s="65"/>
    </row>
    <row r="169" spans="1:76" ht="24" customHeight="1" x14ac:dyDescent="0.25">
      <c r="A169" s="58" t="s">
        <v>462</v>
      </c>
      <c r="B169" s="18" t="s">
        <v>349</v>
      </c>
      <c r="C169" s="18" t="s">
        <v>343</v>
      </c>
      <c r="D169" s="8" t="s">
        <v>344</v>
      </c>
      <c r="E169" s="8"/>
      <c r="F169" s="18" t="s">
        <v>224</v>
      </c>
      <c r="G169" s="59">
        <f>'Stavební rozpočet'!G249</f>
        <v>6.93</v>
      </c>
      <c r="H169" s="59">
        <f>'Stavební rozpočet'!H249</f>
        <v>0</v>
      </c>
      <c r="I169" s="59">
        <f>ROUND(G169*H169,2)</f>
        <v>0</v>
      </c>
      <c r="J169" s="59">
        <f>'Stavební rozpočet'!J249</f>
        <v>0</v>
      </c>
      <c r="K169" s="59">
        <f>'Stavební rozpočet'!K249</f>
        <v>0</v>
      </c>
      <c r="L169" s="59">
        <f>G169*K169</f>
        <v>0</v>
      </c>
      <c r="M169" s="60" t="s">
        <v>115</v>
      </c>
      <c r="Z169" s="59">
        <f>ROUND(IF(AQ169="5",BJ169,0),2)</f>
        <v>0</v>
      </c>
      <c r="AB169" s="59">
        <f>ROUND(IF(AQ169="1",BH169,0),2)</f>
        <v>0</v>
      </c>
      <c r="AC169" s="59">
        <f>ROUND(IF(AQ169="1",BI169,0),2)</f>
        <v>0</v>
      </c>
      <c r="AD169" s="59">
        <f>ROUND(IF(AQ169="7",BH169,0),2)</f>
        <v>0</v>
      </c>
      <c r="AE169" s="59">
        <f>ROUND(IF(AQ169="7",BI169,0),2)</f>
        <v>0</v>
      </c>
      <c r="AF169" s="59">
        <f>ROUND(IF(AQ169="2",BH169,0),2)</f>
        <v>0</v>
      </c>
      <c r="AG169" s="59">
        <f>ROUND(IF(AQ169="2",BI169,0),2)</f>
        <v>0</v>
      </c>
      <c r="AH169" s="59">
        <f>ROUND(IF(AQ169="0",BJ169,0),2)</f>
        <v>0</v>
      </c>
      <c r="AI169" s="46" t="s">
        <v>349</v>
      </c>
      <c r="AJ169" s="59">
        <f>IF(AN169=0,I169,0)</f>
        <v>0</v>
      </c>
      <c r="AK169" s="59">
        <f>IF(AN169=12,I169,0)</f>
        <v>0</v>
      </c>
      <c r="AL169" s="59">
        <f>IF(AN169=21,I169,0)</f>
        <v>0</v>
      </c>
      <c r="AN169" s="59">
        <v>12</v>
      </c>
      <c r="AO169" s="59">
        <f>H169*0</f>
        <v>0</v>
      </c>
      <c r="AP169" s="59">
        <f>H169*(1-0)</f>
        <v>0</v>
      </c>
      <c r="AQ169" s="61" t="s">
        <v>137</v>
      </c>
      <c r="AV169" s="59">
        <f>ROUND(AW169+AX169,2)</f>
        <v>0</v>
      </c>
      <c r="AW169" s="59">
        <f>ROUND(G169*AO169,2)</f>
        <v>0</v>
      </c>
      <c r="AX169" s="59">
        <f>ROUND(G169*AP169,2)</f>
        <v>0</v>
      </c>
      <c r="AY169" s="61" t="s">
        <v>329</v>
      </c>
      <c r="AZ169" s="61" t="s">
        <v>421</v>
      </c>
      <c r="BA169" s="46" t="s">
        <v>352</v>
      </c>
      <c r="BC169" s="59">
        <f>AW169+AX169</f>
        <v>0</v>
      </c>
      <c r="BD169" s="59">
        <f>H169/(100-BE169)*100</f>
        <v>0</v>
      </c>
      <c r="BE169" s="59">
        <v>0</v>
      </c>
      <c r="BF169" s="59">
        <f>L169</f>
        <v>0</v>
      </c>
      <c r="BH169" s="59">
        <f>G169*AO169</f>
        <v>0</v>
      </c>
      <c r="BI169" s="59">
        <f>G169*AP169</f>
        <v>0</v>
      </c>
      <c r="BJ169" s="59">
        <f>G169*H169</f>
        <v>0</v>
      </c>
      <c r="BK169" s="59"/>
      <c r="BL169" s="59"/>
      <c r="BW169" s="59">
        <v>12</v>
      </c>
      <c r="BX169" s="16" t="s">
        <v>344</v>
      </c>
    </row>
    <row r="170" spans="1:76" x14ac:dyDescent="0.25">
      <c r="A170" s="62"/>
      <c r="D170" s="63" t="s">
        <v>463</v>
      </c>
      <c r="E170" s="63"/>
      <c r="G170" s="64">
        <v>6.93</v>
      </c>
      <c r="M170" s="65"/>
    </row>
    <row r="171" spans="1:76" ht="15" customHeight="1" x14ac:dyDescent="0.25">
      <c r="A171" s="58" t="s">
        <v>464</v>
      </c>
      <c r="B171" s="18" t="s">
        <v>349</v>
      </c>
      <c r="C171" s="18" t="s">
        <v>465</v>
      </c>
      <c r="D171" s="8" t="s">
        <v>466</v>
      </c>
      <c r="E171" s="8"/>
      <c r="F171" s="18" t="s">
        <v>224</v>
      </c>
      <c r="G171" s="59">
        <f>'Stavební rozpočet'!G251</f>
        <v>0.22</v>
      </c>
      <c r="H171" s="59">
        <f>'Stavební rozpočet'!H251</f>
        <v>0</v>
      </c>
      <c r="I171" s="59">
        <f>ROUND(G171*H171,2)</f>
        <v>0</v>
      </c>
      <c r="J171" s="59">
        <f>'Stavební rozpočet'!J251</f>
        <v>0</v>
      </c>
      <c r="K171" s="59">
        <f>'Stavební rozpočet'!K251</f>
        <v>0</v>
      </c>
      <c r="L171" s="59">
        <f>G171*K171</f>
        <v>0</v>
      </c>
      <c r="M171" s="60" t="s">
        <v>115</v>
      </c>
      <c r="Z171" s="59">
        <f>ROUND(IF(AQ171="5",BJ171,0),2)</f>
        <v>0</v>
      </c>
      <c r="AB171" s="59">
        <f>ROUND(IF(AQ171="1",BH171,0),2)</f>
        <v>0</v>
      </c>
      <c r="AC171" s="59">
        <f>ROUND(IF(AQ171="1",BI171,0),2)</f>
        <v>0</v>
      </c>
      <c r="AD171" s="59">
        <f>ROUND(IF(AQ171="7",BH171,0),2)</f>
        <v>0</v>
      </c>
      <c r="AE171" s="59">
        <f>ROUND(IF(AQ171="7",BI171,0),2)</f>
        <v>0</v>
      </c>
      <c r="AF171" s="59">
        <f>ROUND(IF(AQ171="2",BH171,0),2)</f>
        <v>0</v>
      </c>
      <c r="AG171" s="59">
        <f>ROUND(IF(AQ171="2",BI171,0),2)</f>
        <v>0</v>
      </c>
      <c r="AH171" s="59">
        <f>ROUND(IF(AQ171="0",BJ171,0),2)</f>
        <v>0</v>
      </c>
      <c r="AI171" s="46" t="s">
        <v>349</v>
      </c>
      <c r="AJ171" s="59">
        <f>IF(AN171=0,I171,0)</f>
        <v>0</v>
      </c>
      <c r="AK171" s="59">
        <f>IF(AN171=12,I171,0)</f>
        <v>0</v>
      </c>
      <c r="AL171" s="59">
        <f>IF(AN171=21,I171,0)</f>
        <v>0</v>
      </c>
      <c r="AN171" s="59">
        <v>12</v>
      </c>
      <c r="AO171" s="59">
        <f>H171*0</f>
        <v>0</v>
      </c>
      <c r="AP171" s="59">
        <f>H171*(1-0)</f>
        <v>0</v>
      </c>
      <c r="AQ171" s="61" t="s">
        <v>137</v>
      </c>
      <c r="AV171" s="59">
        <f>ROUND(AW171+AX171,2)</f>
        <v>0</v>
      </c>
      <c r="AW171" s="59">
        <f>ROUND(G171*AO171,2)</f>
        <v>0</v>
      </c>
      <c r="AX171" s="59">
        <f>ROUND(G171*AP171,2)</f>
        <v>0</v>
      </c>
      <c r="AY171" s="61" t="s">
        <v>329</v>
      </c>
      <c r="AZ171" s="61" t="s">
        <v>421</v>
      </c>
      <c r="BA171" s="46" t="s">
        <v>352</v>
      </c>
      <c r="BC171" s="59">
        <f>AW171+AX171</f>
        <v>0</v>
      </c>
      <c r="BD171" s="59">
        <f>H171/(100-BE171)*100</f>
        <v>0</v>
      </c>
      <c r="BE171" s="59">
        <v>0</v>
      </c>
      <c r="BF171" s="59">
        <f>L171</f>
        <v>0</v>
      </c>
      <c r="BH171" s="59">
        <f>G171*AO171</f>
        <v>0</v>
      </c>
      <c r="BI171" s="59">
        <f>G171*AP171</f>
        <v>0</v>
      </c>
      <c r="BJ171" s="59">
        <f>G171*H171</f>
        <v>0</v>
      </c>
      <c r="BK171" s="59"/>
      <c r="BL171" s="59"/>
      <c r="BW171" s="59">
        <v>12</v>
      </c>
      <c r="BX171" s="16" t="s">
        <v>466</v>
      </c>
    </row>
    <row r="172" spans="1:76" x14ac:dyDescent="0.25">
      <c r="A172" s="66"/>
      <c r="B172" s="67"/>
      <c r="C172" s="67"/>
      <c r="D172" s="68" t="s">
        <v>467</v>
      </c>
      <c r="E172" s="68"/>
      <c r="F172" s="67"/>
      <c r="G172" s="69">
        <v>0.22</v>
      </c>
      <c r="H172" s="67"/>
      <c r="I172" s="67"/>
      <c r="J172" s="67"/>
      <c r="K172" s="67"/>
      <c r="L172" s="67"/>
      <c r="M172" s="70"/>
    </row>
    <row r="173" spans="1:76" x14ac:dyDescent="0.25">
      <c r="I173" s="71">
        <f>ROUND(I13+I19+I28+I36+I45+I49+I56+I67+I85+I88+I104+I114+I118+I128+I133+I137+I153+I156+I158,0)</f>
        <v>0</v>
      </c>
    </row>
    <row r="174" spans="1:76" x14ac:dyDescent="0.25">
      <c r="A174" s="31" t="s">
        <v>52</v>
      </c>
    </row>
    <row r="175" spans="1:76" ht="12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</sheetData>
  <mergeCells count="130">
    <mergeCell ref="D163:E163"/>
    <mergeCell ref="D165:E165"/>
    <mergeCell ref="D167:E167"/>
    <mergeCell ref="D169:E169"/>
    <mergeCell ref="D171:E171"/>
    <mergeCell ref="A175:M175"/>
    <mergeCell ref="D148:E148"/>
    <mergeCell ref="D150:E150"/>
    <mergeCell ref="D153:E153"/>
    <mergeCell ref="D154:E154"/>
    <mergeCell ref="D156:E156"/>
    <mergeCell ref="D157:E157"/>
    <mergeCell ref="D158:E158"/>
    <mergeCell ref="D159:E159"/>
    <mergeCell ref="D161:E161"/>
    <mergeCell ref="D133:E133"/>
    <mergeCell ref="D134:E134"/>
    <mergeCell ref="D135:M135"/>
    <mergeCell ref="D137:E137"/>
    <mergeCell ref="D138:E138"/>
    <mergeCell ref="D140:E140"/>
    <mergeCell ref="D142:E142"/>
    <mergeCell ref="D144:E144"/>
    <mergeCell ref="D146:E146"/>
    <mergeCell ref="D119:E119"/>
    <mergeCell ref="D120:M120"/>
    <mergeCell ref="D122:E122"/>
    <mergeCell ref="D123:M123"/>
    <mergeCell ref="D125:E125"/>
    <mergeCell ref="D126:M126"/>
    <mergeCell ref="D128:E128"/>
    <mergeCell ref="D129:E129"/>
    <mergeCell ref="D131:E131"/>
    <mergeCell ref="D106:M106"/>
    <mergeCell ref="D108:E108"/>
    <mergeCell ref="D109:M109"/>
    <mergeCell ref="D111:E111"/>
    <mergeCell ref="D112:M112"/>
    <mergeCell ref="D114:E114"/>
    <mergeCell ref="D115:E115"/>
    <mergeCell ref="D116:M116"/>
    <mergeCell ref="D118:E118"/>
    <mergeCell ref="D93:M93"/>
    <mergeCell ref="D95:E95"/>
    <mergeCell ref="D96:M96"/>
    <mergeCell ref="D98:E98"/>
    <mergeCell ref="D99:M99"/>
    <mergeCell ref="D101:E101"/>
    <mergeCell ref="D102:M102"/>
    <mergeCell ref="D104:E104"/>
    <mergeCell ref="D105:E105"/>
    <mergeCell ref="D81:E81"/>
    <mergeCell ref="D82:M82"/>
    <mergeCell ref="D84:E84"/>
    <mergeCell ref="D85:E85"/>
    <mergeCell ref="D86:E86"/>
    <mergeCell ref="D88:E88"/>
    <mergeCell ref="D89:E89"/>
    <mergeCell ref="D90:M90"/>
    <mergeCell ref="D92:E92"/>
    <mergeCell ref="D63:M63"/>
    <mergeCell ref="D65:E65"/>
    <mergeCell ref="D67:E67"/>
    <mergeCell ref="D68:E68"/>
    <mergeCell ref="D69:M69"/>
    <mergeCell ref="D75:E75"/>
    <mergeCell ref="D76:M76"/>
    <mergeCell ref="D78:E78"/>
    <mergeCell ref="D79:M79"/>
    <mergeCell ref="D49:E49"/>
    <mergeCell ref="D50:E50"/>
    <mergeCell ref="D52:E52"/>
    <mergeCell ref="D54:E54"/>
    <mergeCell ref="D56:E56"/>
    <mergeCell ref="D57:E57"/>
    <mergeCell ref="D59:E59"/>
    <mergeCell ref="D60:M60"/>
    <mergeCell ref="D62:E62"/>
    <mergeCell ref="D34:E34"/>
    <mergeCell ref="D36:E36"/>
    <mergeCell ref="D37:E37"/>
    <mergeCell ref="D39:E39"/>
    <mergeCell ref="D41:E41"/>
    <mergeCell ref="D43:E43"/>
    <mergeCell ref="D45:E45"/>
    <mergeCell ref="D46:E46"/>
    <mergeCell ref="D47:M47"/>
    <mergeCell ref="D20:E20"/>
    <mergeCell ref="D21:M21"/>
    <mergeCell ref="D23:E23"/>
    <mergeCell ref="D25:E25"/>
    <mergeCell ref="D26:M26"/>
    <mergeCell ref="D28:E28"/>
    <mergeCell ref="D29:E29"/>
    <mergeCell ref="D31:E31"/>
    <mergeCell ref="D32:M32"/>
    <mergeCell ref="D10:E10"/>
    <mergeCell ref="J10:L10"/>
    <mergeCell ref="D11:E11"/>
    <mergeCell ref="D12:E12"/>
    <mergeCell ref="D13:E13"/>
    <mergeCell ref="D14:E14"/>
    <mergeCell ref="D15:M15"/>
    <mergeCell ref="D17:E17"/>
    <mergeCell ref="D19:E19"/>
    <mergeCell ref="A6:C7"/>
    <mergeCell ref="D6:E7"/>
    <mergeCell ref="F6:G7"/>
    <mergeCell ref="H6:H7"/>
    <mergeCell ref="I6:J7"/>
    <mergeCell ref="K6:M7"/>
    <mergeCell ref="A8:C9"/>
    <mergeCell ref="D8:E9"/>
    <mergeCell ref="F8:G9"/>
    <mergeCell ref="H8:H9"/>
    <mergeCell ref="I8:J9"/>
    <mergeCell ref="K8:M9"/>
    <mergeCell ref="A1:M1"/>
    <mergeCell ref="A2:C3"/>
    <mergeCell ref="D2:E3"/>
    <mergeCell ref="F2:G3"/>
    <mergeCell ref="H2:H3"/>
    <mergeCell ref="I2:J3"/>
    <mergeCell ref="K2:M3"/>
    <mergeCell ref="A4:C5"/>
    <mergeCell ref="D4:E5"/>
    <mergeCell ref="F4:G5"/>
    <mergeCell ref="H4:H5"/>
    <mergeCell ref="I4:J5"/>
    <mergeCell ref="K4:M5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"/>
  <sheetViews>
    <sheetView zoomScaleNormal="100" workbookViewId="0">
      <selection activeCell="C8" sqref="C8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7.140625" style="15" customWidth="1"/>
    <col min="4" max="4" width="10" style="15" customWidth="1"/>
    <col min="5" max="5" width="14" style="15" customWidth="1"/>
    <col min="6" max="6" width="27.140625" style="15" customWidth="1"/>
    <col min="7" max="7" width="9.140625" style="15" customWidth="1"/>
    <col min="8" max="8" width="12.85546875" style="15" customWidth="1"/>
    <col min="9" max="9" width="27.140625" style="15" customWidth="1"/>
  </cols>
  <sheetData>
    <row r="1" spans="1:9" ht="54.75" customHeight="1" x14ac:dyDescent="0.2">
      <c r="A1" s="14" t="s">
        <v>468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/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58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2" spans="1:9" ht="23.25" x14ac:dyDescent="0.2">
      <c r="A12" s="72" t="s">
        <v>14</v>
      </c>
      <c r="B12" s="72"/>
      <c r="C12" s="72"/>
      <c r="D12" s="72"/>
      <c r="E12" s="72"/>
      <c r="F12" s="72"/>
      <c r="G12" s="72"/>
      <c r="H12" s="72"/>
      <c r="I12" s="72"/>
    </row>
    <row r="13" spans="1:9" ht="26.25" customHeight="1" x14ac:dyDescent="0.2">
      <c r="A13" s="19" t="s">
        <v>15</v>
      </c>
      <c r="B13" s="73" t="s">
        <v>16</v>
      </c>
      <c r="C13" s="73"/>
      <c r="D13" s="20" t="s">
        <v>17</v>
      </c>
      <c r="E13" s="73" t="s">
        <v>18</v>
      </c>
      <c r="F13" s="73"/>
      <c r="G13" s="20" t="s">
        <v>19</v>
      </c>
      <c r="H13" s="73" t="s">
        <v>20</v>
      </c>
      <c r="I13" s="73"/>
    </row>
    <row r="14" spans="1:9" ht="15.75" x14ac:dyDescent="0.2">
      <c r="A14" s="21" t="s">
        <v>21</v>
      </c>
      <c r="B14" s="22" t="s">
        <v>22</v>
      </c>
      <c r="C14" s="23">
        <f>SUM('Stavební rozpočet (01C)'!AB12:AB669)</f>
        <v>0</v>
      </c>
      <c r="D14" s="74" t="s">
        <v>23</v>
      </c>
      <c r="E14" s="74"/>
      <c r="F14" s="23">
        <f>'VORN objektu (01C)'!I15</f>
        <v>0</v>
      </c>
      <c r="G14" s="74" t="s">
        <v>24</v>
      </c>
      <c r="H14" s="74"/>
      <c r="I14" s="23">
        <f>'VORN objektu (01C)'!I21</f>
        <v>0</v>
      </c>
    </row>
    <row r="15" spans="1:9" ht="15.75" x14ac:dyDescent="0.2">
      <c r="A15" s="24"/>
      <c r="B15" s="22" t="s">
        <v>25</v>
      </c>
      <c r="C15" s="23">
        <f>SUM('Stavební rozpočet (01C)'!AC12:AC669)</f>
        <v>0</v>
      </c>
      <c r="D15" s="74" t="s">
        <v>26</v>
      </c>
      <c r="E15" s="74"/>
      <c r="F15" s="23">
        <f>'VORN objektu (01C)'!I16</f>
        <v>0</v>
      </c>
      <c r="G15" s="74" t="s">
        <v>27</v>
      </c>
      <c r="H15" s="74"/>
      <c r="I15" s="23">
        <f>'VORN objektu (01C)'!I22</f>
        <v>0</v>
      </c>
    </row>
    <row r="16" spans="1:9" ht="15.75" x14ac:dyDescent="0.2">
      <c r="A16" s="21" t="s">
        <v>28</v>
      </c>
      <c r="B16" s="22" t="s">
        <v>22</v>
      </c>
      <c r="C16" s="23">
        <f>SUM('Stavební rozpočet (01C)'!AD12:AD669)</f>
        <v>0</v>
      </c>
      <c r="D16" s="74" t="s">
        <v>29</v>
      </c>
      <c r="E16" s="74"/>
      <c r="F16" s="23">
        <f>'VORN objektu (01C)'!I17</f>
        <v>0</v>
      </c>
      <c r="G16" s="74" t="s">
        <v>30</v>
      </c>
      <c r="H16" s="74"/>
      <c r="I16" s="23">
        <f>'VORN objektu (01C)'!I23</f>
        <v>0</v>
      </c>
    </row>
    <row r="17" spans="1:9" ht="15.75" x14ac:dyDescent="0.2">
      <c r="A17" s="24"/>
      <c r="B17" s="22" t="s">
        <v>25</v>
      </c>
      <c r="C17" s="23">
        <f>SUM('Stavební rozpočet (01C)'!AE12:AE669)</f>
        <v>0</v>
      </c>
      <c r="D17" s="74"/>
      <c r="E17" s="74"/>
      <c r="F17" s="25"/>
      <c r="G17" s="74" t="s">
        <v>31</v>
      </c>
      <c r="H17" s="74"/>
      <c r="I17" s="23">
        <f>'VORN objektu (01C)'!I24</f>
        <v>0</v>
      </c>
    </row>
    <row r="18" spans="1:9" ht="15.75" x14ac:dyDescent="0.2">
      <c r="A18" s="21" t="s">
        <v>32</v>
      </c>
      <c r="B18" s="22" t="s">
        <v>22</v>
      </c>
      <c r="C18" s="23">
        <f>SUM('Stavební rozpočet (01C)'!AF12:AF669)</f>
        <v>0</v>
      </c>
      <c r="D18" s="74"/>
      <c r="E18" s="74"/>
      <c r="F18" s="25"/>
      <c r="G18" s="74" t="s">
        <v>33</v>
      </c>
      <c r="H18" s="74"/>
      <c r="I18" s="23">
        <f>'VORN objektu (01C)'!I25</f>
        <v>0</v>
      </c>
    </row>
    <row r="19" spans="1:9" ht="15.75" x14ac:dyDescent="0.2">
      <c r="A19" s="24"/>
      <c r="B19" s="22" t="s">
        <v>25</v>
      </c>
      <c r="C19" s="23">
        <f>SUM('Stavební rozpočet (01C)'!AG12:AG669)</f>
        <v>0</v>
      </c>
      <c r="D19" s="74"/>
      <c r="E19" s="74"/>
      <c r="F19" s="25"/>
      <c r="G19" s="74" t="s">
        <v>34</v>
      </c>
      <c r="H19" s="74"/>
      <c r="I19" s="23">
        <f>'VORN objektu (01C)'!I26</f>
        <v>0</v>
      </c>
    </row>
    <row r="20" spans="1:9" ht="15.75" x14ac:dyDescent="0.2">
      <c r="A20" s="75" t="s">
        <v>35</v>
      </c>
      <c r="B20" s="75"/>
      <c r="C20" s="23">
        <f>SUM('Stavební rozpočet (01C)'!AH12:AH669)</f>
        <v>0</v>
      </c>
      <c r="D20" s="74"/>
      <c r="E20" s="74"/>
      <c r="F20" s="25"/>
      <c r="G20" s="74"/>
      <c r="H20" s="74"/>
      <c r="I20" s="25"/>
    </row>
    <row r="21" spans="1:9" ht="15.75" x14ac:dyDescent="0.2">
      <c r="A21" s="76" t="s">
        <v>36</v>
      </c>
      <c r="B21" s="76"/>
      <c r="C21" s="26">
        <f>SUM('Stavební rozpočet (01C)'!Z12:Z669)</f>
        <v>0</v>
      </c>
      <c r="D21" s="77"/>
      <c r="E21" s="77"/>
      <c r="F21" s="27"/>
      <c r="G21" s="77"/>
      <c r="H21" s="77"/>
      <c r="I21" s="27"/>
    </row>
    <row r="22" spans="1:9" ht="16.5" customHeight="1" x14ac:dyDescent="0.2">
      <c r="A22" s="78" t="s">
        <v>37</v>
      </c>
      <c r="B22" s="78"/>
      <c r="C22" s="28">
        <f>ROUND(SUM(C14:C21),0)</f>
        <v>0</v>
      </c>
      <c r="D22" s="79" t="s">
        <v>38</v>
      </c>
      <c r="E22" s="79"/>
      <c r="F22" s="28">
        <f>SUM(F14:F21)</f>
        <v>0</v>
      </c>
      <c r="G22" s="79" t="s">
        <v>39</v>
      </c>
      <c r="H22" s="79"/>
      <c r="I22" s="28">
        <f>SUM(I14:I21)</f>
        <v>0</v>
      </c>
    </row>
    <row r="23" spans="1:9" ht="15.75" x14ac:dyDescent="0.25">
      <c r="G23" s="75" t="s">
        <v>40</v>
      </c>
      <c r="H23" s="75"/>
      <c r="I23" s="23">
        <f>'VORN objektu (01C)'!I45</f>
        <v>0</v>
      </c>
    </row>
    <row r="25" spans="1:9" ht="15.75" x14ac:dyDescent="0.25">
      <c r="A25" s="80" t="s">
        <v>41</v>
      </c>
      <c r="B25" s="80"/>
      <c r="C25" s="29">
        <f>ROUND(SUM('Stavební rozpočet (01C)'!AJ12:AJ669),0)</f>
        <v>0</v>
      </c>
    </row>
    <row r="26" spans="1:9" ht="15.75" x14ac:dyDescent="0.2">
      <c r="A26" s="81" t="s">
        <v>42</v>
      </c>
      <c r="B26" s="81"/>
      <c r="C26" s="30">
        <f>ROUND(SUM('Stavební rozpočet (01C)'!AK12:AK669),0)</f>
        <v>0</v>
      </c>
      <c r="D26" s="82" t="s">
        <v>43</v>
      </c>
      <c r="E26" s="82"/>
      <c r="F26" s="29">
        <f>ROUND(C26*(12/100),2)</f>
        <v>0</v>
      </c>
      <c r="G26" s="82" t="s">
        <v>44</v>
      </c>
      <c r="H26" s="82"/>
      <c r="I26" s="29">
        <f>ROUND(SUM(C25:C27),0)</f>
        <v>0</v>
      </c>
    </row>
    <row r="27" spans="1:9" ht="15.75" x14ac:dyDescent="0.2">
      <c r="A27" s="81" t="s">
        <v>45</v>
      </c>
      <c r="B27" s="81"/>
      <c r="C27" s="30">
        <f>ROUND(SUM('Stavební rozpočet (01C)'!AL12:AL669),0)</f>
        <v>0</v>
      </c>
      <c r="D27" s="83" t="s">
        <v>46</v>
      </c>
      <c r="E27" s="83"/>
      <c r="F27" s="30">
        <f>ROUND(C27*(21/100),2)</f>
        <v>0</v>
      </c>
      <c r="G27" s="83" t="s">
        <v>47</v>
      </c>
      <c r="H27" s="83"/>
      <c r="I27" s="30">
        <f>ROUND(SUM(F26:F27)+I26,0)</f>
        <v>0</v>
      </c>
    </row>
    <row r="29" spans="1:9" x14ac:dyDescent="0.2">
      <c r="A29" s="84" t="s">
        <v>48</v>
      </c>
      <c r="B29" s="84"/>
      <c r="C29" s="84"/>
      <c r="D29" s="85" t="s">
        <v>49</v>
      </c>
      <c r="E29" s="85"/>
      <c r="F29" s="85"/>
      <c r="G29" s="85" t="s">
        <v>50</v>
      </c>
      <c r="H29" s="85"/>
      <c r="I29" s="85"/>
    </row>
    <row r="30" spans="1:9" x14ac:dyDescent="0.2">
      <c r="A30" s="86"/>
      <c r="B30" s="86"/>
      <c r="C30" s="86"/>
      <c r="D30" s="87"/>
      <c r="E30" s="87"/>
      <c r="F30" s="87"/>
      <c r="G30" s="87"/>
      <c r="H30" s="87"/>
      <c r="I30" s="87"/>
    </row>
    <row r="31" spans="1:9" x14ac:dyDescent="0.2">
      <c r="A31" s="86"/>
      <c r="B31" s="86"/>
      <c r="C31" s="86"/>
      <c r="D31" s="87"/>
      <c r="E31" s="87"/>
      <c r="F31" s="87"/>
      <c r="G31" s="87"/>
      <c r="H31" s="87"/>
      <c r="I31" s="87"/>
    </row>
    <row r="32" spans="1:9" x14ac:dyDescent="0.2">
      <c r="A32" s="86"/>
      <c r="B32" s="86"/>
      <c r="C32" s="86"/>
      <c r="D32" s="87"/>
      <c r="E32" s="87"/>
      <c r="F32" s="87"/>
      <c r="G32" s="87"/>
      <c r="H32" s="87"/>
      <c r="I32" s="87"/>
    </row>
    <row r="33" spans="1:9" x14ac:dyDescent="0.2">
      <c r="A33" s="88" t="s">
        <v>51</v>
      </c>
      <c r="B33" s="88"/>
      <c r="C33" s="88"/>
      <c r="D33" s="89" t="s">
        <v>51</v>
      </c>
      <c r="E33" s="89"/>
      <c r="F33" s="89"/>
      <c r="G33" s="89" t="s">
        <v>51</v>
      </c>
      <c r="H33" s="89"/>
      <c r="I33" s="89"/>
    </row>
    <row r="34" spans="1:9" x14ac:dyDescent="0.25">
      <c r="A34" s="31" t="s">
        <v>52</v>
      </c>
    </row>
    <row r="35" spans="1:9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</row>
  </sheetData>
  <mergeCells count="80">
    <mergeCell ref="A35:I35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D31:F31"/>
    <mergeCell ref="G31:I31"/>
    <mergeCell ref="A27:B27"/>
    <mergeCell ref="D27:E27"/>
    <mergeCell ref="G27:H27"/>
    <mergeCell ref="A29:C29"/>
    <mergeCell ref="D29:F29"/>
    <mergeCell ref="G29:I29"/>
    <mergeCell ref="G23:H23"/>
    <mergeCell ref="A25:B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5"/>
  <sheetViews>
    <sheetView zoomScaleNormal="100" workbookViewId="0">
      <selection activeCell="A45" sqref="A45"/>
    </sheetView>
  </sheetViews>
  <sheetFormatPr defaultColWidth="12.140625" defaultRowHeight="15" x14ac:dyDescent="0.25"/>
  <cols>
    <col min="1" max="1" width="9.140625" style="15" customWidth="1"/>
    <col min="2" max="2" width="12.85546875" style="15" customWidth="1"/>
    <col min="3" max="3" width="22.85546875" style="15" customWidth="1"/>
    <col min="4" max="4" width="10" style="15" customWidth="1"/>
    <col min="5" max="5" width="14" style="15" customWidth="1"/>
    <col min="6" max="6" width="22.85546875" style="15" customWidth="1"/>
    <col min="7" max="7" width="9.140625" style="15" customWidth="1"/>
    <col min="8" max="8" width="17.140625" style="15" customWidth="1"/>
    <col min="9" max="9" width="22.85546875" style="15" customWidth="1"/>
  </cols>
  <sheetData>
    <row r="1" spans="1:9" ht="54.75" customHeight="1" x14ac:dyDescent="0.2">
      <c r="A1" s="14" t="s">
        <v>469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rozpočet'!D2</f>
        <v>VÝMĚNA OKEN A OPRAVA BALKONŮ - BYTOVÝ DŮM J.E. PURKYNĚ 1150, LITOMYŠL</v>
      </c>
      <c r="D2" s="12"/>
      <c r="E2" s="11" t="s">
        <v>2</v>
      </c>
      <c r="F2" s="11" t="str">
        <f>'Stavební rozpočet'!K2</f>
        <v> </v>
      </c>
      <c r="G2" s="11"/>
      <c r="H2" s="11" t="s">
        <v>3</v>
      </c>
      <c r="I2" s="10"/>
    </row>
    <row r="3" spans="1:9" ht="66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rozpočet'!D4</f>
        <v xml:space="preserve"> </v>
      </c>
      <c r="D4" s="8"/>
      <c r="E4" s="8" t="s">
        <v>5</v>
      </c>
      <c r="F4" s="8" t="str">
        <f>'Stavební rozpočet'!K4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rozpočet'!D6</f>
        <v>LITOMYŠL</v>
      </c>
      <c r="D6" s="8"/>
      <c r="E6" s="8" t="s">
        <v>7</v>
      </c>
      <c r="F6" s="8" t="str">
        <f>'Stavební rozpočet'!K6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 t="str">
        <f>'Stavební rozpočet'!H4</f>
        <v>25.01.2025</v>
      </c>
      <c r="D8" s="8"/>
      <c r="E8" s="8" t="s">
        <v>9</v>
      </c>
      <c r="F8" s="8" t="str">
        <f>'Stavební rozpočet'!H6</f>
        <v xml:space="preserve"> </v>
      </c>
      <c r="G8" s="8"/>
      <c r="H8" s="6" t="s">
        <v>10</v>
      </c>
      <c r="I8" s="5">
        <v>58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rozpočet'!D8</f>
        <v xml:space="preserve"> </v>
      </c>
      <c r="D10" s="3"/>
      <c r="E10" s="3" t="s">
        <v>12</v>
      </c>
      <c r="F10" s="3" t="str">
        <f>'Stavební rozpočet'!K8</f>
        <v>MARTIN ČERNÝ, DIS.</v>
      </c>
      <c r="G10" s="3"/>
      <c r="H10" s="2" t="s">
        <v>13</v>
      </c>
      <c r="I10" s="1" t="str">
        <f>'Stavební rozpočet'!H8</f>
        <v>25.01.2025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3" spans="1:9" ht="15.75" x14ac:dyDescent="0.25">
      <c r="A13" s="90" t="s">
        <v>54</v>
      </c>
      <c r="B13" s="90"/>
      <c r="C13" s="90"/>
      <c r="D13" s="90"/>
      <c r="E13" s="90"/>
    </row>
    <row r="14" spans="1:9" ht="12.75" x14ac:dyDescent="0.2">
      <c r="A14" s="91" t="s">
        <v>55</v>
      </c>
      <c r="B14" s="91"/>
      <c r="C14" s="91"/>
      <c r="D14" s="91"/>
      <c r="E14" s="91"/>
      <c r="F14" s="32" t="s">
        <v>56</v>
      </c>
      <c r="G14" s="32" t="s">
        <v>57</v>
      </c>
      <c r="H14" s="32" t="s">
        <v>58</v>
      </c>
      <c r="I14" s="32" t="s">
        <v>56</v>
      </c>
    </row>
    <row r="15" spans="1:9" ht="12.75" x14ac:dyDescent="0.2">
      <c r="A15" s="92" t="s">
        <v>23</v>
      </c>
      <c r="B15" s="92"/>
      <c r="C15" s="92"/>
      <c r="D15" s="92"/>
      <c r="E15" s="92"/>
      <c r="F15" s="33">
        <v>0</v>
      </c>
      <c r="G15" s="34"/>
      <c r="H15" s="34"/>
      <c r="I15" s="33">
        <f>F15</f>
        <v>0</v>
      </c>
    </row>
    <row r="16" spans="1:9" ht="12.75" x14ac:dyDescent="0.2">
      <c r="A16" s="92" t="s">
        <v>26</v>
      </c>
      <c r="B16" s="92"/>
      <c r="C16" s="92"/>
      <c r="D16" s="92"/>
      <c r="E16" s="92"/>
      <c r="F16" s="33">
        <v>0</v>
      </c>
      <c r="G16" s="34"/>
      <c r="H16" s="34"/>
      <c r="I16" s="33">
        <f>F16</f>
        <v>0</v>
      </c>
    </row>
    <row r="17" spans="1:9" ht="12.75" x14ac:dyDescent="0.2">
      <c r="A17" s="93" t="s">
        <v>29</v>
      </c>
      <c r="B17" s="93"/>
      <c r="C17" s="93"/>
      <c r="D17" s="93"/>
      <c r="E17" s="93"/>
      <c r="F17" s="35">
        <v>0</v>
      </c>
      <c r="G17" s="17"/>
      <c r="H17" s="17"/>
      <c r="I17" s="35">
        <f>F17</f>
        <v>0</v>
      </c>
    </row>
    <row r="18" spans="1:9" ht="12.75" x14ac:dyDescent="0.2">
      <c r="A18" s="94" t="s">
        <v>59</v>
      </c>
      <c r="B18" s="94"/>
      <c r="C18" s="94"/>
      <c r="D18" s="94"/>
      <c r="E18" s="94"/>
      <c r="F18" s="36"/>
      <c r="G18" s="37"/>
      <c r="H18" s="37"/>
      <c r="I18" s="38">
        <f>SUM(I15:I17)</f>
        <v>0</v>
      </c>
    </row>
    <row r="20" spans="1:9" ht="12.75" x14ac:dyDescent="0.2">
      <c r="A20" s="91" t="s">
        <v>20</v>
      </c>
      <c r="B20" s="91"/>
      <c r="C20" s="91"/>
      <c r="D20" s="91"/>
      <c r="E20" s="91"/>
      <c r="F20" s="32" t="s">
        <v>56</v>
      </c>
      <c r="G20" s="32" t="s">
        <v>57</v>
      </c>
      <c r="H20" s="32" t="s">
        <v>58</v>
      </c>
      <c r="I20" s="32" t="s">
        <v>56</v>
      </c>
    </row>
    <row r="21" spans="1:9" ht="12.75" x14ac:dyDescent="0.2">
      <c r="A21" s="92" t="s">
        <v>24</v>
      </c>
      <c r="B21" s="92"/>
      <c r="C21" s="92"/>
      <c r="D21" s="92"/>
      <c r="E21" s="92"/>
      <c r="F21" s="33">
        <v>0</v>
      </c>
      <c r="G21" s="34"/>
      <c r="H21" s="34"/>
      <c r="I21" s="33">
        <f t="shared" ref="I21:I26" si="0">F21</f>
        <v>0</v>
      </c>
    </row>
    <row r="22" spans="1:9" ht="12.75" x14ac:dyDescent="0.2">
      <c r="A22" s="92" t="s">
        <v>27</v>
      </c>
      <c r="B22" s="92"/>
      <c r="C22" s="92"/>
      <c r="D22" s="92"/>
      <c r="E22" s="92"/>
      <c r="F22" s="33">
        <v>0</v>
      </c>
      <c r="G22" s="34"/>
      <c r="H22" s="34"/>
      <c r="I22" s="33">
        <f t="shared" si="0"/>
        <v>0</v>
      </c>
    </row>
    <row r="23" spans="1:9" ht="12.75" x14ac:dyDescent="0.2">
      <c r="A23" s="92" t="s">
        <v>30</v>
      </c>
      <c r="B23" s="92"/>
      <c r="C23" s="92"/>
      <c r="D23" s="92"/>
      <c r="E23" s="92"/>
      <c r="F23" s="33">
        <v>0</v>
      </c>
      <c r="G23" s="34"/>
      <c r="H23" s="34"/>
      <c r="I23" s="33">
        <f t="shared" si="0"/>
        <v>0</v>
      </c>
    </row>
    <row r="24" spans="1:9" ht="12.75" x14ac:dyDescent="0.2">
      <c r="A24" s="92" t="s">
        <v>31</v>
      </c>
      <c r="B24" s="92"/>
      <c r="C24" s="92"/>
      <c r="D24" s="92"/>
      <c r="E24" s="92"/>
      <c r="F24" s="33">
        <v>0</v>
      </c>
      <c r="G24" s="34"/>
      <c r="H24" s="34"/>
      <c r="I24" s="33">
        <f t="shared" si="0"/>
        <v>0</v>
      </c>
    </row>
    <row r="25" spans="1:9" ht="12.75" x14ac:dyDescent="0.2">
      <c r="A25" s="92" t="s">
        <v>33</v>
      </c>
      <c r="B25" s="92"/>
      <c r="C25" s="92"/>
      <c r="D25" s="92"/>
      <c r="E25" s="92"/>
      <c r="F25" s="33">
        <v>0</v>
      </c>
      <c r="G25" s="34"/>
      <c r="H25" s="34"/>
      <c r="I25" s="33">
        <f t="shared" si="0"/>
        <v>0</v>
      </c>
    </row>
    <row r="26" spans="1:9" ht="12.75" x14ac:dyDescent="0.2">
      <c r="A26" s="93" t="s">
        <v>34</v>
      </c>
      <c r="B26" s="93"/>
      <c r="C26" s="93"/>
      <c r="D26" s="93"/>
      <c r="E26" s="93"/>
      <c r="F26" s="35">
        <v>0</v>
      </c>
      <c r="G26" s="17"/>
      <c r="H26" s="17"/>
      <c r="I26" s="35">
        <f t="shared" si="0"/>
        <v>0</v>
      </c>
    </row>
    <row r="27" spans="1:9" ht="12.75" x14ac:dyDescent="0.2">
      <c r="A27" s="94" t="s">
        <v>60</v>
      </c>
      <c r="B27" s="94"/>
      <c r="C27" s="94"/>
      <c r="D27" s="94"/>
      <c r="E27" s="94"/>
      <c r="F27" s="36"/>
      <c r="G27" s="37"/>
      <c r="H27" s="37"/>
      <c r="I27" s="38">
        <f>SUM(I21:I26)</f>
        <v>0</v>
      </c>
    </row>
    <row r="29" spans="1:9" ht="15.75" x14ac:dyDescent="0.2">
      <c r="A29" s="95" t="s">
        <v>61</v>
      </c>
      <c r="B29" s="95"/>
      <c r="C29" s="95"/>
      <c r="D29" s="95"/>
      <c r="E29" s="95"/>
      <c r="F29" s="96">
        <f>I18+I27</f>
        <v>0</v>
      </c>
      <c r="G29" s="96"/>
      <c r="H29" s="96"/>
      <c r="I29" s="96"/>
    </row>
    <row r="33" spans="1:9" ht="15.75" x14ac:dyDescent="0.25">
      <c r="A33" s="90" t="s">
        <v>62</v>
      </c>
      <c r="B33" s="90"/>
      <c r="C33" s="90"/>
      <c r="D33" s="90"/>
      <c r="E33" s="90"/>
    </row>
    <row r="34" spans="1:9" ht="12.75" x14ac:dyDescent="0.2">
      <c r="A34" s="91" t="s">
        <v>63</v>
      </c>
      <c r="B34" s="91"/>
      <c r="C34" s="91"/>
      <c r="D34" s="91"/>
      <c r="E34" s="91"/>
      <c r="F34" s="32" t="s">
        <v>56</v>
      </c>
      <c r="G34" s="32" t="s">
        <v>57</v>
      </c>
      <c r="H34" s="32" t="s">
        <v>58</v>
      </c>
      <c r="I34" s="32" t="s">
        <v>56</v>
      </c>
    </row>
    <row r="35" spans="1:9" ht="12.75" x14ac:dyDescent="0.2">
      <c r="A35" s="92" t="s">
        <v>64</v>
      </c>
      <c r="B35" s="92"/>
      <c r="C35" s="92"/>
      <c r="D35" s="92"/>
      <c r="E35" s="92"/>
      <c r="F35" s="33">
        <f>SUM('Stavební rozpočet'!BM12:BM669)</f>
        <v>0</v>
      </c>
      <c r="G35" s="34"/>
      <c r="H35" s="34"/>
      <c r="I35" s="33">
        <f t="shared" ref="I35:I44" si="1">F35</f>
        <v>0</v>
      </c>
    </row>
    <row r="36" spans="1:9" ht="12.75" x14ac:dyDescent="0.2">
      <c r="A36" s="92" t="s">
        <v>65</v>
      </c>
      <c r="B36" s="92"/>
      <c r="C36" s="92"/>
      <c r="D36" s="92"/>
      <c r="E36" s="92"/>
      <c r="F36" s="33">
        <f>SUM('Stavební rozpočet'!BN12:BN669)</f>
        <v>0</v>
      </c>
      <c r="G36" s="34"/>
      <c r="H36" s="34"/>
      <c r="I36" s="33">
        <f t="shared" si="1"/>
        <v>0</v>
      </c>
    </row>
    <row r="37" spans="1:9" ht="12.75" x14ac:dyDescent="0.2">
      <c r="A37" s="92" t="s">
        <v>24</v>
      </c>
      <c r="B37" s="92"/>
      <c r="C37" s="92"/>
      <c r="D37" s="92"/>
      <c r="E37" s="92"/>
      <c r="F37" s="33">
        <f>SUM('Stavební rozpočet'!BO12:BO669)</f>
        <v>0</v>
      </c>
      <c r="G37" s="34"/>
      <c r="H37" s="34"/>
      <c r="I37" s="33">
        <f t="shared" si="1"/>
        <v>0</v>
      </c>
    </row>
    <row r="38" spans="1:9" ht="12.75" x14ac:dyDescent="0.2">
      <c r="A38" s="92" t="s">
        <v>66</v>
      </c>
      <c r="B38" s="92"/>
      <c r="C38" s="92"/>
      <c r="D38" s="92"/>
      <c r="E38" s="92"/>
      <c r="F38" s="33">
        <f>SUM('Stavební rozpočet'!BP12:BP669)</f>
        <v>0</v>
      </c>
      <c r="G38" s="34"/>
      <c r="H38" s="34"/>
      <c r="I38" s="33">
        <f t="shared" si="1"/>
        <v>0</v>
      </c>
    </row>
    <row r="39" spans="1:9" ht="12.75" x14ac:dyDescent="0.2">
      <c r="A39" s="92" t="s">
        <v>67</v>
      </c>
      <c r="B39" s="92"/>
      <c r="C39" s="92"/>
      <c r="D39" s="92"/>
      <c r="E39" s="92"/>
      <c r="F39" s="33">
        <f>SUM('Stavební rozpočet'!BQ12:BQ669)</f>
        <v>0</v>
      </c>
      <c r="G39" s="34"/>
      <c r="H39" s="34"/>
      <c r="I39" s="33">
        <f t="shared" si="1"/>
        <v>0</v>
      </c>
    </row>
    <row r="40" spans="1:9" ht="12.75" x14ac:dyDescent="0.2">
      <c r="A40" s="92" t="s">
        <v>30</v>
      </c>
      <c r="B40" s="92"/>
      <c r="C40" s="92"/>
      <c r="D40" s="92"/>
      <c r="E40" s="92"/>
      <c r="F40" s="33">
        <f>SUM('Stavební rozpočet'!BR12:BR669)</f>
        <v>0</v>
      </c>
      <c r="G40" s="34"/>
      <c r="H40" s="34"/>
      <c r="I40" s="33">
        <f t="shared" si="1"/>
        <v>0</v>
      </c>
    </row>
    <row r="41" spans="1:9" ht="12.75" x14ac:dyDescent="0.2">
      <c r="A41" s="92" t="s">
        <v>31</v>
      </c>
      <c r="B41" s="92"/>
      <c r="C41" s="92"/>
      <c r="D41" s="92"/>
      <c r="E41" s="92"/>
      <c r="F41" s="33">
        <f>SUM('Stavební rozpočet'!BS12:BS669)</f>
        <v>0</v>
      </c>
      <c r="G41" s="34"/>
      <c r="H41" s="34"/>
      <c r="I41" s="33">
        <f t="shared" si="1"/>
        <v>0</v>
      </c>
    </row>
    <row r="42" spans="1:9" ht="12.75" x14ac:dyDescent="0.2">
      <c r="A42" s="92" t="s">
        <v>68</v>
      </c>
      <c r="B42" s="92"/>
      <c r="C42" s="92"/>
      <c r="D42" s="92"/>
      <c r="E42" s="92"/>
      <c r="F42" s="33">
        <f>SUM('Stavební rozpočet'!BT12:BT669)</f>
        <v>0</v>
      </c>
      <c r="G42" s="34"/>
      <c r="H42" s="34"/>
      <c r="I42" s="33">
        <f t="shared" si="1"/>
        <v>0</v>
      </c>
    </row>
    <row r="43" spans="1:9" ht="12.75" x14ac:dyDescent="0.2">
      <c r="A43" s="92" t="s">
        <v>69</v>
      </c>
      <c r="B43" s="92"/>
      <c r="C43" s="92"/>
      <c r="D43" s="92"/>
      <c r="E43" s="92"/>
      <c r="F43" s="33">
        <f>SUM('Stavební rozpočet'!BU12:BU669)</f>
        <v>0</v>
      </c>
      <c r="G43" s="34"/>
      <c r="H43" s="34"/>
      <c r="I43" s="33">
        <f t="shared" si="1"/>
        <v>0</v>
      </c>
    </row>
    <row r="44" spans="1:9" ht="12.75" x14ac:dyDescent="0.2">
      <c r="A44" s="93" t="s">
        <v>70</v>
      </c>
      <c r="B44" s="93"/>
      <c r="C44" s="93"/>
      <c r="D44" s="93"/>
      <c r="E44" s="93"/>
      <c r="F44" s="35">
        <f>SUM('Stavební rozpočet'!BV12:BV669)</f>
        <v>0</v>
      </c>
      <c r="G44" s="17"/>
      <c r="H44" s="17"/>
      <c r="I44" s="35">
        <f t="shared" si="1"/>
        <v>0</v>
      </c>
    </row>
    <row r="45" spans="1:9" ht="12.75" x14ac:dyDescent="0.2">
      <c r="A45" s="94" t="s">
        <v>71</v>
      </c>
      <c r="B45" s="94"/>
      <c r="C45" s="94"/>
      <c r="D45" s="94"/>
      <c r="E45" s="94"/>
      <c r="F45" s="36"/>
      <c r="G45" s="37"/>
      <c r="H45" s="37"/>
      <c r="I45" s="38">
        <f>SUM(I35:I44)</f>
        <v>0</v>
      </c>
    </row>
  </sheetData>
  <mergeCells count="60">
    <mergeCell ref="A42:E42"/>
    <mergeCell ref="A43:E43"/>
    <mergeCell ref="A44:E44"/>
    <mergeCell ref="A45:E45"/>
    <mergeCell ref="A37:E37"/>
    <mergeCell ref="A38:E38"/>
    <mergeCell ref="A39:E39"/>
    <mergeCell ref="A40:E40"/>
    <mergeCell ref="A41:E41"/>
    <mergeCell ref="F29:I29"/>
    <mergeCell ref="A33:E33"/>
    <mergeCell ref="A34:E34"/>
    <mergeCell ref="A35:E35"/>
    <mergeCell ref="A36:E36"/>
    <mergeCell ref="A24:E24"/>
    <mergeCell ref="A25:E25"/>
    <mergeCell ref="A26:E26"/>
    <mergeCell ref="A27:E27"/>
    <mergeCell ref="A29:E29"/>
    <mergeCell ref="A18:E18"/>
    <mergeCell ref="A20:E20"/>
    <mergeCell ref="A21:E21"/>
    <mergeCell ref="A22:E22"/>
    <mergeCell ref="A23:E23"/>
    <mergeCell ref="A13:E13"/>
    <mergeCell ref="A14:E14"/>
    <mergeCell ref="A15:E15"/>
    <mergeCell ref="A16:E16"/>
    <mergeCell ref="A17:E17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Z177"/>
  <sheetViews>
    <sheetView zoomScaleNormal="100" workbookViewId="0">
      <pane ySplit="11" topLeftCell="A124" activePane="bottomLeft" state="frozen"/>
      <selection pane="bottomLeft" activeCell="D135" sqref="D135:M135"/>
    </sheetView>
  </sheetViews>
  <sheetFormatPr defaultColWidth="12.140625" defaultRowHeight="15" x14ac:dyDescent="0.25"/>
  <cols>
    <col min="1" max="1" width="3.140625" style="15" customWidth="1"/>
    <col min="2" max="2" width="8" style="15" customWidth="1"/>
    <col min="3" max="3" width="17.85546875" style="15" customWidth="1"/>
    <col min="4" max="4" width="42.85546875" style="15" customWidth="1"/>
    <col min="5" max="5" width="35.7109375" style="15" customWidth="1"/>
    <col min="6" max="6" width="7.5703125" style="15" customWidth="1"/>
    <col min="7" max="7" width="12.85546875" style="15" customWidth="1"/>
    <col min="8" max="8" width="12" style="15" customWidth="1"/>
    <col min="9" max="9" width="15.7109375" style="15" customWidth="1"/>
    <col min="10" max="12" width="11.7109375" style="15" customWidth="1"/>
    <col min="13" max="13" width="23.140625" style="15" customWidth="1"/>
    <col min="25" max="75" width="12.140625" style="15" hidden="1"/>
    <col min="76" max="76" width="78.5703125" style="15" hidden="1" customWidth="1"/>
    <col min="77" max="78" width="12.140625" style="15" hidden="1"/>
  </cols>
  <sheetData>
    <row r="1" spans="1:76" ht="54.75" customHeight="1" x14ac:dyDescent="0.25">
      <c r="A1" s="97" t="s">
        <v>470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ht="15" customHeight="1" x14ac:dyDescent="0.25">
      <c r="A2" s="13" t="s">
        <v>1</v>
      </c>
      <c r="B2" s="13"/>
      <c r="C2" s="13"/>
      <c r="D2" s="12" t="str">
        <f>'Stavební rozpočet'!D2</f>
        <v>VÝMĚNA OKEN A OPRAVA BALKONŮ - BYTOVÝ DŮM J.E. PURKYNĚ 1150, LITOMYŠL</v>
      </c>
      <c r="E2" s="12"/>
      <c r="F2" s="98" t="s">
        <v>73</v>
      </c>
      <c r="G2" s="98"/>
      <c r="H2" s="11" t="str">
        <f>'Stavební rozpočet'!H2</f>
        <v xml:space="preserve"> </v>
      </c>
      <c r="I2" s="11" t="s">
        <v>2</v>
      </c>
      <c r="J2" s="11"/>
      <c r="K2" s="99" t="str">
        <f>'Stavební rozpočet'!K2</f>
        <v> </v>
      </c>
      <c r="L2" s="99"/>
      <c r="M2" s="99"/>
    </row>
    <row r="3" spans="1:76" x14ac:dyDescent="0.25">
      <c r="A3" s="13"/>
      <c r="B3" s="13"/>
      <c r="C3" s="13"/>
      <c r="D3" s="12"/>
      <c r="E3" s="12"/>
      <c r="F3" s="98"/>
      <c r="G3" s="98"/>
      <c r="H3" s="11"/>
      <c r="I3" s="11"/>
      <c r="J3" s="11"/>
      <c r="K3" s="99"/>
      <c r="L3" s="99"/>
      <c r="M3" s="99"/>
    </row>
    <row r="4" spans="1:76" ht="15" customHeight="1" x14ac:dyDescent="0.25">
      <c r="A4" s="9" t="s">
        <v>4</v>
      </c>
      <c r="B4" s="9"/>
      <c r="C4" s="9"/>
      <c r="D4" s="8" t="str">
        <f>'Stavební rozpočet'!D4</f>
        <v xml:space="preserve"> </v>
      </c>
      <c r="E4" s="8"/>
      <c r="F4" s="6" t="s">
        <v>8</v>
      </c>
      <c r="G4" s="6"/>
      <c r="H4" s="8"/>
      <c r="I4" s="8" t="s">
        <v>5</v>
      </c>
      <c r="J4" s="8"/>
      <c r="K4" s="100" t="str">
        <f>'Stavební rozpočet'!K4</f>
        <v> </v>
      </c>
      <c r="L4" s="100"/>
      <c r="M4" s="100"/>
    </row>
    <row r="5" spans="1:76" x14ac:dyDescent="0.25">
      <c r="A5" s="9"/>
      <c r="B5" s="9"/>
      <c r="C5" s="9"/>
      <c r="D5" s="8"/>
      <c r="E5" s="8"/>
      <c r="F5" s="6"/>
      <c r="G5" s="6"/>
      <c r="H5" s="8"/>
      <c r="I5" s="8"/>
      <c r="J5" s="8"/>
      <c r="K5" s="100"/>
      <c r="L5" s="100"/>
      <c r="M5" s="100"/>
    </row>
    <row r="6" spans="1:76" ht="15" customHeight="1" x14ac:dyDescent="0.25">
      <c r="A6" s="9" t="s">
        <v>6</v>
      </c>
      <c r="B6" s="9"/>
      <c r="C6" s="9"/>
      <c r="D6" s="8" t="str">
        <f>'Stavební rozpočet'!D6</f>
        <v>LITOMYŠL</v>
      </c>
      <c r="E6" s="8"/>
      <c r="F6" s="6" t="s">
        <v>9</v>
      </c>
      <c r="G6" s="6"/>
      <c r="H6" s="8" t="str">
        <f>'Stavební rozpočet'!H6</f>
        <v xml:space="preserve"> </v>
      </c>
      <c r="I6" s="8" t="s">
        <v>7</v>
      </c>
      <c r="J6" s="8"/>
      <c r="K6" s="100" t="str">
        <f>'Stavební rozpočet'!K6</f>
        <v> </v>
      </c>
      <c r="L6" s="100"/>
      <c r="M6" s="100"/>
    </row>
    <row r="7" spans="1:76" x14ac:dyDescent="0.25">
      <c r="A7" s="9"/>
      <c r="B7" s="9"/>
      <c r="C7" s="9"/>
      <c r="D7" s="8"/>
      <c r="E7" s="8"/>
      <c r="F7" s="6"/>
      <c r="G7" s="6"/>
      <c r="H7" s="8"/>
      <c r="I7" s="8"/>
      <c r="J7" s="8"/>
      <c r="K7" s="100"/>
      <c r="L7" s="100"/>
      <c r="M7" s="100"/>
    </row>
    <row r="8" spans="1:76" ht="15" customHeight="1" x14ac:dyDescent="0.25">
      <c r="A8" s="9" t="s">
        <v>11</v>
      </c>
      <c r="B8" s="9"/>
      <c r="C8" s="9"/>
      <c r="D8" s="8" t="str">
        <f>'Stavební rozpočet'!D8</f>
        <v xml:space="preserve"> </v>
      </c>
      <c r="E8" s="8"/>
      <c r="F8" s="6" t="s">
        <v>74</v>
      </c>
      <c r="G8" s="6"/>
      <c r="H8" s="8" t="str">
        <f>'Stavební rozpočet'!H8</f>
        <v>25.01.2025</v>
      </c>
      <c r="I8" s="8" t="s">
        <v>12</v>
      </c>
      <c r="J8" s="8"/>
      <c r="K8" s="100" t="str">
        <f>'Stavební rozpočet'!K8</f>
        <v>MARTIN ČERNÝ, DIS.</v>
      </c>
      <c r="L8" s="100"/>
      <c r="M8" s="100"/>
    </row>
    <row r="9" spans="1:76" x14ac:dyDescent="0.25">
      <c r="A9" s="9"/>
      <c r="B9" s="9"/>
      <c r="C9" s="9"/>
      <c r="D9" s="8"/>
      <c r="E9" s="8"/>
      <c r="F9" s="6"/>
      <c r="G9" s="6"/>
      <c r="H9" s="8"/>
      <c r="I9" s="8"/>
      <c r="J9" s="8"/>
      <c r="K9" s="100"/>
      <c r="L9" s="100"/>
      <c r="M9" s="100"/>
    </row>
    <row r="10" spans="1:76" x14ac:dyDescent="0.25">
      <c r="A10" s="40" t="s">
        <v>75</v>
      </c>
      <c r="B10" s="41" t="s">
        <v>76</v>
      </c>
      <c r="C10" s="41" t="s">
        <v>77</v>
      </c>
      <c r="D10" s="101" t="s">
        <v>78</v>
      </c>
      <c r="E10" s="101"/>
      <c r="F10" s="41" t="s">
        <v>79</v>
      </c>
      <c r="G10" s="42" t="s">
        <v>80</v>
      </c>
      <c r="H10" s="43" t="s">
        <v>81</v>
      </c>
      <c r="I10" s="44" t="s">
        <v>82</v>
      </c>
      <c r="J10" s="102" t="s">
        <v>83</v>
      </c>
      <c r="K10" s="102"/>
      <c r="L10" s="102"/>
      <c r="M10" s="45" t="s">
        <v>84</v>
      </c>
      <c r="BK10" s="46" t="s">
        <v>85</v>
      </c>
      <c r="BL10" s="47" t="s">
        <v>86</v>
      </c>
      <c r="BW10" s="47" t="s">
        <v>87</v>
      </c>
    </row>
    <row r="11" spans="1:76" x14ac:dyDescent="0.25">
      <c r="A11" s="48" t="s">
        <v>88</v>
      </c>
      <c r="B11" s="49" t="s">
        <v>88</v>
      </c>
      <c r="C11" s="49" t="s">
        <v>88</v>
      </c>
      <c r="D11" s="103" t="s">
        <v>89</v>
      </c>
      <c r="E11" s="103"/>
      <c r="F11" s="49" t="s">
        <v>88</v>
      </c>
      <c r="G11" s="49" t="s">
        <v>88</v>
      </c>
      <c r="H11" s="50" t="s">
        <v>90</v>
      </c>
      <c r="I11" s="51" t="s">
        <v>91</v>
      </c>
      <c r="J11" s="50" t="s">
        <v>92</v>
      </c>
      <c r="K11" s="50" t="s">
        <v>93</v>
      </c>
      <c r="L11" s="52" t="s">
        <v>91</v>
      </c>
      <c r="M11" s="53" t="s">
        <v>94</v>
      </c>
      <c r="Z11" s="46" t="s">
        <v>95</v>
      </c>
      <c r="AA11" s="46" t="s">
        <v>96</v>
      </c>
      <c r="AB11" s="46" t="s">
        <v>97</v>
      </c>
      <c r="AC11" s="46" t="s">
        <v>98</v>
      </c>
      <c r="AD11" s="46" t="s">
        <v>99</v>
      </c>
      <c r="AE11" s="46" t="s">
        <v>100</v>
      </c>
      <c r="AF11" s="46" t="s">
        <v>101</v>
      </c>
      <c r="AG11" s="46" t="s">
        <v>102</v>
      </c>
      <c r="AH11" s="46" t="s">
        <v>103</v>
      </c>
      <c r="BH11" s="46" t="s">
        <v>104</v>
      </c>
      <c r="BI11" s="46" t="s">
        <v>105</v>
      </c>
      <c r="BJ11" s="46" t="s">
        <v>106</v>
      </c>
    </row>
    <row r="12" spans="1:76" ht="15" customHeight="1" x14ac:dyDescent="0.25">
      <c r="A12" s="54"/>
      <c r="B12" s="55" t="s">
        <v>471</v>
      </c>
      <c r="C12" s="55"/>
      <c r="D12" s="104" t="s">
        <v>472</v>
      </c>
      <c r="E12" s="104"/>
      <c r="F12" s="56" t="s">
        <v>88</v>
      </c>
      <c r="G12" s="56" t="s">
        <v>88</v>
      </c>
      <c r="H12" s="56" t="s">
        <v>88</v>
      </c>
      <c r="I12" s="39">
        <f>I13+I19+I28+I36+I45+I49+I56+I67+I85+I88+I104+I114+I118+I128+I133+I137+I153+I156+I158</f>
        <v>0</v>
      </c>
      <c r="J12" s="46"/>
      <c r="K12" s="46"/>
      <c r="L12" s="39">
        <f>L13+L19+L28+L36+L45+L49+L56+L67+L85+L88+L104+L114+L118+L128+L133+L137+L153+L156+L158</f>
        <v>16.62477926</v>
      </c>
      <c r="M12" s="57"/>
    </row>
    <row r="13" spans="1:76" ht="15" customHeight="1" x14ac:dyDescent="0.25">
      <c r="A13" s="54"/>
      <c r="B13" s="55" t="s">
        <v>471</v>
      </c>
      <c r="C13" s="55" t="s">
        <v>109</v>
      </c>
      <c r="D13" s="104" t="s">
        <v>110</v>
      </c>
      <c r="E13" s="104"/>
      <c r="F13" s="56" t="s">
        <v>88</v>
      </c>
      <c r="G13" s="56" t="s">
        <v>88</v>
      </c>
      <c r="H13" s="56" t="s">
        <v>88</v>
      </c>
      <c r="I13" s="39">
        <f>SUM(I14:I17)</f>
        <v>0</v>
      </c>
      <c r="J13" s="46"/>
      <c r="K13" s="46"/>
      <c r="L13" s="39">
        <f>SUM(L14:L17)</f>
        <v>0.14842520000000001</v>
      </c>
      <c r="M13" s="57"/>
      <c r="AI13" s="46" t="s">
        <v>471</v>
      </c>
      <c r="AS13" s="39">
        <f>SUM(AJ14:AJ17)</f>
        <v>0</v>
      </c>
      <c r="AT13" s="39">
        <f>SUM(AK14:AK17)</f>
        <v>0</v>
      </c>
      <c r="AU13" s="39">
        <f>SUM(AL14:AL17)</f>
        <v>0</v>
      </c>
    </row>
    <row r="14" spans="1:76" ht="15" customHeight="1" x14ac:dyDescent="0.25">
      <c r="A14" s="58" t="s">
        <v>111</v>
      </c>
      <c r="B14" s="18" t="s">
        <v>471</v>
      </c>
      <c r="C14" s="18" t="s">
        <v>112</v>
      </c>
      <c r="D14" s="8" t="s">
        <v>113</v>
      </c>
      <c r="E14" s="8"/>
      <c r="F14" s="18" t="s">
        <v>114</v>
      </c>
      <c r="G14" s="59">
        <f>'Stavební rozpočet'!G255</f>
        <v>26.84</v>
      </c>
      <c r="H14" s="59">
        <f>'Stavební rozpočet'!H255</f>
        <v>0</v>
      </c>
      <c r="I14" s="59">
        <f>ROUND(G14*H14,2)</f>
        <v>0</v>
      </c>
      <c r="J14" s="59">
        <f>'Stavební rozpočet'!J255</f>
        <v>4.5900000000000003E-3</v>
      </c>
      <c r="K14" s="59">
        <f>'Stavební rozpočet'!K255</f>
        <v>4.5900000000000003E-3</v>
      </c>
      <c r="L14" s="59">
        <f>G14*K14</f>
        <v>0.1231956</v>
      </c>
      <c r="M14" s="60" t="s">
        <v>115</v>
      </c>
      <c r="Z14" s="59">
        <f>ROUND(IF(AQ14="5",BJ14,0),2)</f>
        <v>0</v>
      </c>
      <c r="AB14" s="59">
        <f>ROUND(IF(AQ14="1",BH14,0),2)</f>
        <v>0</v>
      </c>
      <c r="AC14" s="59">
        <f>ROUND(IF(AQ14="1",BI14,0),2)</f>
        <v>0</v>
      </c>
      <c r="AD14" s="59">
        <f>ROUND(IF(AQ14="7",BH14,0),2)</f>
        <v>0</v>
      </c>
      <c r="AE14" s="59">
        <f>ROUND(IF(AQ14="7",BI14,0),2)</f>
        <v>0</v>
      </c>
      <c r="AF14" s="59">
        <f>ROUND(IF(AQ14="2",BH14,0),2)</f>
        <v>0</v>
      </c>
      <c r="AG14" s="59">
        <f>ROUND(IF(AQ14="2",BI14,0),2)</f>
        <v>0</v>
      </c>
      <c r="AH14" s="59">
        <f>ROUND(IF(AQ14="0",BJ14,0),2)</f>
        <v>0</v>
      </c>
      <c r="AI14" s="46" t="s">
        <v>471</v>
      </c>
      <c r="AJ14" s="59">
        <f>IF(AN14=0,I14,0)</f>
        <v>0</v>
      </c>
      <c r="AK14" s="59">
        <f>IF(AN14=12,I14,0)</f>
        <v>0</v>
      </c>
      <c r="AL14" s="59">
        <f>IF(AN14=21,I14,0)</f>
        <v>0</v>
      </c>
      <c r="AN14" s="59">
        <v>12</v>
      </c>
      <c r="AO14" s="59">
        <f>H14*0.151837697</f>
        <v>0</v>
      </c>
      <c r="AP14" s="59">
        <f>H14*(1-0.151837697)</f>
        <v>0</v>
      </c>
      <c r="AQ14" s="61" t="s">
        <v>111</v>
      </c>
      <c r="AV14" s="59">
        <f>ROUND(AW14+AX14,2)</f>
        <v>0</v>
      </c>
      <c r="AW14" s="59">
        <f>ROUND(G14*AO14,2)</f>
        <v>0</v>
      </c>
      <c r="AX14" s="59">
        <f>ROUND(G14*AP14,2)</f>
        <v>0</v>
      </c>
      <c r="AY14" s="61" t="s">
        <v>116</v>
      </c>
      <c r="AZ14" s="61" t="s">
        <v>473</v>
      </c>
      <c r="BA14" s="46" t="s">
        <v>474</v>
      </c>
      <c r="BC14" s="59">
        <f>AW14+AX14</f>
        <v>0</v>
      </c>
      <c r="BD14" s="59">
        <f>H14/(100-BE14)*100</f>
        <v>0</v>
      </c>
      <c r="BE14" s="59">
        <v>0</v>
      </c>
      <c r="BF14" s="59">
        <f>L14</f>
        <v>0.1231956</v>
      </c>
      <c r="BH14" s="59">
        <f>G14*AO14</f>
        <v>0</v>
      </c>
      <c r="BI14" s="59">
        <f>G14*AP14</f>
        <v>0</v>
      </c>
      <c r="BJ14" s="59">
        <f>G14*H14</f>
        <v>0</v>
      </c>
      <c r="BK14" s="59"/>
      <c r="BL14" s="59">
        <v>60</v>
      </c>
      <c r="BW14" s="59">
        <v>12</v>
      </c>
      <c r="BX14" s="16" t="s">
        <v>113</v>
      </c>
    </row>
    <row r="15" spans="1:76" ht="13.5" customHeight="1" x14ac:dyDescent="0.25">
      <c r="A15" s="62"/>
      <c r="D15" s="105" t="s">
        <v>119</v>
      </c>
      <c r="E15" s="105"/>
      <c r="F15" s="105"/>
      <c r="G15" s="105"/>
      <c r="H15" s="105"/>
      <c r="I15" s="105"/>
      <c r="J15" s="105"/>
      <c r="K15" s="105"/>
      <c r="L15" s="105"/>
      <c r="M15" s="105"/>
    </row>
    <row r="16" spans="1:76" x14ac:dyDescent="0.25">
      <c r="A16" s="62"/>
      <c r="D16" s="63" t="s">
        <v>120</v>
      </c>
      <c r="E16" s="63"/>
      <c r="G16" s="64">
        <v>26.84</v>
      </c>
      <c r="M16" s="65"/>
    </row>
    <row r="17" spans="1:76" ht="15" customHeight="1" x14ac:dyDescent="0.25">
      <c r="A17" s="58" t="s">
        <v>121</v>
      </c>
      <c r="B17" s="18" t="s">
        <v>471</v>
      </c>
      <c r="C17" s="18" t="s">
        <v>122</v>
      </c>
      <c r="D17" s="8" t="s">
        <v>123</v>
      </c>
      <c r="E17" s="8"/>
      <c r="F17" s="18" t="s">
        <v>114</v>
      </c>
      <c r="G17" s="59">
        <f>'Stavební rozpočet'!G257</f>
        <v>53.68</v>
      </c>
      <c r="H17" s="59">
        <f>'Stavební rozpočet'!H257</f>
        <v>0</v>
      </c>
      <c r="I17" s="59">
        <f>ROUND(G17*H17,2)</f>
        <v>0</v>
      </c>
      <c r="J17" s="59">
        <f>'Stavební rozpočet'!J257</f>
        <v>4.6999999999999999E-4</v>
      </c>
      <c r="K17" s="59">
        <f>'Stavební rozpočet'!K257</f>
        <v>4.6999999999999999E-4</v>
      </c>
      <c r="L17" s="59">
        <f>G17*K17</f>
        <v>2.5229599999999998E-2</v>
      </c>
      <c r="M17" s="60" t="s">
        <v>115</v>
      </c>
      <c r="Z17" s="59">
        <f>ROUND(IF(AQ17="5",BJ17,0),2)</f>
        <v>0</v>
      </c>
      <c r="AB17" s="59">
        <f>ROUND(IF(AQ17="1",BH17,0),2)</f>
        <v>0</v>
      </c>
      <c r="AC17" s="59">
        <f>ROUND(IF(AQ17="1",BI17,0),2)</f>
        <v>0</v>
      </c>
      <c r="AD17" s="59">
        <f>ROUND(IF(AQ17="7",BH17,0),2)</f>
        <v>0</v>
      </c>
      <c r="AE17" s="59">
        <f>ROUND(IF(AQ17="7",BI17,0),2)</f>
        <v>0</v>
      </c>
      <c r="AF17" s="59">
        <f>ROUND(IF(AQ17="2",BH17,0),2)</f>
        <v>0</v>
      </c>
      <c r="AG17" s="59">
        <f>ROUND(IF(AQ17="2",BI17,0),2)</f>
        <v>0</v>
      </c>
      <c r="AH17" s="59">
        <f>ROUND(IF(AQ17="0",BJ17,0),2)</f>
        <v>0</v>
      </c>
      <c r="AI17" s="46" t="s">
        <v>471</v>
      </c>
      <c r="AJ17" s="59">
        <f>IF(AN17=0,I17,0)</f>
        <v>0</v>
      </c>
      <c r="AK17" s="59">
        <f>IF(AN17=12,I17,0)</f>
        <v>0</v>
      </c>
      <c r="AL17" s="59">
        <f>IF(AN17=21,I17,0)</f>
        <v>0</v>
      </c>
      <c r="AN17" s="59">
        <v>12</v>
      </c>
      <c r="AO17" s="59">
        <f>H17*0.50964582</f>
        <v>0</v>
      </c>
      <c r="AP17" s="59">
        <f>H17*(1-0.50964582)</f>
        <v>0</v>
      </c>
      <c r="AQ17" s="61" t="s">
        <v>111</v>
      </c>
      <c r="AV17" s="59">
        <f>ROUND(AW17+AX17,2)</f>
        <v>0</v>
      </c>
      <c r="AW17" s="59">
        <f>ROUND(G17*AO17,2)</f>
        <v>0</v>
      </c>
      <c r="AX17" s="59">
        <f>ROUND(G17*AP17,2)</f>
        <v>0</v>
      </c>
      <c r="AY17" s="61" t="s">
        <v>116</v>
      </c>
      <c r="AZ17" s="61" t="s">
        <v>473</v>
      </c>
      <c r="BA17" s="46" t="s">
        <v>474</v>
      </c>
      <c r="BC17" s="59">
        <f>AW17+AX17</f>
        <v>0</v>
      </c>
      <c r="BD17" s="59">
        <f>H17/(100-BE17)*100</f>
        <v>0</v>
      </c>
      <c r="BE17" s="59">
        <v>0</v>
      </c>
      <c r="BF17" s="59">
        <f>L17</f>
        <v>2.5229599999999998E-2</v>
      </c>
      <c r="BH17" s="59">
        <f>G17*AO17</f>
        <v>0</v>
      </c>
      <c r="BI17" s="59">
        <f>G17*AP17</f>
        <v>0</v>
      </c>
      <c r="BJ17" s="59">
        <f>G17*H17</f>
        <v>0</v>
      </c>
      <c r="BK17" s="59"/>
      <c r="BL17" s="59">
        <v>60</v>
      </c>
      <c r="BW17" s="59">
        <v>12</v>
      </c>
      <c r="BX17" s="16" t="s">
        <v>123</v>
      </c>
    </row>
    <row r="18" spans="1:76" x14ac:dyDescent="0.25">
      <c r="A18" s="62"/>
      <c r="D18" s="63" t="s">
        <v>124</v>
      </c>
      <c r="E18" s="63"/>
      <c r="G18" s="64">
        <v>53.68</v>
      </c>
      <c r="M18" s="65"/>
    </row>
    <row r="19" spans="1:76" ht="15" customHeight="1" x14ac:dyDescent="0.25">
      <c r="A19" s="54"/>
      <c r="B19" s="55" t="s">
        <v>471</v>
      </c>
      <c r="C19" s="55" t="s">
        <v>125</v>
      </c>
      <c r="D19" s="104" t="s">
        <v>126</v>
      </c>
      <c r="E19" s="104"/>
      <c r="F19" s="56" t="s">
        <v>88</v>
      </c>
      <c r="G19" s="56" t="s">
        <v>88</v>
      </c>
      <c r="H19" s="56" t="s">
        <v>88</v>
      </c>
      <c r="I19" s="39">
        <f>SUM(I20:I25)</f>
        <v>0</v>
      </c>
      <c r="J19" s="46"/>
      <c r="K19" s="46"/>
      <c r="L19" s="39">
        <f>SUM(L20:L25)</f>
        <v>0.94391039999999993</v>
      </c>
      <c r="M19" s="57"/>
      <c r="AI19" s="46" t="s">
        <v>471</v>
      </c>
      <c r="AS19" s="39">
        <f>SUM(AJ20:AJ25)</f>
        <v>0</v>
      </c>
      <c r="AT19" s="39">
        <f>SUM(AK20:AK25)</f>
        <v>0</v>
      </c>
      <c r="AU19" s="39">
        <f>SUM(AL20:AL25)</f>
        <v>0</v>
      </c>
    </row>
    <row r="20" spans="1:76" ht="15" customHeight="1" x14ac:dyDescent="0.25">
      <c r="A20" s="58" t="s">
        <v>127</v>
      </c>
      <c r="B20" s="18" t="s">
        <v>471</v>
      </c>
      <c r="C20" s="18" t="s">
        <v>128</v>
      </c>
      <c r="D20" s="8" t="s">
        <v>129</v>
      </c>
      <c r="E20" s="8"/>
      <c r="F20" s="18" t="s">
        <v>114</v>
      </c>
      <c r="G20" s="59">
        <f>'Stavební rozpočet'!G260</f>
        <v>26.04</v>
      </c>
      <c r="H20" s="59">
        <f>'Stavební rozpočet'!H260</f>
        <v>0</v>
      </c>
      <c r="I20" s="59">
        <f>ROUND(G20*H20,2)</f>
        <v>0</v>
      </c>
      <c r="J20" s="59">
        <f>'Stavební rozpočet'!J260</f>
        <v>3.5659999999999997E-2</v>
      </c>
      <c r="K20" s="59">
        <f>'Stavební rozpočet'!K260</f>
        <v>3.5659999999999997E-2</v>
      </c>
      <c r="L20" s="59">
        <f>G20*K20</f>
        <v>0.92858639999999992</v>
      </c>
      <c r="M20" s="60" t="s">
        <v>115</v>
      </c>
      <c r="Z20" s="59">
        <f>ROUND(IF(AQ20="5",BJ20,0),2)</f>
        <v>0</v>
      </c>
      <c r="AB20" s="59">
        <f>ROUND(IF(AQ20="1",BH20,0),2)</f>
        <v>0</v>
      </c>
      <c r="AC20" s="59">
        <f>ROUND(IF(AQ20="1",BI20,0),2)</f>
        <v>0</v>
      </c>
      <c r="AD20" s="59">
        <f>ROUND(IF(AQ20="7",BH20,0),2)</f>
        <v>0</v>
      </c>
      <c r="AE20" s="59">
        <f>ROUND(IF(AQ20="7",BI20,0),2)</f>
        <v>0</v>
      </c>
      <c r="AF20" s="59">
        <f>ROUND(IF(AQ20="2",BH20,0),2)</f>
        <v>0</v>
      </c>
      <c r="AG20" s="59">
        <f>ROUND(IF(AQ20="2",BI20,0),2)</f>
        <v>0</v>
      </c>
      <c r="AH20" s="59">
        <f>ROUND(IF(AQ20="0",BJ20,0),2)</f>
        <v>0</v>
      </c>
      <c r="AI20" s="46" t="s">
        <v>471</v>
      </c>
      <c r="AJ20" s="59">
        <f>IF(AN20=0,I20,0)</f>
        <v>0</v>
      </c>
      <c r="AK20" s="59">
        <f>IF(AN20=12,I20,0)</f>
        <v>0</v>
      </c>
      <c r="AL20" s="59">
        <f>IF(AN20=21,I20,0)</f>
        <v>0</v>
      </c>
      <c r="AN20" s="59">
        <v>12</v>
      </c>
      <c r="AO20" s="59">
        <f>H20*0.283684158</f>
        <v>0</v>
      </c>
      <c r="AP20" s="59">
        <f>H20*(1-0.283684158)</f>
        <v>0</v>
      </c>
      <c r="AQ20" s="61" t="s">
        <v>111</v>
      </c>
      <c r="AV20" s="59">
        <f>ROUND(AW20+AX20,2)</f>
        <v>0</v>
      </c>
      <c r="AW20" s="59">
        <f>ROUND(G20*AO20,2)</f>
        <v>0</v>
      </c>
      <c r="AX20" s="59">
        <f>ROUND(G20*AP20,2)</f>
        <v>0</v>
      </c>
      <c r="AY20" s="61" t="s">
        <v>130</v>
      </c>
      <c r="AZ20" s="61" t="s">
        <v>473</v>
      </c>
      <c r="BA20" s="46" t="s">
        <v>474</v>
      </c>
      <c r="BC20" s="59">
        <f>AW20+AX20</f>
        <v>0</v>
      </c>
      <c r="BD20" s="59">
        <f>H20/(100-BE20)*100</f>
        <v>0</v>
      </c>
      <c r="BE20" s="59">
        <v>0</v>
      </c>
      <c r="BF20" s="59">
        <f>L20</f>
        <v>0.92858639999999992</v>
      </c>
      <c r="BH20" s="59">
        <f>G20*AO20</f>
        <v>0</v>
      </c>
      <c r="BI20" s="59">
        <f>G20*AP20</f>
        <v>0</v>
      </c>
      <c r="BJ20" s="59">
        <f>G20*H20</f>
        <v>0</v>
      </c>
      <c r="BK20" s="59"/>
      <c r="BL20" s="59">
        <v>61</v>
      </c>
      <c r="BW20" s="59">
        <v>12</v>
      </c>
      <c r="BX20" s="16" t="s">
        <v>129</v>
      </c>
    </row>
    <row r="21" spans="1:76" ht="13.5" customHeight="1" x14ac:dyDescent="0.25">
      <c r="A21" s="62"/>
      <c r="D21" s="105" t="s">
        <v>131</v>
      </c>
      <c r="E21" s="105"/>
      <c r="F21" s="105"/>
      <c r="G21" s="105"/>
      <c r="H21" s="105"/>
      <c r="I21" s="105"/>
      <c r="J21" s="105"/>
      <c r="K21" s="105"/>
      <c r="L21" s="105"/>
      <c r="M21" s="105"/>
    </row>
    <row r="22" spans="1:76" x14ac:dyDescent="0.25">
      <c r="A22" s="62"/>
      <c r="D22" s="63" t="s">
        <v>353</v>
      </c>
      <c r="E22" s="63"/>
      <c r="G22" s="64">
        <v>26.04</v>
      </c>
      <c r="M22" s="65"/>
    </row>
    <row r="23" spans="1:76" ht="15" customHeight="1" x14ac:dyDescent="0.25">
      <c r="A23" s="58" t="s">
        <v>133</v>
      </c>
      <c r="B23" s="18" t="s">
        <v>471</v>
      </c>
      <c r="C23" s="18" t="s">
        <v>134</v>
      </c>
      <c r="D23" s="8" t="s">
        <v>135</v>
      </c>
      <c r="E23" s="8"/>
      <c r="F23" s="18" t="s">
        <v>114</v>
      </c>
      <c r="G23" s="59">
        <f>'Stavební rozpočet'!G262</f>
        <v>57.6</v>
      </c>
      <c r="H23" s="59">
        <f>'Stavební rozpočet'!H262</f>
        <v>0</v>
      </c>
      <c r="I23" s="59">
        <f>ROUND(G23*H23,2)</f>
        <v>0</v>
      </c>
      <c r="J23" s="59">
        <f>'Stavební rozpočet'!J262</f>
        <v>4.0000000000000003E-5</v>
      </c>
      <c r="K23" s="59">
        <f>'Stavební rozpočet'!K262</f>
        <v>4.0000000000000003E-5</v>
      </c>
      <c r="L23" s="59">
        <f>G23*K23</f>
        <v>2.3040000000000001E-3</v>
      </c>
      <c r="M23" s="60" t="s">
        <v>115</v>
      </c>
      <c r="Z23" s="59">
        <f>ROUND(IF(AQ23="5",BJ23,0),2)</f>
        <v>0</v>
      </c>
      <c r="AB23" s="59">
        <f>ROUND(IF(AQ23="1",BH23,0),2)</f>
        <v>0</v>
      </c>
      <c r="AC23" s="59">
        <f>ROUND(IF(AQ23="1",BI23,0),2)</f>
        <v>0</v>
      </c>
      <c r="AD23" s="59">
        <f>ROUND(IF(AQ23="7",BH23,0),2)</f>
        <v>0</v>
      </c>
      <c r="AE23" s="59">
        <f>ROUND(IF(AQ23="7",BI23,0),2)</f>
        <v>0</v>
      </c>
      <c r="AF23" s="59">
        <f>ROUND(IF(AQ23="2",BH23,0),2)</f>
        <v>0</v>
      </c>
      <c r="AG23" s="59">
        <f>ROUND(IF(AQ23="2",BI23,0),2)</f>
        <v>0</v>
      </c>
      <c r="AH23" s="59">
        <f>ROUND(IF(AQ23="0",BJ23,0),2)</f>
        <v>0</v>
      </c>
      <c r="AI23" s="46" t="s">
        <v>471</v>
      </c>
      <c r="AJ23" s="59">
        <f>IF(AN23=0,I23,0)</f>
        <v>0</v>
      </c>
      <c r="AK23" s="59">
        <f>IF(AN23=12,I23,0)</f>
        <v>0</v>
      </c>
      <c r="AL23" s="59">
        <f>IF(AN23=21,I23,0)</f>
        <v>0</v>
      </c>
      <c r="AN23" s="59">
        <v>12</v>
      </c>
      <c r="AO23" s="59">
        <f>H23*0.267961277</f>
        <v>0</v>
      </c>
      <c r="AP23" s="59">
        <f>H23*(1-0.267961277)</f>
        <v>0</v>
      </c>
      <c r="AQ23" s="61" t="s">
        <v>111</v>
      </c>
      <c r="AV23" s="59">
        <f>ROUND(AW23+AX23,2)</f>
        <v>0</v>
      </c>
      <c r="AW23" s="59">
        <f>ROUND(G23*AO23,2)</f>
        <v>0</v>
      </c>
      <c r="AX23" s="59">
        <f>ROUND(G23*AP23,2)</f>
        <v>0</v>
      </c>
      <c r="AY23" s="61" t="s">
        <v>130</v>
      </c>
      <c r="AZ23" s="61" t="s">
        <v>473</v>
      </c>
      <c r="BA23" s="46" t="s">
        <v>474</v>
      </c>
      <c r="BC23" s="59">
        <f>AW23+AX23</f>
        <v>0</v>
      </c>
      <c r="BD23" s="59">
        <f>H23/(100-BE23)*100</f>
        <v>0</v>
      </c>
      <c r="BE23" s="59">
        <v>0</v>
      </c>
      <c r="BF23" s="59">
        <f>L23</f>
        <v>2.3040000000000001E-3</v>
      </c>
      <c r="BH23" s="59">
        <f>G23*AO23</f>
        <v>0</v>
      </c>
      <c r="BI23" s="59">
        <f>G23*AP23</f>
        <v>0</v>
      </c>
      <c r="BJ23" s="59">
        <f>G23*H23</f>
        <v>0</v>
      </c>
      <c r="BK23" s="59"/>
      <c r="BL23" s="59">
        <v>61</v>
      </c>
      <c r="BW23" s="59">
        <v>12</v>
      </c>
      <c r="BX23" s="16" t="s">
        <v>135</v>
      </c>
    </row>
    <row r="24" spans="1:76" x14ac:dyDescent="0.25">
      <c r="A24" s="62"/>
      <c r="D24" s="63" t="s">
        <v>354</v>
      </c>
      <c r="E24" s="63"/>
      <c r="G24" s="64">
        <v>57.6</v>
      </c>
      <c r="M24" s="65"/>
    </row>
    <row r="25" spans="1:76" ht="15" customHeight="1" x14ac:dyDescent="0.25">
      <c r="A25" s="58" t="s">
        <v>137</v>
      </c>
      <c r="B25" s="18" t="s">
        <v>471</v>
      </c>
      <c r="C25" s="18" t="s">
        <v>138</v>
      </c>
      <c r="D25" s="8" t="s">
        <v>139</v>
      </c>
      <c r="E25" s="8"/>
      <c r="F25" s="18" t="s">
        <v>140</v>
      </c>
      <c r="G25" s="59">
        <f>'Stavební rozpočet'!G264</f>
        <v>130.19999999999999</v>
      </c>
      <c r="H25" s="59">
        <f>'Stavební rozpočet'!H264</f>
        <v>0</v>
      </c>
      <c r="I25" s="59">
        <f>ROUND(G25*H25,2)</f>
        <v>0</v>
      </c>
      <c r="J25" s="59">
        <f>'Stavební rozpočet'!J264</f>
        <v>1E-4</v>
      </c>
      <c r="K25" s="59">
        <f>'Stavební rozpočet'!K264</f>
        <v>1E-4</v>
      </c>
      <c r="L25" s="59">
        <f>G25*K25</f>
        <v>1.302E-2</v>
      </c>
      <c r="M25" s="60" t="s">
        <v>115</v>
      </c>
      <c r="Z25" s="59">
        <f>ROUND(IF(AQ25="5",BJ25,0),2)</f>
        <v>0</v>
      </c>
      <c r="AB25" s="59">
        <f>ROUND(IF(AQ25="1",BH25,0),2)</f>
        <v>0</v>
      </c>
      <c r="AC25" s="59">
        <f>ROUND(IF(AQ25="1",BI25,0),2)</f>
        <v>0</v>
      </c>
      <c r="AD25" s="59">
        <f>ROUND(IF(AQ25="7",BH25,0),2)</f>
        <v>0</v>
      </c>
      <c r="AE25" s="59">
        <f>ROUND(IF(AQ25="7",BI25,0),2)</f>
        <v>0</v>
      </c>
      <c r="AF25" s="59">
        <f>ROUND(IF(AQ25="2",BH25,0),2)</f>
        <v>0</v>
      </c>
      <c r="AG25" s="59">
        <f>ROUND(IF(AQ25="2",BI25,0),2)</f>
        <v>0</v>
      </c>
      <c r="AH25" s="59">
        <f>ROUND(IF(AQ25="0",BJ25,0),2)</f>
        <v>0</v>
      </c>
      <c r="AI25" s="46" t="s">
        <v>471</v>
      </c>
      <c r="AJ25" s="59">
        <f>IF(AN25=0,I25,0)</f>
        <v>0</v>
      </c>
      <c r="AK25" s="59">
        <f>IF(AN25=12,I25,0)</f>
        <v>0</v>
      </c>
      <c r="AL25" s="59">
        <f>IF(AN25=21,I25,0)</f>
        <v>0</v>
      </c>
      <c r="AN25" s="59">
        <v>12</v>
      </c>
      <c r="AO25" s="59">
        <f>H25*0.367459416</f>
        <v>0</v>
      </c>
      <c r="AP25" s="59">
        <f>H25*(1-0.367459416)</f>
        <v>0</v>
      </c>
      <c r="AQ25" s="61" t="s">
        <v>111</v>
      </c>
      <c r="AV25" s="59">
        <f>ROUND(AW25+AX25,2)</f>
        <v>0</v>
      </c>
      <c r="AW25" s="59">
        <f>ROUND(G25*AO25,2)</f>
        <v>0</v>
      </c>
      <c r="AX25" s="59">
        <f>ROUND(G25*AP25,2)</f>
        <v>0</v>
      </c>
      <c r="AY25" s="61" t="s">
        <v>130</v>
      </c>
      <c r="AZ25" s="61" t="s">
        <v>473</v>
      </c>
      <c r="BA25" s="46" t="s">
        <v>474</v>
      </c>
      <c r="BC25" s="59">
        <f>AW25+AX25</f>
        <v>0</v>
      </c>
      <c r="BD25" s="59">
        <f>H25/(100-BE25)*100</f>
        <v>0</v>
      </c>
      <c r="BE25" s="59">
        <v>0</v>
      </c>
      <c r="BF25" s="59">
        <f>L25</f>
        <v>1.302E-2</v>
      </c>
      <c r="BH25" s="59">
        <f>G25*AO25</f>
        <v>0</v>
      </c>
      <c r="BI25" s="59">
        <f>G25*AP25</f>
        <v>0</v>
      </c>
      <c r="BJ25" s="59">
        <f>G25*H25</f>
        <v>0</v>
      </c>
      <c r="BK25" s="59"/>
      <c r="BL25" s="59">
        <v>61</v>
      </c>
      <c r="BW25" s="59">
        <v>12</v>
      </c>
      <c r="BX25" s="16" t="s">
        <v>139</v>
      </c>
    </row>
    <row r="26" spans="1:76" ht="13.5" customHeight="1" x14ac:dyDescent="0.25">
      <c r="A26" s="62"/>
      <c r="D26" s="105" t="s">
        <v>141</v>
      </c>
      <c r="E26" s="105"/>
      <c r="F26" s="105"/>
      <c r="G26" s="105"/>
      <c r="H26" s="105"/>
      <c r="I26" s="105"/>
      <c r="J26" s="105"/>
      <c r="K26" s="105"/>
      <c r="L26" s="105"/>
      <c r="M26" s="105"/>
    </row>
    <row r="27" spans="1:76" x14ac:dyDescent="0.25">
      <c r="A27" s="62"/>
      <c r="D27" s="63" t="s">
        <v>355</v>
      </c>
      <c r="E27" s="63"/>
      <c r="G27" s="64">
        <v>130.19999999999999</v>
      </c>
      <c r="M27" s="65"/>
    </row>
    <row r="28" spans="1:76" ht="15" customHeight="1" x14ac:dyDescent="0.25">
      <c r="A28" s="54"/>
      <c r="B28" s="55" t="s">
        <v>471</v>
      </c>
      <c r="C28" s="55" t="s">
        <v>143</v>
      </c>
      <c r="D28" s="104" t="s">
        <v>144</v>
      </c>
      <c r="E28" s="104"/>
      <c r="F28" s="56" t="s">
        <v>88</v>
      </c>
      <c r="G28" s="56" t="s">
        <v>88</v>
      </c>
      <c r="H28" s="56" t="s">
        <v>88</v>
      </c>
      <c r="I28" s="39">
        <f>SUM(I29:I34)</f>
        <v>0</v>
      </c>
      <c r="J28" s="46"/>
      <c r="K28" s="46"/>
      <c r="L28" s="39">
        <f>SUM(L29:L34)</f>
        <v>0.38913170000000002</v>
      </c>
      <c r="M28" s="57"/>
      <c r="AI28" s="46" t="s">
        <v>471</v>
      </c>
      <c r="AS28" s="39">
        <f>SUM(AJ29:AJ34)</f>
        <v>0</v>
      </c>
      <c r="AT28" s="39">
        <f>SUM(AK29:AK34)</f>
        <v>0</v>
      </c>
      <c r="AU28" s="39">
        <f>SUM(AL29:AL34)</f>
        <v>0</v>
      </c>
    </row>
    <row r="29" spans="1:76" ht="15" customHeight="1" x14ac:dyDescent="0.25">
      <c r="A29" s="58" t="s">
        <v>145</v>
      </c>
      <c r="B29" s="18" t="s">
        <v>471</v>
      </c>
      <c r="C29" s="18" t="s">
        <v>146</v>
      </c>
      <c r="D29" s="8" t="s">
        <v>147</v>
      </c>
      <c r="E29" s="8"/>
      <c r="F29" s="18" t="s">
        <v>114</v>
      </c>
      <c r="G29" s="59">
        <f>'Stavební rozpočet'!G267</f>
        <v>26.835000000000001</v>
      </c>
      <c r="H29" s="59">
        <f>'Stavební rozpočet'!H267</f>
        <v>0</v>
      </c>
      <c r="I29" s="59">
        <f>ROUND(G29*H29,2)</f>
        <v>0</v>
      </c>
      <c r="J29" s="59">
        <f>'Stavební rozpočet'!J267</f>
        <v>9.6600000000000002E-3</v>
      </c>
      <c r="K29" s="59">
        <f>'Stavební rozpočet'!K267</f>
        <v>9.6600000000000002E-3</v>
      </c>
      <c r="L29" s="59">
        <f>G29*K29</f>
        <v>0.25922610000000001</v>
      </c>
      <c r="M29" s="60" t="s">
        <v>115</v>
      </c>
      <c r="Z29" s="59">
        <f>ROUND(IF(AQ29="5",BJ29,0),2)</f>
        <v>0</v>
      </c>
      <c r="AB29" s="59">
        <f>ROUND(IF(AQ29="1",BH29,0),2)</f>
        <v>0</v>
      </c>
      <c r="AC29" s="59">
        <f>ROUND(IF(AQ29="1",BI29,0),2)</f>
        <v>0</v>
      </c>
      <c r="AD29" s="59">
        <f>ROUND(IF(AQ29="7",BH29,0),2)</f>
        <v>0</v>
      </c>
      <c r="AE29" s="59">
        <f>ROUND(IF(AQ29="7",BI29,0),2)</f>
        <v>0</v>
      </c>
      <c r="AF29" s="59">
        <f>ROUND(IF(AQ29="2",BH29,0),2)</f>
        <v>0</v>
      </c>
      <c r="AG29" s="59">
        <f>ROUND(IF(AQ29="2",BI29,0),2)</f>
        <v>0</v>
      </c>
      <c r="AH29" s="59">
        <f>ROUND(IF(AQ29="0",BJ29,0),2)</f>
        <v>0</v>
      </c>
      <c r="AI29" s="46" t="s">
        <v>471</v>
      </c>
      <c r="AJ29" s="59">
        <f>IF(AN29=0,I29,0)</f>
        <v>0</v>
      </c>
      <c r="AK29" s="59">
        <f>IF(AN29=12,I29,0)</f>
        <v>0</v>
      </c>
      <c r="AL29" s="59">
        <f>IF(AN29=21,I29,0)</f>
        <v>0</v>
      </c>
      <c r="AN29" s="59">
        <v>12</v>
      </c>
      <c r="AO29" s="59">
        <f>H29*0.218564986</f>
        <v>0</v>
      </c>
      <c r="AP29" s="59">
        <f>H29*(1-0.218564986)</f>
        <v>0</v>
      </c>
      <c r="AQ29" s="61" t="s">
        <v>111</v>
      </c>
      <c r="AV29" s="59">
        <f>ROUND(AW29+AX29,2)</f>
        <v>0</v>
      </c>
      <c r="AW29" s="59">
        <f>ROUND(G29*AO29,2)</f>
        <v>0</v>
      </c>
      <c r="AX29" s="59">
        <f>ROUND(G29*AP29,2)</f>
        <v>0</v>
      </c>
      <c r="AY29" s="61" t="s">
        <v>148</v>
      </c>
      <c r="AZ29" s="61" t="s">
        <v>473</v>
      </c>
      <c r="BA29" s="46" t="s">
        <v>474</v>
      </c>
      <c r="BC29" s="59">
        <f>AW29+AX29</f>
        <v>0</v>
      </c>
      <c r="BD29" s="59">
        <f>H29/(100-BE29)*100</f>
        <v>0</v>
      </c>
      <c r="BE29" s="59">
        <v>0</v>
      </c>
      <c r="BF29" s="59">
        <f>L29</f>
        <v>0.25922610000000001</v>
      </c>
      <c r="BH29" s="59">
        <f>G29*AO29</f>
        <v>0</v>
      </c>
      <c r="BI29" s="59">
        <f>G29*AP29</f>
        <v>0</v>
      </c>
      <c r="BJ29" s="59">
        <f>G29*H29</f>
        <v>0</v>
      </c>
      <c r="BK29" s="59"/>
      <c r="BL29" s="59">
        <v>62</v>
      </c>
      <c r="BW29" s="59">
        <v>12</v>
      </c>
      <c r="BX29" s="16" t="s">
        <v>147</v>
      </c>
    </row>
    <row r="30" spans="1:76" x14ac:dyDescent="0.25">
      <c r="A30" s="62"/>
      <c r="D30" s="63" t="s">
        <v>149</v>
      </c>
      <c r="E30" s="63"/>
      <c r="G30" s="64">
        <v>26.835000000000001</v>
      </c>
      <c r="M30" s="65"/>
    </row>
    <row r="31" spans="1:76" ht="15" customHeight="1" x14ac:dyDescent="0.25">
      <c r="A31" s="58" t="s">
        <v>150</v>
      </c>
      <c r="B31" s="18" t="s">
        <v>471</v>
      </c>
      <c r="C31" s="18" t="s">
        <v>151</v>
      </c>
      <c r="D31" s="8" t="s">
        <v>152</v>
      </c>
      <c r="E31" s="8"/>
      <c r="F31" s="18" t="s">
        <v>114</v>
      </c>
      <c r="G31" s="59">
        <f>'Stavební rozpočet'!G269</f>
        <v>26.84</v>
      </c>
      <c r="H31" s="59">
        <f>'Stavební rozpočet'!H269</f>
        <v>0</v>
      </c>
      <c r="I31" s="59">
        <f>ROUND(G31*H31,2)</f>
        <v>0</v>
      </c>
      <c r="J31" s="59">
        <f>'Stavební rozpočet'!J269</f>
        <v>4.3099999999999996E-3</v>
      </c>
      <c r="K31" s="59">
        <f>'Stavební rozpočet'!K269</f>
        <v>4.3099999999999996E-3</v>
      </c>
      <c r="L31" s="59">
        <f>G31*K31</f>
        <v>0.11568039999999999</v>
      </c>
      <c r="M31" s="60" t="s">
        <v>115</v>
      </c>
      <c r="Z31" s="59">
        <f>ROUND(IF(AQ31="5",BJ31,0),2)</f>
        <v>0</v>
      </c>
      <c r="AB31" s="59">
        <f>ROUND(IF(AQ31="1",BH31,0),2)</f>
        <v>0</v>
      </c>
      <c r="AC31" s="59">
        <f>ROUND(IF(AQ31="1",BI31,0),2)</f>
        <v>0</v>
      </c>
      <c r="AD31" s="59">
        <f>ROUND(IF(AQ31="7",BH31,0),2)</f>
        <v>0</v>
      </c>
      <c r="AE31" s="59">
        <f>ROUND(IF(AQ31="7",BI31,0),2)</f>
        <v>0</v>
      </c>
      <c r="AF31" s="59">
        <f>ROUND(IF(AQ31="2",BH31,0),2)</f>
        <v>0</v>
      </c>
      <c r="AG31" s="59">
        <f>ROUND(IF(AQ31="2",BI31,0),2)</f>
        <v>0</v>
      </c>
      <c r="AH31" s="59">
        <f>ROUND(IF(AQ31="0",BJ31,0),2)</f>
        <v>0</v>
      </c>
      <c r="AI31" s="46" t="s">
        <v>471</v>
      </c>
      <c r="AJ31" s="59">
        <f>IF(AN31=0,I31,0)</f>
        <v>0</v>
      </c>
      <c r="AK31" s="59">
        <f>IF(AN31=12,I31,0)</f>
        <v>0</v>
      </c>
      <c r="AL31" s="59">
        <f>IF(AN31=21,I31,0)</f>
        <v>0</v>
      </c>
      <c r="AN31" s="59">
        <v>12</v>
      </c>
      <c r="AO31" s="59">
        <f>H31*0.224526803</f>
        <v>0</v>
      </c>
      <c r="AP31" s="59">
        <f>H31*(1-0.224526803)</f>
        <v>0</v>
      </c>
      <c r="AQ31" s="61" t="s">
        <v>111</v>
      </c>
      <c r="AV31" s="59">
        <f>ROUND(AW31+AX31,2)</f>
        <v>0</v>
      </c>
      <c r="AW31" s="59">
        <f>ROUND(G31*AO31,2)</f>
        <v>0</v>
      </c>
      <c r="AX31" s="59">
        <f>ROUND(G31*AP31,2)</f>
        <v>0</v>
      </c>
      <c r="AY31" s="61" t="s">
        <v>148</v>
      </c>
      <c r="AZ31" s="61" t="s">
        <v>473</v>
      </c>
      <c r="BA31" s="46" t="s">
        <v>474</v>
      </c>
      <c r="BC31" s="59">
        <f>AW31+AX31</f>
        <v>0</v>
      </c>
      <c r="BD31" s="59">
        <f>H31/(100-BE31)*100</f>
        <v>0</v>
      </c>
      <c r="BE31" s="59">
        <v>0</v>
      </c>
      <c r="BF31" s="59">
        <f>L31</f>
        <v>0.11568039999999999</v>
      </c>
      <c r="BH31" s="59">
        <f>G31*AO31</f>
        <v>0</v>
      </c>
      <c r="BI31" s="59">
        <f>G31*AP31</f>
        <v>0</v>
      </c>
      <c r="BJ31" s="59">
        <f>G31*H31</f>
        <v>0</v>
      </c>
      <c r="BK31" s="59"/>
      <c r="BL31" s="59">
        <v>62</v>
      </c>
      <c r="BW31" s="59">
        <v>12</v>
      </c>
      <c r="BX31" s="16" t="s">
        <v>152</v>
      </c>
    </row>
    <row r="32" spans="1:76" ht="13.5" customHeight="1" x14ac:dyDescent="0.25">
      <c r="A32" s="62"/>
      <c r="D32" s="105" t="s">
        <v>153</v>
      </c>
      <c r="E32" s="105"/>
      <c r="F32" s="105"/>
      <c r="G32" s="105"/>
      <c r="H32" s="105"/>
      <c r="I32" s="105"/>
      <c r="J32" s="105"/>
      <c r="K32" s="105"/>
      <c r="L32" s="105"/>
      <c r="M32" s="105"/>
    </row>
    <row r="33" spans="1:76" x14ac:dyDescent="0.25">
      <c r="A33" s="62"/>
      <c r="D33" s="63" t="s">
        <v>120</v>
      </c>
      <c r="E33" s="63"/>
      <c r="G33" s="64">
        <v>26.84</v>
      </c>
      <c r="M33" s="65"/>
    </row>
    <row r="34" spans="1:76" ht="15" customHeight="1" x14ac:dyDescent="0.25">
      <c r="A34" s="58" t="s">
        <v>154</v>
      </c>
      <c r="B34" s="18" t="s">
        <v>471</v>
      </c>
      <c r="C34" s="18" t="s">
        <v>155</v>
      </c>
      <c r="D34" s="8" t="s">
        <v>156</v>
      </c>
      <c r="E34" s="8"/>
      <c r="F34" s="18" t="s">
        <v>114</v>
      </c>
      <c r="G34" s="59">
        <f>'Stavební rozpočet'!G271</f>
        <v>26.84</v>
      </c>
      <c r="H34" s="59">
        <f>'Stavební rozpočet'!H271</f>
        <v>0</v>
      </c>
      <c r="I34" s="59">
        <f>ROUND(G34*H34,2)</f>
        <v>0</v>
      </c>
      <c r="J34" s="59">
        <f>'Stavební rozpočet'!J271</f>
        <v>5.2999999999999998E-4</v>
      </c>
      <c r="K34" s="59">
        <f>'Stavební rozpočet'!K271</f>
        <v>5.2999999999999998E-4</v>
      </c>
      <c r="L34" s="59">
        <f>G34*K34</f>
        <v>1.4225199999999999E-2</v>
      </c>
      <c r="M34" s="60" t="s">
        <v>115</v>
      </c>
      <c r="Z34" s="59">
        <f>ROUND(IF(AQ34="5",BJ34,0),2)</f>
        <v>0</v>
      </c>
      <c r="AB34" s="59">
        <f>ROUND(IF(AQ34="1",BH34,0),2)</f>
        <v>0</v>
      </c>
      <c r="AC34" s="59">
        <f>ROUND(IF(AQ34="1",BI34,0),2)</f>
        <v>0</v>
      </c>
      <c r="AD34" s="59">
        <f>ROUND(IF(AQ34="7",BH34,0),2)</f>
        <v>0</v>
      </c>
      <c r="AE34" s="59">
        <f>ROUND(IF(AQ34="7",BI34,0),2)</f>
        <v>0</v>
      </c>
      <c r="AF34" s="59">
        <f>ROUND(IF(AQ34="2",BH34,0),2)</f>
        <v>0</v>
      </c>
      <c r="AG34" s="59">
        <f>ROUND(IF(AQ34="2",BI34,0),2)</f>
        <v>0</v>
      </c>
      <c r="AH34" s="59">
        <f>ROUND(IF(AQ34="0",BJ34,0),2)</f>
        <v>0</v>
      </c>
      <c r="AI34" s="46" t="s">
        <v>471</v>
      </c>
      <c r="AJ34" s="59">
        <f>IF(AN34=0,I34,0)</f>
        <v>0</v>
      </c>
      <c r="AK34" s="59">
        <f>IF(AN34=12,I34,0)</f>
        <v>0</v>
      </c>
      <c r="AL34" s="59">
        <f>IF(AN34=21,I34,0)</f>
        <v>0</v>
      </c>
      <c r="AN34" s="59">
        <v>12</v>
      </c>
      <c r="AO34" s="59">
        <f>H34*0.475328947</f>
        <v>0</v>
      </c>
      <c r="AP34" s="59">
        <f>H34*(1-0.475328947)</f>
        <v>0</v>
      </c>
      <c r="AQ34" s="61" t="s">
        <v>111</v>
      </c>
      <c r="AV34" s="59">
        <f>ROUND(AW34+AX34,2)</f>
        <v>0</v>
      </c>
      <c r="AW34" s="59">
        <f>ROUND(G34*AO34,2)</f>
        <v>0</v>
      </c>
      <c r="AX34" s="59">
        <f>ROUND(G34*AP34,2)</f>
        <v>0</v>
      </c>
      <c r="AY34" s="61" t="s">
        <v>148</v>
      </c>
      <c r="AZ34" s="61" t="s">
        <v>473</v>
      </c>
      <c r="BA34" s="46" t="s">
        <v>474</v>
      </c>
      <c r="BC34" s="59">
        <f>AW34+AX34</f>
        <v>0</v>
      </c>
      <c r="BD34" s="59">
        <f>H34/(100-BE34)*100</f>
        <v>0</v>
      </c>
      <c r="BE34" s="59">
        <v>0</v>
      </c>
      <c r="BF34" s="59">
        <f>L34</f>
        <v>1.4225199999999999E-2</v>
      </c>
      <c r="BH34" s="59">
        <f>G34*AO34</f>
        <v>0</v>
      </c>
      <c r="BI34" s="59">
        <f>G34*AP34</f>
        <v>0</v>
      </c>
      <c r="BJ34" s="59">
        <f>G34*H34</f>
        <v>0</v>
      </c>
      <c r="BK34" s="59"/>
      <c r="BL34" s="59">
        <v>62</v>
      </c>
      <c r="BW34" s="59">
        <v>12</v>
      </c>
      <c r="BX34" s="16" t="s">
        <v>156</v>
      </c>
    </row>
    <row r="35" spans="1:76" x14ac:dyDescent="0.25">
      <c r="A35" s="62"/>
      <c r="D35" s="63" t="s">
        <v>120</v>
      </c>
      <c r="E35" s="63"/>
      <c r="G35" s="64">
        <v>26.84</v>
      </c>
      <c r="M35" s="65"/>
    </row>
    <row r="36" spans="1:76" ht="15" customHeight="1" x14ac:dyDescent="0.25">
      <c r="A36" s="54"/>
      <c r="B36" s="55" t="s">
        <v>471</v>
      </c>
      <c r="C36" s="55" t="s">
        <v>356</v>
      </c>
      <c r="D36" s="104" t="s">
        <v>357</v>
      </c>
      <c r="E36" s="104"/>
      <c r="F36" s="56" t="s">
        <v>88</v>
      </c>
      <c r="G36" s="56" t="s">
        <v>88</v>
      </c>
      <c r="H36" s="56" t="s">
        <v>88</v>
      </c>
      <c r="I36" s="39">
        <f>SUM(I37:I43)</f>
        <v>0</v>
      </c>
      <c r="J36" s="46"/>
      <c r="K36" s="46"/>
      <c r="L36" s="39">
        <f>SUM(L37:L43)</f>
        <v>2.5745817999999998</v>
      </c>
      <c r="M36" s="57"/>
      <c r="AI36" s="46" t="s">
        <v>471</v>
      </c>
      <c r="AS36" s="39">
        <f>SUM(AJ37:AJ43)</f>
        <v>0</v>
      </c>
      <c r="AT36" s="39">
        <f>SUM(AK37:AK43)</f>
        <v>0</v>
      </c>
      <c r="AU36" s="39">
        <f>SUM(AL37:AL43)</f>
        <v>0</v>
      </c>
    </row>
    <row r="37" spans="1:76" ht="15" customHeight="1" x14ac:dyDescent="0.25">
      <c r="A37" s="58" t="s">
        <v>159</v>
      </c>
      <c r="B37" s="18" t="s">
        <v>471</v>
      </c>
      <c r="C37" s="18" t="s">
        <v>358</v>
      </c>
      <c r="D37" s="8" t="s">
        <v>359</v>
      </c>
      <c r="E37" s="8"/>
      <c r="F37" s="18" t="s">
        <v>360</v>
      </c>
      <c r="G37" s="59">
        <f>'Stavební rozpočet'!G274</f>
        <v>1.115</v>
      </c>
      <c r="H37" s="59">
        <f>'Stavební rozpočet'!H274</f>
        <v>0</v>
      </c>
      <c r="I37" s="59">
        <f>ROUND(G37*H37,2)</f>
        <v>0</v>
      </c>
      <c r="J37" s="59">
        <f>'Stavební rozpočet'!J274</f>
        <v>1.919</v>
      </c>
      <c r="K37" s="59">
        <f>'Stavební rozpočet'!K274</f>
        <v>1.919</v>
      </c>
      <c r="L37" s="59">
        <f>G37*K37</f>
        <v>2.1396850000000001</v>
      </c>
      <c r="M37" s="60" t="s">
        <v>115</v>
      </c>
      <c r="Z37" s="59">
        <f>ROUND(IF(AQ37="5",BJ37,0),2)</f>
        <v>0</v>
      </c>
      <c r="AB37" s="59">
        <f>ROUND(IF(AQ37="1",BH37,0),2)</f>
        <v>0</v>
      </c>
      <c r="AC37" s="59">
        <f>ROUND(IF(AQ37="1",BI37,0),2)</f>
        <v>0</v>
      </c>
      <c r="AD37" s="59">
        <f>ROUND(IF(AQ37="7",BH37,0),2)</f>
        <v>0</v>
      </c>
      <c r="AE37" s="59">
        <f>ROUND(IF(AQ37="7",BI37,0),2)</f>
        <v>0</v>
      </c>
      <c r="AF37" s="59">
        <f>ROUND(IF(AQ37="2",BH37,0),2)</f>
        <v>0</v>
      </c>
      <c r="AG37" s="59">
        <f>ROUND(IF(AQ37="2",BI37,0),2)</f>
        <v>0</v>
      </c>
      <c r="AH37" s="59">
        <f>ROUND(IF(AQ37="0",BJ37,0),2)</f>
        <v>0</v>
      </c>
      <c r="AI37" s="46" t="s">
        <v>471</v>
      </c>
      <c r="AJ37" s="59">
        <f>IF(AN37=0,I37,0)</f>
        <v>0</v>
      </c>
      <c r="AK37" s="59">
        <f>IF(AN37=12,I37,0)</f>
        <v>0</v>
      </c>
      <c r="AL37" s="59">
        <f>IF(AN37=21,I37,0)</f>
        <v>0</v>
      </c>
      <c r="AN37" s="59">
        <v>12</v>
      </c>
      <c r="AO37" s="59">
        <f>H37*0.822201844</f>
        <v>0</v>
      </c>
      <c r="AP37" s="59">
        <f>H37*(1-0.822201844)</f>
        <v>0</v>
      </c>
      <c r="AQ37" s="61" t="s">
        <v>111</v>
      </c>
      <c r="AV37" s="59">
        <f>ROUND(AW37+AX37,2)</f>
        <v>0</v>
      </c>
      <c r="AW37" s="59">
        <f>ROUND(G37*AO37,2)</f>
        <v>0</v>
      </c>
      <c r="AX37" s="59">
        <f>ROUND(G37*AP37,2)</f>
        <v>0</v>
      </c>
      <c r="AY37" s="61" t="s">
        <v>361</v>
      </c>
      <c r="AZ37" s="61" t="s">
        <v>473</v>
      </c>
      <c r="BA37" s="46" t="s">
        <v>474</v>
      </c>
      <c r="BC37" s="59">
        <f>AW37+AX37</f>
        <v>0</v>
      </c>
      <c r="BD37" s="59">
        <f>H37/(100-BE37)*100</f>
        <v>0</v>
      </c>
      <c r="BE37" s="59">
        <v>0</v>
      </c>
      <c r="BF37" s="59">
        <f>L37</f>
        <v>2.1396850000000001</v>
      </c>
      <c r="BH37" s="59">
        <f>G37*AO37</f>
        <v>0</v>
      </c>
      <c r="BI37" s="59">
        <f>G37*AP37</f>
        <v>0</v>
      </c>
      <c r="BJ37" s="59">
        <f>G37*H37</f>
        <v>0</v>
      </c>
      <c r="BK37" s="59"/>
      <c r="BL37" s="59">
        <v>63</v>
      </c>
      <c r="BW37" s="59">
        <v>12</v>
      </c>
      <c r="BX37" s="16" t="s">
        <v>359</v>
      </c>
    </row>
    <row r="38" spans="1:76" x14ac:dyDescent="0.25">
      <c r="A38" s="62"/>
      <c r="D38" s="63" t="s">
        <v>362</v>
      </c>
      <c r="E38" s="63"/>
      <c r="G38" s="64">
        <v>1.115</v>
      </c>
      <c r="M38" s="65"/>
    </row>
    <row r="39" spans="1:76" ht="15" customHeight="1" x14ac:dyDescent="0.25">
      <c r="A39" s="58" t="s">
        <v>167</v>
      </c>
      <c r="B39" s="18" t="s">
        <v>471</v>
      </c>
      <c r="C39" s="18" t="s">
        <v>363</v>
      </c>
      <c r="D39" s="8" t="s">
        <v>364</v>
      </c>
      <c r="E39" s="8"/>
      <c r="F39" s="18" t="s">
        <v>114</v>
      </c>
      <c r="G39" s="59">
        <f>'Stavební rozpočet'!G276</f>
        <v>22.3</v>
      </c>
      <c r="H39" s="59">
        <f>'Stavební rozpočet'!H276</f>
        <v>0</v>
      </c>
      <c r="I39" s="59">
        <f>ROUND(G39*H39,2)</f>
        <v>0</v>
      </c>
      <c r="J39" s="59">
        <f>'Stavební rozpočet'!J276</f>
        <v>1.5959999999999998E-2</v>
      </c>
      <c r="K39" s="59">
        <f>'Stavební rozpočet'!K276</f>
        <v>1.5959999999999998E-2</v>
      </c>
      <c r="L39" s="59">
        <f>G39*K39</f>
        <v>0.355908</v>
      </c>
      <c r="M39" s="60" t="s">
        <v>115</v>
      </c>
      <c r="Z39" s="59">
        <f>ROUND(IF(AQ39="5",BJ39,0),2)</f>
        <v>0</v>
      </c>
      <c r="AB39" s="59">
        <f>ROUND(IF(AQ39="1",BH39,0),2)</f>
        <v>0</v>
      </c>
      <c r="AC39" s="59">
        <f>ROUND(IF(AQ39="1",BI39,0),2)</f>
        <v>0</v>
      </c>
      <c r="AD39" s="59">
        <f>ROUND(IF(AQ39="7",BH39,0),2)</f>
        <v>0</v>
      </c>
      <c r="AE39" s="59">
        <f>ROUND(IF(AQ39="7",BI39,0),2)</f>
        <v>0</v>
      </c>
      <c r="AF39" s="59">
        <f>ROUND(IF(AQ39="2",BH39,0),2)</f>
        <v>0</v>
      </c>
      <c r="AG39" s="59">
        <f>ROUND(IF(AQ39="2",BI39,0),2)</f>
        <v>0</v>
      </c>
      <c r="AH39" s="59">
        <f>ROUND(IF(AQ39="0",BJ39,0),2)</f>
        <v>0</v>
      </c>
      <c r="AI39" s="46" t="s">
        <v>471</v>
      </c>
      <c r="AJ39" s="59">
        <f>IF(AN39=0,I39,0)</f>
        <v>0</v>
      </c>
      <c r="AK39" s="59">
        <f>IF(AN39=12,I39,0)</f>
        <v>0</v>
      </c>
      <c r="AL39" s="59">
        <f>IF(AN39=21,I39,0)</f>
        <v>0</v>
      </c>
      <c r="AN39" s="59">
        <v>12</v>
      </c>
      <c r="AO39" s="59">
        <f>H39*0.665801611</f>
        <v>0</v>
      </c>
      <c r="AP39" s="59">
        <f>H39*(1-0.665801611)</f>
        <v>0</v>
      </c>
      <c r="AQ39" s="61" t="s">
        <v>111</v>
      </c>
      <c r="AV39" s="59">
        <f>ROUND(AW39+AX39,2)</f>
        <v>0</v>
      </c>
      <c r="AW39" s="59">
        <f>ROUND(G39*AO39,2)</f>
        <v>0</v>
      </c>
      <c r="AX39" s="59">
        <f>ROUND(G39*AP39,2)</f>
        <v>0</v>
      </c>
      <c r="AY39" s="61" t="s">
        <v>361</v>
      </c>
      <c r="AZ39" s="61" t="s">
        <v>473</v>
      </c>
      <c r="BA39" s="46" t="s">
        <v>474</v>
      </c>
      <c r="BC39" s="59">
        <f>AW39+AX39</f>
        <v>0</v>
      </c>
      <c r="BD39" s="59">
        <f>H39/(100-BE39)*100</f>
        <v>0</v>
      </c>
      <c r="BE39" s="59">
        <v>0</v>
      </c>
      <c r="BF39" s="59">
        <f>L39</f>
        <v>0.355908</v>
      </c>
      <c r="BH39" s="59">
        <f>G39*AO39</f>
        <v>0</v>
      </c>
      <c r="BI39" s="59">
        <f>G39*AP39</f>
        <v>0</v>
      </c>
      <c r="BJ39" s="59">
        <f>G39*H39</f>
        <v>0</v>
      </c>
      <c r="BK39" s="59"/>
      <c r="BL39" s="59">
        <v>63</v>
      </c>
      <c r="BW39" s="59">
        <v>12</v>
      </c>
      <c r="BX39" s="16" t="s">
        <v>364</v>
      </c>
    </row>
    <row r="40" spans="1:76" x14ac:dyDescent="0.25">
      <c r="A40" s="62"/>
      <c r="D40" s="63" t="s">
        <v>365</v>
      </c>
      <c r="E40" s="63"/>
      <c r="G40" s="64">
        <v>22.3</v>
      </c>
      <c r="M40" s="65"/>
    </row>
    <row r="41" spans="1:76" ht="15" customHeight="1" x14ac:dyDescent="0.25">
      <c r="A41" s="58" t="s">
        <v>172</v>
      </c>
      <c r="B41" s="18" t="s">
        <v>471</v>
      </c>
      <c r="C41" s="18" t="s">
        <v>366</v>
      </c>
      <c r="D41" s="8" t="s">
        <v>367</v>
      </c>
      <c r="E41" s="8"/>
      <c r="F41" s="18" t="s">
        <v>114</v>
      </c>
      <c r="G41" s="59">
        <f>'Stavební rozpočet'!G278</f>
        <v>5.61</v>
      </c>
      <c r="H41" s="59">
        <f>'Stavební rozpočet'!H278</f>
        <v>0</v>
      </c>
      <c r="I41" s="59">
        <f>ROUND(G41*H41,2)</f>
        <v>0</v>
      </c>
      <c r="J41" s="59">
        <f>'Stavební rozpočet'!J278</f>
        <v>1.4080000000000001E-2</v>
      </c>
      <c r="K41" s="59">
        <f>'Stavební rozpočet'!K278</f>
        <v>1.4080000000000001E-2</v>
      </c>
      <c r="L41" s="59">
        <f>G41*K41</f>
        <v>7.8988800000000012E-2</v>
      </c>
      <c r="M41" s="60" t="s">
        <v>115</v>
      </c>
      <c r="Z41" s="59">
        <f>ROUND(IF(AQ41="5",BJ41,0),2)</f>
        <v>0</v>
      </c>
      <c r="AB41" s="59">
        <f>ROUND(IF(AQ41="1",BH41,0),2)</f>
        <v>0</v>
      </c>
      <c r="AC41" s="59">
        <f>ROUND(IF(AQ41="1",BI41,0),2)</f>
        <v>0</v>
      </c>
      <c r="AD41" s="59">
        <f>ROUND(IF(AQ41="7",BH41,0),2)</f>
        <v>0</v>
      </c>
      <c r="AE41" s="59">
        <f>ROUND(IF(AQ41="7",BI41,0),2)</f>
        <v>0</v>
      </c>
      <c r="AF41" s="59">
        <f>ROUND(IF(AQ41="2",BH41,0),2)</f>
        <v>0</v>
      </c>
      <c r="AG41" s="59">
        <f>ROUND(IF(AQ41="2",BI41,0),2)</f>
        <v>0</v>
      </c>
      <c r="AH41" s="59">
        <f>ROUND(IF(AQ41="0",BJ41,0),2)</f>
        <v>0</v>
      </c>
      <c r="AI41" s="46" t="s">
        <v>471</v>
      </c>
      <c r="AJ41" s="59">
        <f>IF(AN41=0,I41,0)</f>
        <v>0</v>
      </c>
      <c r="AK41" s="59">
        <f>IF(AN41=12,I41,0)</f>
        <v>0</v>
      </c>
      <c r="AL41" s="59">
        <f>IF(AN41=21,I41,0)</f>
        <v>0</v>
      </c>
      <c r="AN41" s="59">
        <v>12</v>
      </c>
      <c r="AO41" s="59">
        <f>H41*0.434931647</f>
        <v>0</v>
      </c>
      <c r="AP41" s="59">
        <f>H41*(1-0.434931647)</f>
        <v>0</v>
      </c>
      <c r="AQ41" s="61" t="s">
        <v>111</v>
      </c>
      <c r="AV41" s="59">
        <f>ROUND(AW41+AX41,2)</f>
        <v>0</v>
      </c>
      <c r="AW41" s="59">
        <f>ROUND(G41*AO41,2)</f>
        <v>0</v>
      </c>
      <c r="AX41" s="59">
        <f>ROUND(G41*AP41,2)</f>
        <v>0</v>
      </c>
      <c r="AY41" s="61" t="s">
        <v>361</v>
      </c>
      <c r="AZ41" s="61" t="s">
        <v>473</v>
      </c>
      <c r="BA41" s="46" t="s">
        <v>474</v>
      </c>
      <c r="BC41" s="59">
        <f>AW41+AX41</f>
        <v>0</v>
      </c>
      <c r="BD41" s="59">
        <f>H41/(100-BE41)*100</f>
        <v>0</v>
      </c>
      <c r="BE41" s="59">
        <v>0</v>
      </c>
      <c r="BF41" s="59">
        <f>L41</f>
        <v>7.8988800000000012E-2</v>
      </c>
      <c r="BH41" s="59">
        <f>G41*AO41</f>
        <v>0</v>
      </c>
      <c r="BI41" s="59">
        <f>G41*AP41</f>
        <v>0</v>
      </c>
      <c r="BJ41" s="59">
        <f>G41*H41</f>
        <v>0</v>
      </c>
      <c r="BK41" s="59"/>
      <c r="BL41" s="59">
        <v>63</v>
      </c>
      <c r="BW41" s="59">
        <v>12</v>
      </c>
      <c r="BX41" s="16" t="s">
        <v>367</v>
      </c>
    </row>
    <row r="42" spans="1:76" x14ac:dyDescent="0.25">
      <c r="A42" s="62"/>
      <c r="D42" s="63" t="s">
        <v>368</v>
      </c>
      <c r="E42" s="63"/>
      <c r="G42" s="64">
        <v>5.61</v>
      </c>
      <c r="M42" s="65"/>
    </row>
    <row r="43" spans="1:76" ht="15" customHeight="1" x14ac:dyDescent="0.25">
      <c r="A43" s="58" t="s">
        <v>176</v>
      </c>
      <c r="B43" s="18" t="s">
        <v>471</v>
      </c>
      <c r="C43" s="18" t="s">
        <v>369</v>
      </c>
      <c r="D43" s="8" t="s">
        <v>370</v>
      </c>
      <c r="E43" s="8"/>
      <c r="F43" s="18" t="s">
        <v>114</v>
      </c>
      <c r="G43" s="59">
        <f>'Stavební rozpočet'!G280</f>
        <v>5.61</v>
      </c>
      <c r="H43" s="59">
        <f>'Stavební rozpočet'!H280</f>
        <v>0</v>
      </c>
      <c r="I43" s="59">
        <f>ROUND(G43*H43,2)</f>
        <v>0</v>
      </c>
      <c r="J43" s="59">
        <f>'Stavební rozpočet'!J280</f>
        <v>0</v>
      </c>
      <c r="K43" s="59">
        <f>'Stavební rozpočet'!K280</f>
        <v>0</v>
      </c>
      <c r="L43" s="59">
        <f>G43*K43</f>
        <v>0</v>
      </c>
      <c r="M43" s="60" t="s">
        <v>115</v>
      </c>
      <c r="Z43" s="59">
        <f>ROUND(IF(AQ43="5",BJ43,0),2)</f>
        <v>0</v>
      </c>
      <c r="AB43" s="59">
        <f>ROUND(IF(AQ43="1",BH43,0),2)</f>
        <v>0</v>
      </c>
      <c r="AC43" s="59">
        <f>ROUND(IF(AQ43="1",BI43,0),2)</f>
        <v>0</v>
      </c>
      <c r="AD43" s="59">
        <f>ROUND(IF(AQ43="7",BH43,0),2)</f>
        <v>0</v>
      </c>
      <c r="AE43" s="59">
        <f>ROUND(IF(AQ43="7",BI43,0),2)</f>
        <v>0</v>
      </c>
      <c r="AF43" s="59">
        <f>ROUND(IF(AQ43="2",BH43,0),2)</f>
        <v>0</v>
      </c>
      <c r="AG43" s="59">
        <f>ROUND(IF(AQ43="2",BI43,0),2)</f>
        <v>0</v>
      </c>
      <c r="AH43" s="59">
        <f>ROUND(IF(AQ43="0",BJ43,0),2)</f>
        <v>0</v>
      </c>
      <c r="AI43" s="46" t="s">
        <v>471</v>
      </c>
      <c r="AJ43" s="59">
        <f>IF(AN43=0,I43,0)</f>
        <v>0</v>
      </c>
      <c r="AK43" s="59">
        <f>IF(AN43=12,I43,0)</f>
        <v>0</v>
      </c>
      <c r="AL43" s="59">
        <f>IF(AN43=21,I43,0)</f>
        <v>0</v>
      </c>
      <c r="AN43" s="59">
        <v>12</v>
      </c>
      <c r="AO43" s="59">
        <f>H43*0</f>
        <v>0</v>
      </c>
      <c r="AP43" s="59">
        <f>H43*(1-0)</f>
        <v>0</v>
      </c>
      <c r="AQ43" s="61" t="s">
        <v>111</v>
      </c>
      <c r="AV43" s="59">
        <f>ROUND(AW43+AX43,2)</f>
        <v>0</v>
      </c>
      <c r="AW43" s="59">
        <f>ROUND(G43*AO43,2)</f>
        <v>0</v>
      </c>
      <c r="AX43" s="59">
        <f>ROUND(G43*AP43,2)</f>
        <v>0</v>
      </c>
      <c r="AY43" s="61" t="s">
        <v>361</v>
      </c>
      <c r="AZ43" s="61" t="s">
        <v>473</v>
      </c>
      <c r="BA43" s="46" t="s">
        <v>474</v>
      </c>
      <c r="BC43" s="59">
        <f>AW43+AX43</f>
        <v>0</v>
      </c>
      <c r="BD43" s="59">
        <f>H43/(100-BE43)*100</f>
        <v>0</v>
      </c>
      <c r="BE43" s="59">
        <v>0</v>
      </c>
      <c r="BF43" s="59">
        <f>L43</f>
        <v>0</v>
      </c>
      <c r="BH43" s="59">
        <f>G43*AO43</f>
        <v>0</v>
      </c>
      <c r="BI43" s="59">
        <f>G43*AP43</f>
        <v>0</v>
      </c>
      <c r="BJ43" s="59">
        <f>G43*H43</f>
        <v>0</v>
      </c>
      <c r="BK43" s="59"/>
      <c r="BL43" s="59">
        <v>63</v>
      </c>
      <c r="BW43" s="59">
        <v>12</v>
      </c>
      <c r="BX43" s="16" t="s">
        <v>370</v>
      </c>
    </row>
    <row r="44" spans="1:76" x14ac:dyDescent="0.25">
      <c r="A44" s="62"/>
      <c r="D44" s="63" t="s">
        <v>371</v>
      </c>
      <c r="E44" s="63"/>
      <c r="G44" s="64">
        <v>5.61</v>
      </c>
      <c r="M44" s="65"/>
    </row>
    <row r="45" spans="1:76" ht="15" customHeight="1" x14ac:dyDescent="0.25">
      <c r="A45" s="54"/>
      <c r="B45" s="55" t="s">
        <v>471</v>
      </c>
      <c r="C45" s="55" t="s">
        <v>157</v>
      </c>
      <c r="D45" s="104" t="s">
        <v>158</v>
      </c>
      <c r="E45" s="104"/>
      <c r="F45" s="56" t="s">
        <v>88</v>
      </c>
      <c r="G45" s="56" t="s">
        <v>88</v>
      </c>
      <c r="H45" s="56" t="s">
        <v>88</v>
      </c>
      <c r="I45" s="39">
        <f>SUM(I46)</f>
        <v>0</v>
      </c>
      <c r="J45" s="46"/>
      <c r="K45" s="46"/>
      <c r="L45" s="39">
        <f>SUM(L46)</f>
        <v>0.15338399999999999</v>
      </c>
      <c r="M45" s="57"/>
      <c r="AI45" s="46" t="s">
        <v>471</v>
      </c>
      <c r="AS45" s="39">
        <f>SUM(AJ46)</f>
        <v>0</v>
      </c>
      <c r="AT45" s="39">
        <f>SUM(AK46)</f>
        <v>0</v>
      </c>
      <c r="AU45" s="39">
        <f>SUM(AL46)</f>
        <v>0</v>
      </c>
    </row>
    <row r="46" spans="1:76" ht="15" customHeight="1" x14ac:dyDescent="0.25">
      <c r="A46" s="58" t="s">
        <v>183</v>
      </c>
      <c r="B46" s="18" t="s">
        <v>471</v>
      </c>
      <c r="C46" s="18" t="s">
        <v>160</v>
      </c>
      <c r="D46" s="8" t="s">
        <v>161</v>
      </c>
      <c r="E46" s="8"/>
      <c r="F46" s="18" t="s">
        <v>140</v>
      </c>
      <c r="G46" s="59">
        <f>'Stavební rozpočet'!G283</f>
        <v>24.9</v>
      </c>
      <c r="H46" s="59">
        <f>'Stavební rozpočet'!H283</f>
        <v>0</v>
      </c>
      <c r="I46" s="59">
        <f>ROUND(G46*H46,2)</f>
        <v>0</v>
      </c>
      <c r="J46" s="59">
        <f>'Stavební rozpočet'!J283</f>
        <v>6.1599999999999997E-3</v>
      </c>
      <c r="K46" s="59">
        <f>'Stavební rozpočet'!K283</f>
        <v>6.1599999999999997E-3</v>
      </c>
      <c r="L46" s="59">
        <f>G46*K46</f>
        <v>0.15338399999999999</v>
      </c>
      <c r="M46" s="60" t="s">
        <v>115</v>
      </c>
      <c r="Z46" s="59">
        <f>ROUND(IF(AQ46="5",BJ46,0),2)</f>
        <v>0</v>
      </c>
      <c r="AB46" s="59">
        <f>ROUND(IF(AQ46="1",BH46,0),2)</f>
        <v>0</v>
      </c>
      <c r="AC46" s="59">
        <f>ROUND(IF(AQ46="1",BI46,0),2)</f>
        <v>0</v>
      </c>
      <c r="AD46" s="59">
        <f>ROUND(IF(AQ46="7",BH46,0),2)</f>
        <v>0</v>
      </c>
      <c r="AE46" s="59">
        <f>ROUND(IF(AQ46="7",BI46,0),2)</f>
        <v>0</v>
      </c>
      <c r="AF46" s="59">
        <f>ROUND(IF(AQ46="2",BH46,0),2)</f>
        <v>0</v>
      </c>
      <c r="AG46" s="59">
        <f>ROUND(IF(AQ46="2",BI46,0),2)</f>
        <v>0</v>
      </c>
      <c r="AH46" s="59">
        <f>ROUND(IF(AQ46="0",BJ46,0),2)</f>
        <v>0</v>
      </c>
      <c r="AI46" s="46" t="s">
        <v>471</v>
      </c>
      <c r="AJ46" s="59">
        <f>IF(AN46=0,I46,0)</f>
        <v>0</v>
      </c>
      <c r="AK46" s="59">
        <f>IF(AN46=12,I46,0)</f>
        <v>0</v>
      </c>
      <c r="AL46" s="59">
        <f>IF(AN46=21,I46,0)</f>
        <v>0</v>
      </c>
      <c r="AN46" s="59">
        <v>12</v>
      </c>
      <c r="AO46" s="59">
        <f>H46*0.526177858</f>
        <v>0</v>
      </c>
      <c r="AP46" s="59">
        <f>H46*(1-0.526177858)</f>
        <v>0</v>
      </c>
      <c r="AQ46" s="61" t="s">
        <v>111</v>
      </c>
      <c r="AV46" s="59">
        <f>ROUND(AW46+AX46,2)</f>
        <v>0</v>
      </c>
      <c r="AW46" s="59">
        <f>ROUND(G46*AO46,2)</f>
        <v>0</v>
      </c>
      <c r="AX46" s="59">
        <f>ROUND(G46*AP46,2)</f>
        <v>0</v>
      </c>
      <c r="AY46" s="61" t="s">
        <v>162</v>
      </c>
      <c r="AZ46" s="61" t="s">
        <v>473</v>
      </c>
      <c r="BA46" s="46" t="s">
        <v>474</v>
      </c>
      <c r="BC46" s="59">
        <f>AW46+AX46</f>
        <v>0</v>
      </c>
      <c r="BD46" s="59">
        <f>H46/(100-BE46)*100</f>
        <v>0</v>
      </c>
      <c r="BE46" s="59">
        <v>0</v>
      </c>
      <c r="BF46" s="59">
        <f>L46</f>
        <v>0.15338399999999999</v>
      </c>
      <c r="BH46" s="59">
        <f>G46*AO46</f>
        <v>0</v>
      </c>
      <c r="BI46" s="59">
        <f>G46*AP46</f>
        <v>0</v>
      </c>
      <c r="BJ46" s="59">
        <f>G46*H46</f>
        <v>0</v>
      </c>
      <c r="BK46" s="59"/>
      <c r="BL46" s="59">
        <v>64</v>
      </c>
      <c r="BW46" s="59">
        <v>12</v>
      </c>
      <c r="BX46" s="16" t="s">
        <v>161</v>
      </c>
    </row>
    <row r="47" spans="1:76" ht="13.5" customHeight="1" x14ac:dyDescent="0.25">
      <c r="A47" s="62"/>
      <c r="D47" s="105" t="s">
        <v>163</v>
      </c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76" x14ac:dyDescent="0.25">
      <c r="A48" s="62"/>
      <c r="D48" s="63" t="s">
        <v>372</v>
      </c>
      <c r="E48" s="63"/>
      <c r="G48" s="64">
        <v>24.9</v>
      </c>
      <c r="M48" s="65"/>
    </row>
    <row r="49" spans="1:76" ht="15" customHeight="1" x14ac:dyDescent="0.25">
      <c r="A49" s="54"/>
      <c r="B49" s="55" t="s">
        <v>471</v>
      </c>
      <c r="C49" s="55" t="s">
        <v>373</v>
      </c>
      <c r="D49" s="104" t="s">
        <v>374</v>
      </c>
      <c r="E49" s="104"/>
      <c r="F49" s="56" t="s">
        <v>88</v>
      </c>
      <c r="G49" s="56" t="s">
        <v>88</v>
      </c>
      <c r="H49" s="56" t="s">
        <v>88</v>
      </c>
      <c r="I49" s="39">
        <f>SUM(I50:I54)</f>
        <v>0</v>
      </c>
      <c r="J49" s="46"/>
      <c r="K49" s="46"/>
      <c r="L49" s="39">
        <f>SUM(L50:L54)</f>
        <v>0.31602040000000003</v>
      </c>
      <c r="M49" s="57"/>
      <c r="AI49" s="46" t="s">
        <v>471</v>
      </c>
      <c r="AS49" s="39">
        <f>SUM(AJ50:AJ54)</f>
        <v>0</v>
      </c>
      <c r="AT49" s="39">
        <f>SUM(AK50:AK54)</f>
        <v>0</v>
      </c>
      <c r="AU49" s="39">
        <f>SUM(AL50:AL54)</f>
        <v>0</v>
      </c>
    </row>
    <row r="50" spans="1:76" ht="15" customHeight="1" x14ac:dyDescent="0.25">
      <c r="A50" s="58" t="s">
        <v>190</v>
      </c>
      <c r="B50" s="18" t="s">
        <v>471</v>
      </c>
      <c r="C50" s="18" t="s">
        <v>375</v>
      </c>
      <c r="D50" s="8" t="s">
        <v>376</v>
      </c>
      <c r="E50" s="8"/>
      <c r="F50" s="18" t="s">
        <v>114</v>
      </c>
      <c r="G50" s="59">
        <f>'Stavební rozpočet'!G286</f>
        <v>22.3</v>
      </c>
      <c r="H50" s="59">
        <f>'Stavební rozpočet'!H286</f>
        <v>0</v>
      </c>
      <c r="I50" s="59">
        <f>ROUND(G50*H50,2)</f>
        <v>0</v>
      </c>
      <c r="J50" s="59">
        <f>'Stavební rozpočet'!J286</f>
        <v>0</v>
      </c>
      <c r="K50" s="59">
        <f>'Stavební rozpočet'!K286</f>
        <v>9.7400000000000004E-3</v>
      </c>
      <c r="L50" s="59">
        <f>G50*K50</f>
        <v>0.21720200000000001</v>
      </c>
      <c r="M50" s="60" t="s">
        <v>115</v>
      </c>
      <c r="Z50" s="59">
        <f>ROUND(IF(AQ50="5",BJ50,0),2)</f>
        <v>0</v>
      </c>
      <c r="AB50" s="59">
        <f>ROUND(IF(AQ50="1",BH50,0),2)</f>
        <v>0</v>
      </c>
      <c r="AC50" s="59">
        <f>ROUND(IF(AQ50="1",BI50,0),2)</f>
        <v>0</v>
      </c>
      <c r="AD50" s="59">
        <f>ROUND(IF(AQ50="7",BH50,0),2)</f>
        <v>0</v>
      </c>
      <c r="AE50" s="59">
        <f>ROUND(IF(AQ50="7",BI50,0),2)</f>
        <v>0</v>
      </c>
      <c r="AF50" s="59">
        <f>ROUND(IF(AQ50="2",BH50,0),2)</f>
        <v>0</v>
      </c>
      <c r="AG50" s="59">
        <f>ROUND(IF(AQ50="2",BI50,0),2)</f>
        <v>0</v>
      </c>
      <c r="AH50" s="59">
        <f>ROUND(IF(AQ50="0",BJ50,0),2)</f>
        <v>0</v>
      </c>
      <c r="AI50" s="46" t="s">
        <v>471</v>
      </c>
      <c r="AJ50" s="59">
        <f>IF(AN50=0,I50,0)</f>
        <v>0</v>
      </c>
      <c r="AK50" s="59">
        <f>IF(AN50=12,I50,0)</f>
        <v>0</v>
      </c>
      <c r="AL50" s="59">
        <f>IF(AN50=21,I50,0)</f>
        <v>0</v>
      </c>
      <c r="AN50" s="59">
        <v>12</v>
      </c>
      <c r="AO50" s="59">
        <f>H50*0</f>
        <v>0</v>
      </c>
      <c r="AP50" s="59">
        <f>H50*(1-0)</f>
        <v>0</v>
      </c>
      <c r="AQ50" s="61" t="s">
        <v>150</v>
      </c>
      <c r="AV50" s="59">
        <f>ROUND(AW50+AX50,2)</f>
        <v>0</v>
      </c>
      <c r="AW50" s="59">
        <f>ROUND(G50*AO50,2)</f>
        <v>0</v>
      </c>
      <c r="AX50" s="59">
        <f>ROUND(G50*AP50,2)</f>
        <v>0</v>
      </c>
      <c r="AY50" s="61" t="s">
        <v>377</v>
      </c>
      <c r="AZ50" s="61" t="s">
        <v>475</v>
      </c>
      <c r="BA50" s="46" t="s">
        <v>474</v>
      </c>
      <c r="BC50" s="59">
        <f>AW50+AX50</f>
        <v>0</v>
      </c>
      <c r="BD50" s="59">
        <f>H50/(100-BE50)*100</f>
        <v>0</v>
      </c>
      <c r="BE50" s="59">
        <v>0</v>
      </c>
      <c r="BF50" s="59">
        <f>L50</f>
        <v>0.21720200000000001</v>
      </c>
      <c r="BH50" s="59">
        <f>G50*AO50</f>
        <v>0</v>
      </c>
      <c r="BI50" s="59">
        <f>G50*AP50</f>
        <v>0</v>
      </c>
      <c r="BJ50" s="59">
        <f>G50*H50</f>
        <v>0</v>
      </c>
      <c r="BK50" s="59"/>
      <c r="BL50" s="59">
        <v>711</v>
      </c>
      <c r="BW50" s="59">
        <v>12</v>
      </c>
      <c r="BX50" s="16" t="s">
        <v>376</v>
      </c>
    </row>
    <row r="51" spans="1:76" x14ac:dyDescent="0.25">
      <c r="A51" s="62"/>
      <c r="D51" s="63" t="s">
        <v>379</v>
      </c>
      <c r="E51" s="63"/>
      <c r="G51" s="64">
        <v>22.3</v>
      </c>
      <c r="M51" s="65"/>
    </row>
    <row r="52" spans="1:76" ht="15" customHeight="1" x14ac:dyDescent="0.25">
      <c r="A52" s="58" t="s">
        <v>201</v>
      </c>
      <c r="B52" s="18" t="s">
        <v>471</v>
      </c>
      <c r="C52" s="18" t="s">
        <v>380</v>
      </c>
      <c r="D52" s="8" t="s">
        <v>381</v>
      </c>
      <c r="E52" s="8"/>
      <c r="F52" s="18" t="s">
        <v>114</v>
      </c>
      <c r="G52" s="59">
        <f>'Stavební rozpočet'!G288</f>
        <v>24.37</v>
      </c>
      <c r="H52" s="59">
        <f>'Stavební rozpočet'!H288</f>
        <v>0</v>
      </c>
      <c r="I52" s="59">
        <f>ROUND(G52*H52,2)</f>
        <v>0</v>
      </c>
      <c r="J52" s="59">
        <f>'Stavební rozpočet'!J288</f>
        <v>3.47E-3</v>
      </c>
      <c r="K52" s="59">
        <f>'Stavební rozpočet'!K288</f>
        <v>3.47E-3</v>
      </c>
      <c r="L52" s="59">
        <f>G52*K52</f>
        <v>8.4563899999999997E-2</v>
      </c>
      <c r="M52" s="60" t="s">
        <v>115</v>
      </c>
      <c r="Z52" s="59">
        <f>ROUND(IF(AQ52="5",BJ52,0),2)</f>
        <v>0</v>
      </c>
      <c r="AB52" s="59">
        <f>ROUND(IF(AQ52="1",BH52,0),2)</f>
        <v>0</v>
      </c>
      <c r="AC52" s="59">
        <f>ROUND(IF(AQ52="1",BI52,0),2)</f>
        <v>0</v>
      </c>
      <c r="AD52" s="59">
        <f>ROUND(IF(AQ52="7",BH52,0),2)</f>
        <v>0</v>
      </c>
      <c r="AE52" s="59">
        <f>ROUND(IF(AQ52="7",BI52,0),2)</f>
        <v>0</v>
      </c>
      <c r="AF52" s="59">
        <f>ROUND(IF(AQ52="2",BH52,0),2)</f>
        <v>0</v>
      </c>
      <c r="AG52" s="59">
        <f>ROUND(IF(AQ52="2",BI52,0),2)</f>
        <v>0</v>
      </c>
      <c r="AH52" s="59">
        <f>ROUND(IF(AQ52="0",BJ52,0),2)</f>
        <v>0</v>
      </c>
      <c r="AI52" s="46" t="s">
        <v>471</v>
      </c>
      <c r="AJ52" s="59">
        <f>IF(AN52=0,I52,0)</f>
        <v>0</v>
      </c>
      <c r="AK52" s="59">
        <f>IF(AN52=12,I52,0)</f>
        <v>0</v>
      </c>
      <c r="AL52" s="59">
        <f>IF(AN52=21,I52,0)</f>
        <v>0</v>
      </c>
      <c r="AN52" s="59">
        <v>12</v>
      </c>
      <c r="AO52" s="59">
        <f>H52*0.729088049</f>
        <v>0</v>
      </c>
      <c r="AP52" s="59">
        <f>H52*(1-0.729088049)</f>
        <v>0</v>
      </c>
      <c r="AQ52" s="61" t="s">
        <v>150</v>
      </c>
      <c r="AV52" s="59">
        <f>ROUND(AW52+AX52,2)</f>
        <v>0</v>
      </c>
      <c r="AW52" s="59">
        <f>ROUND(G52*AO52,2)</f>
        <v>0</v>
      </c>
      <c r="AX52" s="59">
        <f>ROUND(G52*AP52,2)</f>
        <v>0</v>
      </c>
      <c r="AY52" s="61" t="s">
        <v>377</v>
      </c>
      <c r="AZ52" s="61" t="s">
        <v>475</v>
      </c>
      <c r="BA52" s="46" t="s">
        <v>474</v>
      </c>
      <c r="BC52" s="59">
        <f>AW52+AX52</f>
        <v>0</v>
      </c>
      <c r="BD52" s="59">
        <f>H52/(100-BE52)*100</f>
        <v>0</v>
      </c>
      <c r="BE52" s="59">
        <v>0</v>
      </c>
      <c r="BF52" s="59">
        <f>L52</f>
        <v>8.4563899999999997E-2</v>
      </c>
      <c r="BH52" s="59">
        <f>G52*AO52</f>
        <v>0</v>
      </c>
      <c r="BI52" s="59">
        <f>G52*AP52</f>
        <v>0</v>
      </c>
      <c r="BJ52" s="59">
        <f>G52*H52</f>
        <v>0</v>
      </c>
      <c r="BK52" s="59"/>
      <c r="BL52" s="59">
        <v>711</v>
      </c>
      <c r="BW52" s="59">
        <v>12</v>
      </c>
      <c r="BX52" s="16" t="s">
        <v>381</v>
      </c>
    </row>
    <row r="53" spans="1:76" x14ac:dyDescent="0.25">
      <c r="A53" s="62"/>
      <c r="D53" s="63" t="s">
        <v>382</v>
      </c>
      <c r="E53" s="63"/>
      <c r="G53" s="64">
        <v>24.37</v>
      </c>
      <c r="M53" s="65"/>
    </row>
    <row r="54" spans="1:76" ht="15" customHeight="1" x14ac:dyDescent="0.25">
      <c r="A54" s="58" t="s">
        <v>205</v>
      </c>
      <c r="B54" s="18" t="s">
        <v>471</v>
      </c>
      <c r="C54" s="18" t="s">
        <v>383</v>
      </c>
      <c r="D54" s="8" t="s">
        <v>384</v>
      </c>
      <c r="E54" s="8"/>
      <c r="F54" s="18" t="s">
        <v>140</v>
      </c>
      <c r="G54" s="59">
        <f>'Stavební rozpočet'!G290</f>
        <v>33.15</v>
      </c>
      <c r="H54" s="59">
        <f>'Stavební rozpočet'!H290</f>
        <v>0</v>
      </c>
      <c r="I54" s="59">
        <f>ROUND(G54*H54,2)</f>
        <v>0</v>
      </c>
      <c r="J54" s="59">
        <f>'Stavební rozpočet'!J290</f>
        <v>4.2999999999999999E-4</v>
      </c>
      <c r="K54" s="59">
        <f>'Stavební rozpočet'!K290</f>
        <v>4.2999999999999999E-4</v>
      </c>
      <c r="L54" s="59">
        <f>G54*K54</f>
        <v>1.42545E-2</v>
      </c>
      <c r="M54" s="60" t="s">
        <v>115</v>
      </c>
      <c r="Z54" s="59">
        <f>ROUND(IF(AQ54="5",BJ54,0),2)</f>
        <v>0</v>
      </c>
      <c r="AB54" s="59">
        <f>ROUND(IF(AQ54="1",BH54,0),2)</f>
        <v>0</v>
      </c>
      <c r="AC54" s="59">
        <f>ROUND(IF(AQ54="1",BI54,0),2)</f>
        <v>0</v>
      </c>
      <c r="AD54" s="59">
        <f>ROUND(IF(AQ54="7",BH54,0),2)</f>
        <v>0</v>
      </c>
      <c r="AE54" s="59">
        <f>ROUND(IF(AQ54="7",BI54,0),2)</f>
        <v>0</v>
      </c>
      <c r="AF54" s="59">
        <f>ROUND(IF(AQ54="2",BH54,0),2)</f>
        <v>0</v>
      </c>
      <c r="AG54" s="59">
        <f>ROUND(IF(AQ54="2",BI54,0),2)</f>
        <v>0</v>
      </c>
      <c r="AH54" s="59">
        <f>ROUND(IF(AQ54="0",BJ54,0),2)</f>
        <v>0</v>
      </c>
      <c r="AI54" s="46" t="s">
        <v>471</v>
      </c>
      <c r="AJ54" s="59">
        <f>IF(AN54=0,I54,0)</f>
        <v>0</v>
      </c>
      <c r="AK54" s="59">
        <f>IF(AN54=12,I54,0)</f>
        <v>0</v>
      </c>
      <c r="AL54" s="59">
        <f>IF(AN54=21,I54,0)</f>
        <v>0</v>
      </c>
      <c r="AN54" s="59">
        <v>12</v>
      </c>
      <c r="AO54" s="59">
        <f>H54*0.767483743</f>
        <v>0</v>
      </c>
      <c r="AP54" s="59">
        <f>H54*(1-0.767483743)</f>
        <v>0</v>
      </c>
      <c r="AQ54" s="61" t="s">
        <v>150</v>
      </c>
      <c r="AV54" s="59">
        <f>ROUND(AW54+AX54,2)</f>
        <v>0</v>
      </c>
      <c r="AW54" s="59">
        <f>ROUND(G54*AO54,2)</f>
        <v>0</v>
      </c>
      <c r="AX54" s="59">
        <f>ROUND(G54*AP54,2)</f>
        <v>0</v>
      </c>
      <c r="AY54" s="61" t="s">
        <v>377</v>
      </c>
      <c r="AZ54" s="61" t="s">
        <v>475</v>
      </c>
      <c r="BA54" s="46" t="s">
        <v>474</v>
      </c>
      <c r="BC54" s="59">
        <f>AW54+AX54</f>
        <v>0</v>
      </c>
      <c r="BD54" s="59">
        <f>H54/(100-BE54)*100</f>
        <v>0</v>
      </c>
      <c r="BE54" s="59">
        <v>0</v>
      </c>
      <c r="BF54" s="59">
        <f>L54</f>
        <v>1.42545E-2</v>
      </c>
      <c r="BH54" s="59">
        <f>G54*AO54</f>
        <v>0</v>
      </c>
      <c r="BI54" s="59">
        <f>G54*AP54</f>
        <v>0</v>
      </c>
      <c r="BJ54" s="59">
        <f>G54*H54</f>
        <v>0</v>
      </c>
      <c r="BK54" s="59"/>
      <c r="BL54" s="59">
        <v>711</v>
      </c>
      <c r="BW54" s="59">
        <v>12</v>
      </c>
      <c r="BX54" s="16" t="s">
        <v>384</v>
      </c>
    </row>
    <row r="55" spans="1:76" x14ac:dyDescent="0.25">
      <c r="A55" s="62"/>
      <c r="D55" s="63" t="s">
        <v>385</v>
      </c>
      <c r="E55" s="63"/>
      <c r="G55" s="64">
        <v>33.15</v>
      </c>
      <c r="M55" s="65"/>
    </row>
    <row r="56" spans="1:76" ht="15" customHeight="1" x14ac:dyDescent="0.25">
      <c r="A56" s="54"/>
      <c r="B56" s="55" t="s">
        <v>471</v>
      </c>
      <c r="C56" s="55" t="s">
        <v>165</v>
      </c>
      <c r="D56" s="104" t="s">
        <v>166</v>
      </c>
      <c r="E56" s="104"/>
      <c r="F56" s="56" t="s">
        <v>88</v>
      </c>
      <c r="G56" s="56" t="s">
        <v>88</v>
      </c>
      <c r="H56" s="56" t="s">
        <v>88</v>
      </c>
      <c r="I56" s="39">
        <f>SUM(I57:I65)</f>
        <v>0</v>
      </c>
      <c r="J56" s="46"/>
      <c r="K56" s="46"/>
      <c r="L56" s="39">
        <f>SUM(L57:L65)</f>
        <v>9.1239999999999988E-2</v>
      </c>
      <c r="M56" s="57"/>
      <c r="AI56" s="46" t="s">
        <v>471</v>
      </c>
      <c r="AS56" s="39">
        <f>SUM(AJ57:AJ65)</f>
        <v>0</v>
      </c>
      <c r="AT56" s="39">
        <f>SUM(AK57:AK65)</f>
        <v>0</v>
      </c>
      <c r="AU56" s="39">
        <f>SUM(AL57:AL65)</f>
        <v>0</v>
      </c>
    </row>
    <row r="57" spans="1:76" ht="15" customHeight="1" x14ac:dyDescent="0.25">
      <c r="A57" s="58" t="s">
        <v>210</v>
      </c>
      <c r="B57" s="18" t="s">
        <v>471</v>
      </c>
      <c r="C57" s="18" t="s">
        <v>168</v>
      </c>
      <c r="D57" s="8" t="s">
        <v>169</v>
      </c>
      <c r="E57" s="8"/>
      <c r="F57" s="18" t="s">
        <v>140</v>
      </c>
      <c r="G57" s="59">
        <f>'Stavební rozpočet'!G293</f>
        <v>6</v>
      </c>
      <c r="H57" s="59">
        <f>'Stavební rozpočet'!H293</f>
        <v>0</v>
      </c>
      <c r="I57" s="59">
        <f>ROUND(G57*H57,2)</f>
        <v>0</v>
      </c>
      <c r="J57" s="59">
        <f>'Stavební rozpočet'!J293</f>
        <v>0</v>
      </c>
      <c r="K57" s="59">
        <f>'Stavební rozpočet'!K293</f>
        <v>1.3500000000000001E-3</v>
      </c>
      <c r="L57" s="59">
        <f>G57*K57</f>
        <v>8.0999999999999996E-3</v>
      </c>
      <c r="M57" s="60" t="s">
        <v>115</v>
      </c>
      <c r="Z57" s="59">
        <f>ROUND(IF(AQ57="5",BJ57,0),2)</f>
        <v>0</v>
      </c>
      <c r="AB57" s="59">
        <f>ROUND(IF(AQ57="1",BH57,0),2)</f>
        <v>0</v>
      </c>
      <c r="AC57" s="59">
        <f>ROUND(IF(AQ57="1",BI57,0),2)</f>
        <v>0</v>
      </c>
      <c r="AD57" s="59">
        <f>ROUND(IF(AQ57="7",BH57,0),2)</f>
        <v>0</v>
      </c>
      <c r="AE57" s="59">
        <f>ROUND(IF(AQ57="7",BI57,0),2)</f>
        <v>0</v>
      </c>
      <c r="AF57" s="59">
        <f>ROUND(IF(AQ57="2",BH57,0),2)</f>
        <v>0</v>
      </c>
      <c r="AG57" s="59">
        <f>ROUND(IF(AQ57="2",BI57,0),2)</f>
        <v>0</v>
      </c>
      <c r="AH57" s="59">
        <f>ROUND(IF(AQ57="0",BJ57,0),2)</f>
        <v>0</v>
      </c>
      <c r="AI57" s="46" t="s">
        <v>471</v>
      </c>
      <c r="AJ57" s="59">
        <f>IF(AN57=0,I57,0)</f>
        <v>0</v>
      </c>
      <c r="AK57" s="59">
        <f>IF(AN57=12,I57,0)</f>
        <v>0</v>
      </c>
      <c r="AL57" s="59">
        <f>IF(AN57=21,I57,0)</f>
        <v>0</v>
      </c>
      <c r="AN57" s="59">
        <v>12</v>
      </c>
      <c r="AO57" s="59">
        <f>H57*0</f>
        <v>0</v>
      </c>
      <c r="AP57" s="59">
        <f>H57*(1-0)</f>
        <v>0</v>
      </c>
      <c r="AQ57" s="61" t="s">
        <v>150</v>
      </c>
      <c r="AV57" s="59">
        <f>ROUND(AW57+AX57,2)</f>
        <v>0</v>
      </c>
      <c r="AW57" s="59">
        <f>ROUND(G57*AO57,2)</f>
        <v>0</v>
      </c>
      <c r="AX57" s="59">
        <f>ROUND(G57*AP57,2)</f>
        <v>0</v>
      </c>
      <c r="AY57" s="61" t="s">
        <v>170</v>
      </c>
      <c r="AZ57" s="61" t="s">
        <v>476</v>
      </c>
      <c r="BA57" s="46" t="s">
        <v>474</v>
      </c>
      <c r="BC57" s="59">
        <f>AW57+AX57</f>
        <v>0</v>
      </c>
      <c r="BD57" s="59">
        <f>H57/(100-BE57)*100</f>
        <v>0</v>
      </c>
      <c r="BE57" s="59">
        <v>0</v>
      </c>
      <c r="BF57" s="59">
        <f>L57</f>
        <v>8.0999999999999996E-3</v>
      </c>
      <c r="BH57" s="59">
        <f>G57*AO57</f>
        <v>0</v>
      </c>
      <c r="BI57" s="59">
        <f>G57*AP57</f>
        <v>0</v>
      </c>
      <c r="BJ57" s="59">
        <f>G57*H57</f>
        <v>0</v>
      </c>
      <c r="BK57" s="59"/>
      <c r="BL57" s="59">
        <v>764</v>
      </c>
      <c r="BW57" s="59">
        <v>12</v>
      </c>
      <c r="BX57" s="16" t="s">
        <v>169</v>
      </c>
    </row>
    <row r="58" spans="1:76" x14ac:dyDescent="0.25">
      <c r="A58" s="62"/>
      <c r="D58" s="63" t="s">
        <v>145</v>
      </c>
      <c r="E58" s="63"/>
      <c r="G58" s="64">
        <v>6</v>
      </c>
      <c r="M58" s="65"/>
    </row>
    <row r="59" spans="1:76" ht="15" customHeight="1" x14ac:dyDescent="0.25">
      <c r="A59" s="58" t="s">
        <v>215</v>
      </c>
      <c r="B59" s="18" t="s">
        <v>471</v>
      </c>
      <c r="C59" s="18" t="s">
        <v>173</v>
      </c>
      <c r="D59" s="8" t="s">
        <v>174</v>
      </c>
      <c r="E59" s="8"/>
      <c r="F59" s="18" t="s">
        <v>140</v>
      </c>
      <c r="G59" s="59">
        <f>'Stavební rozpočet'!G295</f>
        <v>6</v>
      </c>
      <c r="H59" s="59">
        <f>'Stavební rozpočet'!H295</f>
        <v>0</v>
      </c>
      <c r="I59" s="59">
        <f>ROUND(G59*H59,2)</f>
        <v>0</v>
      </c>
      <c r="J59" s="59">
        <f>'Stavební rozpočet'!J295</f>
        <v>3.9500000000000004E-3</v>
      </c>
      <c r="K59" s="59">
        <f>'Stavební rozpočet'!K295</f>
        <v>3.9500000000000004E-3</v>
      </c>
      <c r="L59" s="59">
        <f>G59*K59</f>
        <v>2.3700000000000002E-2</v>
      </c>
      <c r="M59" s="60" t="s">
        <v>115</v>
      </c>
      <c r="Z59" s="59">
        <f>ROUND(IF(AQ59="5",BJ59,0),2)</f>
        <v>0</v>
      </c>
      <c r="AB59" s="59">
        <f>ROUND(IF(AQ59="1",BH59,0),2)</f>
        <v>0</v>
      </c>
      <c r="AC59" s="59">
        <f>ROUND(IF(AQ59="1",BI59,0),2)</f>
        <v>0</v>
      </c>
      <c r="AD59" s="59">
        <f>ROUND(IF(AQ59="7",BH59,0),2)</f>
        <v>0</v>
      </c>
      <c r="AE59" s="59">
        <f>ROUND(IF(AQ59="7",BI59,0),2)</f>
        <v>0</v>
      </c>
      <c r="AF59" s="59">
        <f>ROUND(IF(AQ59="2",BH59,0),2)</f>
        <v>0</v>
      </c>
      <c r="AG59" s="59">
        <f>ROUND(IF(AQ59="2",BI59,0),2)</f>
        <v>0</v>
      </c>
      <c r="AH59" s="59">
        <f>ROUND(IF(AQ59="0",BJ59,0),2)</f>
        <v>0</v>
      </c>
      <c r="AI59" s="46" t="s">
        <v>471</v>
      </c>
      <c r="AJ59" s="59">
        <f>IF(AN59=0,I59,0)</f>
        <v>0</v>
      </c>
      <c r="AK59" s="59">
        <f>IF(AN59=12,I59,0)</f>
        <v>0</v>
      </c>
      <c r="AL59" s="59">
        <f>IF(AN59=21,I59,0)</f>
        <v>0</v>
      </c>
      <c r="AN59" s="59">
        <v>12</v>
      </c>
      <c r="AO59" s="59">
        <f>H59*0.565634409</f>
        <v>0</v>
      </c>
      <c r="AP59" s="59">
        <f>H59*(1-0.565634409)</f>
        <v>0</v>
      </c>
      <c r="AQ59" s="61" t="s">
        <v>150</v>
      </c>
      <c r="AV59" s="59">
        <f>ROUND(AW59+AX59,2)</f>
        <v>0</v>
      </c>
      <c r="AW59" s="59">
        <f>ROUND(G59*AO59,2)</f>
        <v>0</v>
      </c>
      <c r="AX59" s="59">
        <f>ROUND(G59*AP59,2)</f>
        <v>0</v>
      </c>
      <c r="AY59" s="61" t="s">
        <v>170</v>
      </c>
      <c r="AZ59" s="61" t="s">
        <v>476</v>
      </c>
      <c r="BA59" s="46" t="s">
        <v>474</v>
      </c>
      <c r="BC59" s="59">
        <f>AW59+AX59</f>
        <v>0</v>
      </c>
      <c r="BD59" s="59">
        <f>H59/(100-BE59)*100</f>
        <v>0</v>
      </c>
      <c r="BE59" s="59">
        <v>0</v>
      </c>
      <c r="BF59" s="59">
        <f>L59</f>
        <v>2.3700000000000002E-2</v>
      </c>
      <c r="BH59" s="59">
        <f>G59*AO59</f>
        <v>0</v>
      </c>
      <c r="BI59" s="59">
        <f>G59*AP59</f>
        <v>0</v>
      </c>
      <c r="BJ59" s="59">
        <f>G59*H59</f>
        <v>0</v>
      </c>
      <c r="BK59" s="59"/>
      <c r="BL59" s="59">
        <v>764</v>
      </c>
      <c r="BW59" s="59">
        <v>12</v>
      </c>
      <c r="BX59" s="16" t="s">
        <v>174</v>
      </c>
    </row>
    <row r="60" spans="1:76" ht="13.5" customHeight="1" x14ac:dyDescent="0.25">
      <c r="A60" s="62"/>
      <c r="D60" s="105" t="s">
        <v>175</v>
      </c>
      <c r="E60" s="105"/>
      <c r="F60" s="105"/>
      <c r="G60" s="105"/>
      <c r="H60" s="105"/>
      <c r="I60" s="105"/>
      <c r="J60" s="105"/>
      <c r="K60" s="105"/>
      <c r="L60" s="105"/>
      <c r="M60" s="105"/>
    </row>
    <row r="61" spans="1:76" x14ac:dyDescent="0.25">
      <c r="A61" s="62"/>
      <c r="D61" s="63" t="s">
        <v>145</v>
      </c>
      <c r="E61" s="63"/>
      <c r="G61" s="64">
        <v>6</v>
      </c>
      <c r="M61" s="65"/>
    </row>
    <row r="62" spans="1:76" ht="15" customHeight="1" x14ac:dyDescent="0.25">
      <c r="A62" s="58" t="s">
        <v>221</v>
      </c>
      <c r="B62" s="18" t="s">
        <v>471</v>
      </c>
      <c r="C62" s="18" t="s">
        <v>177</v>
      </c>
      <c r="D62" s="8" t="s">
        <v>178</v>
      </c>
      <c r="E62" s="8"/>
      <c r="F62" s="18" t="s">
        <v>140</v>
      </c>
      <c r="G62" s="59">
        <f>'Stavební rozpočet'!G297</f>
        <v>24.9</v>
      </c>
      <c r="H62" s="59">
        <f>'Stavební rozpočet'!H297</f>
        <v>0</v>
      </c>
      <c r="I62" s="59">
        <f>ROUND(G62*H62,2)</f>
        <v>0</v>
      </c>
      <c r="J62" s="59">
        <f>'Stavební rozpočet'!J297</f>
        <v>1.4599999999999999E-3</v>
      </c>
      <c r="K62" s="59">
        <f>'Stavební rozpočet'!K297</f>
        <v>1.4599999999999999E-3</v>
      </c>
      <c r="L62" s="59">
        <f>G62*K62</f>
        <v>3.6353999999999997E-2</v>
      </c>
      <c r="M62" s="60" t="s">
        <v>115</v>
      </c>
      <c r="Z62" s="59">
        <f>ROUND(IF(AQ62="5",BJ62,0),2)</f>
        <v>0</v>
      </c>
      <c r="AB62" s="59">
        <f>ROUND(IF(AQ62="1",BH62,0),2)</f>
        <v>0</v>
      </c>
      <c r="AC62" s="59">
        <f>ROUND(IF(AQ62="1",BI62,0),2)</f>
        <v>0</v>
      </c>
      <c r="AD62" s="59">
        <f>ROUND(IF(AQ62="7",BH62,0),2)</f>
        <v>0</v>
      </c>
      <c r="AE62" s="59">
        <f>ROUND(IF(AQ62="7",BI62,0),2)</f>
        <v>0</v>
      </c>
      <c r="AF62" s="59">
        <f>ROUND(IF(AQ62="2",BH62,0),2)</f>
        <v>0</v>
      </c>
      <c r="AG62" s="59">
        <f>ROUND(IF(AQ62="2",BI62,0),2)</f>
        <v>0</v>
      </c>
      <c r="AH62" s="59">
        <f>ROUND(IF(AQ62="0",BJ62,0),2)</f>
        <v>0</v>
      </c>
      <c r="AI62" s="46" t="s">
        <v>471</v>
      </c>
      <c r="AJ62" s="59">
        <f>IF(AN62=0,I62,0)</f>
        <v>0</v>
      </c>
      <c r="AK62" s="59">
        <f>IF(AN62=12,I62,0)</f>
        <v>0</v>
      </c>
      <c r="AL62" s="59">
        <f>IF(AN62=21,I62,0)</f>
        <v>0</v>
      </c>
      <c r="AN62" s="59">
        <v>12</v>
      </c>
      <c r="AO62" s="59">
        <f>H62*0.113898183</f>
        <v>0</v>
      </c>
      <c r="AP62" s="59">
        <f>H62*(1-0.113898183)</f>
        <v>0</v>
      </c>
      <c r="AQ62" s="61" t="s">
        <v>150</v>
      </c>
      <c r="AV62" s="59">
        <f>ROUND(AW62+AX62,2)</f>
        <v>0</v>
      </c>
      <c r="AW62" s="59">
        <f>ROUND(G62*AO62,2)</f>
        <v>0</v>
      </c>
      <c r="AX62" s="59">
        <f>ROUND(G62*AP62,2)</f>
        <v>0</v>
      </c>
      <c r="AY62" s="61" t="s">
        <v>170</v>
      </c>
      <c r="AZ62" s="61" t="s">
        <v>476</v>
      </c>
      <c r="BA62" s="46" t="s">
        <v>474</v>
      </c>
      <c r="BC62" s="59">
        <f>AW62+AX62</f>
        <v>0</v>
      </c>
      <c r="BD62" s="59">
        <f>H62/(100-BE62)*100</f>
        <v>0</v>
      </c>
      <c r="BE62" s="59">
        <v>0</v>
      </c>
      <c r="BF62" s="59">
        <f>L62</f>
        <v>3.6353999999999997E-2</v>
      </c>
      <c r="BH62" s="59">
        <f>G62*AO62</f>
        <v>0</v>
      </c>
      <c r="BI62" s="59">
        <f>G62*AP62</f>
        <v>0</v>
      </c>
      <c r="BJ62" s="59">
        <f>G62*H62</f>
        <v>0</v>
      </c>
      <c r="BK62" s="59"/>
      <c r="BL62" s="59">
        <v>764</v>
      </c>
      <c r="BW62" s="59">
        <v>12</v>
      </c>
      <c r="BX62" s="16" t="s">
        <v>178</v>
      </c>
    </row>
    <row r="63" spans="1:76" ht="13.5" customHeight="1" x14ac:dyDescent="0.25">
      <c r="A63" s="62"/>
      <c r="D63" s="105" t="s">
        <v>179</v>
      </c>
      <c r="E63" s="105"/>
      <c r="F63" s="105"/>
      <c r="G63" s="105"/>
      <c r="H63" s="105"/>
      <c r="I63" s="105"/>
      <c r="J63" s="105"/>
      <c r="K63" s="105"/>
      <c r="L63" s="105"/>
      <c r="M63" s="105"/>
    </row>
    <row r="64" spans="1:76" x14ac:dyDescent="0.25">
      <c r="A64" s="62"/>
      <c r="D64" s="63" t="s">
        <v>387</v>
      </c>
      <c r="E64" s="63"/>
      <c r="G64" s="64">
        <v>24.9</v>
      </c>
      <c r="M64" s="65"/>
    </row>
    <row r="65" spans="1:76" ht="15" customHeight="1" x14ac:dyDescent="0.25">
      <c r="A65" s="58" t="s">
        <v>227</v>
      </c>
      <c r="B65" s="18" t="s">
        <v>471</v>
      </c>
      <c r="C65" s="18" t="s">
        <v>388</v>
      </c>
      <c r="D65" s="8" t="s">
        <v>389</v>
      </c>
      <c r="E65" s="8"/>
      <c r="F65" s="18" t="s">
        <v>140</v>
      </c>
      <c r="G65" s="59">
        <f>'Stavební rozpočet'!G299</f>
        <v>19.399999999999999</v>
      </c>
      <c r="H65" s="59">
        <f>'Stavební rozpočet'!H299</f>
        <v>0</v>
      </c>
      <c r="I65" s="59">
        <f>ROUND(G65*H65,2)</f>
        <v>0</v>
      </c>
      <c r="J65" s="59">
        <f>'Stavební rozpočet'!J299</f>
        <v>1.1900000000000001E-3</v>
      </c>
      <c r="K65" s="59">
        <f>'Stavební rozpočet'!K299</f>
        <v>1.1900000000000001E-3</v>
      </c>
      <c r="L65" s="59">
        <f>G65*K65</f>
        <v>2.3085999999999999E-2</v>
      </c>
      <c r="M65" s="60" t="s">
        <v>115</v>
      </c>
      <c r="Z65" s="59">
        <f>ROUND(IF(AQ65="5",BJ65,0),2)</f>
        <v>0</v>
      </c>
      <c r="AB65" s="59">
        <f>ROUND(IF(AQ65="1",BH65,0),2)</f>
        <v>0</v>
      </c>
      <c r="AC65" s="59">
        <f>ROUND(IF(AQ65="1",BI65,0),2)</f>
        <v>0</v>
      </c>
      <c r="AD65" s="59">
        <f>ROUND(IF(AQ65="7",BH65,0),2)</f>
        <v>0</v>
      </c>
      <c r="AE65" s="59">
        <f>ROUND(IF(AQ65="7",BI65,0),2)</f>
        <v>0</v>
      </c>
      <c r="AF65" s="59">
        <f>ROUND(IF(AQ65="2",BH65,0),2)</f>
        <v>0</v>
      </c>
      <c r="AG65" s="59">
        <f>ROUND(IF(AQ65="2",BI65,0),2)</f>
        <v>0</v>
      </c>
      <c r="AH65" s="59">
        <f>ROUND(IF(AQ65="0",BJ65,0),2)</f>
        <v>0</v>
      </c>
      <c r="AI65" s="46" t="s">
        <v>471</v>
      </c>
      <c r="AJ65" s="59">
        <f>IF(AN65=0,I65,0)</f>
        <v>0</v>
      </c>
      <c r="AK65" s="59">
        <f>IF(AN65=12,I65,0)</f>
        <v>0</v>
      </c>
      <c r="AL65" s="59">
        <f>IF(AN65=21,I65,0)</f>
        <v>0</v>
      </c>
      <c r="AN65" s="59">
        <v>12</v>
      </c>
      <c r="AO65" s="59">
        <f>H65*0.381899982</f>
        <v>0</v>
      </c>
      <c r="AP65" s="59">
        <f>H65*(1-0.381899982)</f>
        <v>0</v>
      </c>
      <c r="AQ65" s="61" t="s">
        <v>150</v>
      </c>
      <c r="AV65" s="59">
        <f>ROUND(AW65+AX65,2)</f>
        <v>0</v>
      </c>
      <c r="AW65" s="59">
        <f>ROUND(G65*AO65,2)</f>
        <v>0</v>
      </c>
      <c r="AX65" s="59">
        <f>ROUND(G65*AP65,2)</f>
        <v>0</v>
      </c>
      <c r="AY65" s="61" t="s">
        <v>170</v>
      </c>
      <c r="AZ65" s="61" t="s">
        <v>476</v>
      </c>
      <c r="BA65" s="46" t="s">
        <v>474</v>
      </c>
      <c r="BC65" s="59">
        <f>AW65+AX65</f>
        <v>0</v>
      </c>
      <c r="BD65" s="59">
        <f>H65/(100-BE65)*100</f>
        <v>0</v>
      </c>
      <c r="BE65" s="59">
        <v>0</v>
      </c>
      <c r="BF65" s="59">
        <f>L65</f>
        <v>2.3085999999999999E-2</v>
      </c>
      <c r="BH65" s="59">
        <f>G65*AO65</f>
        <v>0</v>
      </c>
      <c r="BI65" s="59">
        <f>G65*AP65</f>
        <v>0</v>
      </c>
      <c r="BJ65" s="59">
        <f>G65*H65</f>
        <v>0</v>
      </c>
      <c r="BK65" s="59"/>
      <c r="BL65" s="59">
        <v>764</v>
      </c>
      <c r="BW65" s="59">
        <v>12</v>
      </c>
      <c r="BX65" s="16" t="s">
        <v>389</v>
      </c>
    </row>
    <row r="66" spans="1:76" x14ac:dyDescent="0.25">
      <c r="A66" s="62"/>
      <c r="D66" s="63" t="s">
        <v>390</v>
      </c>
      <c r="E66" s="63"/>
      <c r="G66" s="64">
        <v>19.399999999999999</v>
      </c>
      <c r="M66" s="65"/>
    </row>
    <row r="67" spans="1:76" ht="15" customHeight="1" x14ac:dyDescent="0.25">
      <c r="A67" s="54"/>
      <c r="B67" s="55" t="s">
        <v>471</v>
      </c>
      <c r="C67" s="55" t="s">
        <v>181</v>
      </c>
      <c r="D67" s="104" t="s">
        <v>182</v>
      </c>
      <c r="E67" s="104"/>
      <c r="F67" s="56" t="s">
        <v>88</v>
      </c>
      <c r="G67" s="56" t="s">
        <v>88</v>
      </c>
      <c r="H67" s="56" t="s">
        <v>88</v>
      </c>
      <c r="I67" s="39">
        <f>SUM(I68:I84)</f>
        <v>0</v>
      </c>
      <c r="J67" s="46"/>
      <c r="K67" s="46"/>
      <c r="L67" s="39">
        <f>SUM(L68:L84)</f>
        <v>2.3344680000000002</v>
      </c>
      <c r="M67" s="57"/>
      <c r="AI67" s="46" t="s">
        <v>471</v>
      </c>
      <c r="AS67" s="39">
        <f>SUM(AJ68:AJ84)</f>
        <v>0</v>
      </c>
      <c r="AT67" s="39">
        <f>SUM(AK68:AK84)</f>
        <v>0</v>
      </c>
      <c r="AU67" s="39">
        <f>SUM(AL68:AL84)</f>
        <v>0</v>
      </c>
    </row>
    <row r="68" spans="1:76" ht="15" customHeight="1" x14ac:dyDescent="0.25">
      <c r="A68" s="58" t="s">
        <v>234</v>
      </c>
      <c r="B68" s="18" t="s">
        <v>471</v>
      </c>
      <c r="C68" s="18" t="s">
        <v>191</v>
      </c>
      <c r="D68" s="8" t="s">
        <v>192</v>
      </c>
      <c r="E68" s="8"/>
      <c r="F68" s="18" t="s">
        <v>114</v>
      </c>
      <c r="G68" s="59">
        <f>'Stavební rozpočet'!G302</f>
        <v>57.6</v>
      </c>
      <c r="H68" s="59">
        <f>'Stavební rozpočet'!H302</f>
        <v>0</v>
      </c>
      <c r="I68" s="59">
        <f>ROUND(G68*H68,2)</f>
        <v>0</v>
      </c>
      <c r="J68" s="59">
        <f>'Stavební rozpočet'!J302</f>
        <v>4.0370000000000003E-2</v>
      </c>
      <c r="K68" s="59">
        <f>'Stavební rozpočet'!K302</f>
        <v>4.0370000000000003E-2</v>
      </c>
      <c r="L68" s="59">
        <f>G68*K68</f>
        <v>2.3253120000000003</v>
      </c>
      <c r="M68" s="60" t="s">
        <v>115</v>
      </c>
      <c r="Z68" s="59">
        <f>ROUND(IF(AQ68="5",BJ68,0),2)</f>
        <v>0</v>
      </c>
      <c r="AB68" s="59">
        <f>ROUND(IF(AQ68="1",BH68,0),2)</f>
        <v>0</v>
      </c>
      <c r="AC68" s="59">
        <f>ROUND(IF(AQ68="1",BI68,0),2)</f>
        <v>0</v>
      </c>
      <c r="AD68" s="59">
        <f>ROUND(IF(AQ68="7",BH68,0),2)</f>
        <v>0</v>
      </c>
      <c r="AE68" s="59">
        <f>ROUND(IF(AQ68="7",BI68,0),2)</f>
        <v>0</v>
      </c>
      <c r="AF68" s="59">
        <f>ROUND(IF(AQ68="2",BH68,0),2)</f>
        <v>0</v>
      </c>
      <c r="AG68" s="59">
        <f>ROUND(IF(AQ68="2",BI68,0),2)</f>
        <v>0</v>
      </c>
      <c r="AH68" s="59">
        <f>ROUND(IF(AQ68="0",BJ68,0),2)</f>
        <v>0</v>
      </c>
      <c r="AI68" s="46" t="s">
        <v>471</v>
      </c>
      <c r="AJ68" s="59">
        <f>IF(AN68=0,I68,0)</f>
        <v>0</v>
      </c>
      <c r="AK68" s="59">
        <f>IF(AN68=12,I68,0)</f>
        <v>0</v>
      </c>
      <c r="AL68" s="59">
        <f>IF(AN68=21,I68,0)</f>
        <v>0</v>
      </c>
      <c r="AN68" s="59">
        <v>12</v>
      </c>
      <c r="AO68" s="59">
        <f>H68*0.920036743</f>
        <v>0</v>
      </c>
      <c r="AP68" s="59">
        <f>H68*(1-0.920036743)</f>
        <v>0</v>
      </c>
      <c r="AQ68" s="61" t="s">
        <v>150</v>
      </c>
      <c r="AV68" s="59">
        <f>ROUND(AW68+AX68,2)</f>
        <v>0</v>
      </c>
      <c r="AW68" s="59">
        <f>ROUND(G68*AO68,2)</f>
        <v>0</v>
      </c>
      <c r="AX68" s="59">
        <f>ROUND(G68*AP68,2)</f>
        <v>0</v>
      </c>
      <c r="AY68" s="61" t="s">
        <v>187</v>
      </c>
      <c r="AZ68" s="61" t="s">
        <v>476</v>
      </c>
      <c r="BA68" s="46" t="s">
        <v>474</v>
      </c>
      <c r="BC68" s="59">
        <f>AW68+AX68</f>
        <v>0</v>
      </c>
      <c r="BD68" s="59">
        <f>H68/(100-BE68)*100</f>
        <v>0</v>
      </c>
      <c r="BE68" s="59">
        <v>0</v>
      </c>
      <c r="BF68" s="59">
        <f>L68</f>
        <v>2.3253120000000003</v>
      </c>
      <c r="BH68" s="59">
        <f>G68*AO68</f>
        <v>0</v>
      </c>
      <c r="BI68" s="59">
        <f>G68*AP68</f>
        <v>0</v>
      </c>
      <c r="BJ68" s="59">
        <f>G68*H68</f>
        <v>0</v>
      </c>
      <c r="BK68" s="59"/>
      <c r="BL68" s="59">
        <v>766</v>
      </c>
      <c r="BW68" s="59">
        <v>12</v>
      </c>
      <c r="BX68" s="16" t="s">
        <v>192</v>
      </c>
    </row>
    <row r="69" spans="1:76" ht="13.5" customHeight="1" x14ac:dyDescent="0.25">
      <c r="A69" s="62"/>
      <c r="D69" s="105" t="s">
        <v>193</v>
      </c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76" x14ac:dyDescent="0.25">
      <c r="A70" s="62"/>
      <c r="D70" s="63" t="s">
        <v>391</v>
      </c>
      <c r="E70" s="63"/>
      <c r="G70" s="64">
        <v>9</v>
      </c>
      <c r="M70" s="65"/>
    </row>
    <row r="71" spans="1:76" x14ac:dyDescent="0.25">
      <c r="A71" s="62"/>
      <c r="D71" s="63" t="s">
        <v>392</v>
      </c>
      <c r="E71" s="63"/>
      <c r="G71" s="64">
        <v>5.4</v>
      </c>
      <c r="M71" s="65"/>
    </row>
    <row r="72" spans="1:76" x14ac:dyDescent="0.25">
      <c r="A72" s="62"/>
      <c r="D72" s="63" t="s">
        <v>393</v>
      </c>
      <c r="E72" s="63"/>
      <c r="G72" s="64">
        <v>21.6</v>
      </c>
      <c r="M72" s="65"/>
    </row>
    <row r="73" spans="1:76" x14ac:dyDescent="0.25">
      <c r="A73" s="62"/>
      <c r="D73" s="63" t="s">
        <v>394</v>
      </c>
      <c r="E73" s="63"/>
      <c r="G73" s="64">
        <v>14.4</v>
      </c>
      <c r="M73" s="65"/>
    </row>
    <row r="74" spans="1:76" x14ac:dyDescent="0.25">
      <c r="A74" s="62"/>
      <c r="D74" s="63" t="s">
        <v>395</v>
      </c>
      <c r="E74" s="63"/>
      <c r="G74" s="64">
        <v>7.2</v>
      </c>
      <c r="M74" s="65"/>
    </row>
    <row r="75" spans="1:76" ht="15" customHeight="1" x14ac:dyDescent="0.25">
      <c r="A75" s="58" t="s">
        <v>241</v>
      </c>
      <c r="B75" s="18" t="s">
        <v>471</v>
      </c>
      <c r="C75" s="18" t="s">
        <v>206</v>
      </c>
      <c r="D75" s="8" t="s">
        <v>207</v>
      </c>
      <c r="E75" s="8"/>
      <c r="F75" s="18" t="s">
        <v>140</v>
      </c>
      <c r="G75" s="59">
        <f>'Stavební rozpočet'!G308</f>
        <v>130.19999999999999</v>
      </c>
      <c r="H75" s="59">
        <f>'Stavební rozpočet'!H308</f>
        <v>0</v>
      </c>
      <c r="I75" s="59">
        <f>ROUND(G75*H75,2)</f>
        <v>0</v>
      </c>
      <c r="J75" s="59">
        <f>'Stavební rozpočet'!J308</f>
        <v>4.0000000000000003E-5</v>
      </c>
      <c r="K75" s="59">
        <f>'Stavební rozpočet'!K308</f>
        <v>4.0000000000000003E-5</v>
      </c>
      <c r="L75" s="59">
        <f>G75*K75</f>
        <v>5.208E-3</v>
      </c>
      <c r="M75" s="60" t="s">
        <v>115</v>
      </c>
      <c r="Z75" s="59">
        <f>ROUND(IF(AQ75="5",BJ75,0),2)</f>
        <v>0</v>
      </c>
      <c r="AB75" s="59">
        <f>ROUND(IF(AQ75="1",BH75,0),2)</f>
        <v>0</v>
      </c>
      <c r="AC75" s="59">
        <f>ROUND(IF(AQ75="1",BI75,0),2)</f>
        <v>0</v>
      </c>
      <c r="AD75" s="59">
        <f>ROUND(IF(AQ75="7",BH75,0),2)</f>
        <v>0</v>
      </c>
      <c r="AE75" s="59">
        <f>ROUND(IF(AQ75="7",BI75,0),2)</f>
        <v>0</v>
      </c>
      <c r="AF75" s="59">
        <f>ROUND(IF(AQ75="2",BH75,0),2)</f>
        <v>0</v>
      </c>
      <c r="AG75" s="59">
        <f>ROUND(IF(AQ75="2",BI75,0),2)</f>
        <v>0</v>
      </c>
      <c r="AH75" s="59">
        <f>ROUND(IF(AQ75="0",BJ75,0),2)</f>
        <v>0</v>
      </c>
      <c r="AI75" s="46" t="s">
        <v>471</v>
      </c>
      <c r="AJ75" s="59">
        <f>IF(AN75=0,I75,0)</f>
        <v>0</v>
      </c>
      <c r="AK75" s="59">
        <f>IF(AN75=12,I75,0)</f>
        <v>0</v>
      </c>
      <c r="AL75" s="59">
        <f>IF(AN75=21,I75,0)</f>
        <v>0</v>
      </c>
      <c r="AN75" s="59">
        <v>12</v>
      </c>
      <c r="AO75" s="59">
        <f>H75*0.41255311</f>
        <v>0</v>
      </c>
      <c r="AP75" s="59">
        <f>H75*(1-0.41255311)</f>
        <v>0</v>
      </c>
      <c r="AQ75" s="61" t="s">
        <v>150</v>
      </c>
      <c r="AV75" s="59">
        <f>ROUND(AW75+AX75,2)</f>
        <v>0</v>
      </c>
      <c r="AW75" s="59">
        <f>ROUND(G75*AO75,2)</f>
        <v>0</v>
      </c>
      <c r="AX75" s="59">
        <f>ROUND(G75*AP75,2)</f>
        <v>0</v>
      </c>
      <c r="AY75" s="61" t="s">
        <v>187</v>
      </c>
      <c r="AZ75" s="61" t="s">
        <v>476</v>
      </c>
      <c r="BA75" s="46" t="s">
        <v>474</v>
      </c>
      <c r="BC75" s="59">
        <f>AW75+AX75</f>
        <v>0</v>
      </c>
      <c r="BD75" s="59">
        <f>H75/(100-BE75)*100</f>
        <v>0</v>
      </c>
      <c r="BE75" s="59">
        <v>0</v>
      </c>
      <c r="BF75" s="59">
        <f>L75</f>
        <v>5.208E-3</v>
      </c>
      <c r="BH75" s="59">
        <f>G75*AO75</f>
        <v>0</v>
      </c>
      <c r="BI75" s="59">
        <f>G75*AP75</f>
        <v>0</v>
      </c>
      <c r="BJ75" s="59">
        <f>G75*H75</f>
        <v>0</v>
      </c>
      <c r="BK75" s="59"/>
      <c r="BL75" s="59">
        <v>766</v>
      </c>
      <c r="BW75" s="59">
        <v>12</v>
      </c>
      <c r="BX75" s="16" t="s">
        <v>207</v>
      </c>
    </row>
    <row r="76" spans="1:76" ht="13.5" customHeight="1" x14ac:dyDescent="0.25">
      <c r="A76" s="62"/>
      <c r="D76" s="105" t="s">
        <v>208</v>
      </c>
      <c r="E76" s="105"/>
      <c r="F76" s="105"/>
      <c r="G76" s="105"/>
      <c r="H76" s="105"/>
      <c r="I76" s="105"/>
      <c r="J76" s="105"/>
      <c r="K76" s="105"/>
      <c r="L76" s="105"/>
      <c r="M76" s="105"/>
    </row>
    <row r="77" spans="1:76" x14ac:dyDescent="0.25">
      <c r="A77" s="62"/>
      <c r="D77" s="63" t="s">
        <v>396</v>
      </c>
      <c r="E77" s="63"/>
      <c r="G77" s="64">
        <v>130.19999999999999</v>
      </c>
      <c r="M77" s="65"/>
    </row>
    <row r="78" spans="1:76" ht="15" customHeight="1" x14ac:dyDescent="0.25">
      <c r="A78" s="58" t="s">
        <v>248</v>
      </c>
      <c r="B78" s="18" t="s">
        <v>471</v>
      </c>
      <c r="C78" s="18" t="s">
        <v>211</v>
      </c>
      <c r="D78" s="8" t="s">
        <v>212</v>
      </c>
      <c r="E78" s="8"/>
      <c r="F78" s="18" t="s">
        <v>140</v>
      </c>
      <c r="G78" s="59">
        <f>'Stavební rozpočet'!G310</f>
        <v>32.9</v>
      </c>
      <c r="H78" s="59">
        <f>'Stavební rozpočet'!H310</f>
        <v>0</v>
      </c>
      <c r="I78" s="59">
        <f>ROUND(G78*H78,2)</f>
        <v>0</v>
      </c>
      <c r="J78" s="59">
        <f>'Stavební rozpočet'!J310</f>
        <v>1.2E-4</v>
      </c>
      <c r="K78" s="59">
        <f>'Stavební rozpočet'!K310</f>
        <v>1.2E-4</v>
      </c>
      <c r="L78" s="59">
        <f>G78*K78</f>
        <v>3.9480000000000001E-3</v>
      </c>
      <c r="M78" s="60" t="s">
        <v>115</v>
      </c>
      <c r="Z78" s="59">
        <f>ROUND(IF(AQ78="5",BJ78,0),2)</f>
        <v>0</v>
      </c>
      <c r="AB78" s="59">
        <f>ROUND(IF(AQ78="1",BH78,0),2)</f>
        <v>0</v>
      </c>
      <c r="AC78" s="59">
        <f>ROUND(IF(AQ78="1",BI78,0),2)</f>
        <v>0</v>
      </c>
      <c r="AD78" s="59">
        <f>ROUND(IF(AQ78="7",BH78,0),2)</f>
        <v>0</v>
      </c>
      <c r="AE78" s="59">
        <f>ROUND(IF(AQ78="7",BI78,0),2)</f>
        <v>0</v>
      </c>
      <c r="AF78" s="59">
        <f>ROUND(IF(AQ78="2",BH78,0),2)</f>
        <v>0</v>
      </c>
      <c r="AG78" s="59">
        <f>ROUND(IF(AQ78="2",BI78,0),2)</f>
        <v>0</v>
      </c>
      <c r="AH78" s="59">
        <f>ROUND(IF(AQ78="0",BJ78,0),2)</f>
        <v>0</v>
      </c>
      <c r="AI78" s="46" t="s">
        <v>471</v>
      </c>
      <c r="AJ78" s="59">
        <f>IF(AN78=0,I78,0)</f>
        <v>0</v>
      </c>
      <c r="AK78" s="59">
        <f>IF(AN78=12,I78,0)</f>
        <v>0</v>
      </c>
      <c r="AL78" s="59">
        <f>IF(AN78=21,I78,0)</f>
        <v>0</v>
      </c>
      <c r="AN78" s="59">
        <v>12</v>
      </c>
      <c r="AO78" s="59">
        <f>H78*0.319457343</f>
        <v>0</v>
      </c>
      <c r="AP78" s="59">
        <f>H78*(1-0.319457343)</f>
        <v>0</v>
      </c>
      <c r="AQ78" s="61" t="s">
        <v>150</v>
      </c>
      <c r="AV78" s="59">
        <f>ROUND(AW78+AX78,2)</f>
        <v>0</v>
      </c>
      <c r="AW78" s="59">
        <f>ROUND(G78*AO78,2)</f>
        <v>0</v>
      </c>
      <c r="AX78" s="59">
        <f>ROUND(G78*AP78,2)</f>
        <v>0</v>
      </c>
      <c r="AY78" s="61" t="s">
        <v>187</v>
      </c>
      <c r="AZ78" s="61" t="s">
        <v>476</v>
      </c>
      <c r="BA78" s="46" t="s">
        <v>474</v>
      </c>
      <c r="BC78" s="59">
        <f>AW78+AX78</f>
        <v>0</v>
      </c>
      <c r="BD78" s="59">
        <f>H78/(100-BE78)*100</f>
        <v>0</v>
      </c>
      <c r="BE78" s="59">
        <v>0</v>
      </c>
      <c r="BF78" s="59">
        <f>L78</f>
        <v>3.9480000000000001E-3</v>
      </c>
      <c r="BH78" s="59">
        <f>G78*AO78</f>
        <v>0</v>
      </c>
      <c r="BI78" s="59">
        <f>G78*AP78</f>
        <v>0</v>
      </c>
      <c r="BJ78" s="59">
        <f>G78*H78</f>
        <v>0</v>
      </c>
      <c r="BK78" s="59"/>
      <c r="BL78" s="59">
        <v>766</v>
      </c>
      <c r="BW78" s="59">
        <v>12</v>
      </c>
      <c r="BX78" s="16" t="s">
        <v>212</v>
      </c>
    </row>
    <row r="79" spans="1:76" ht="13.5" customHeight="1" x14ac:dyDescent="0.25">
      <c r="A79" s="62"/>
      <c r="D79" s="105" t="s">
        <v>213</v>
      </c>
      <c r="E79" s="105"/>
      <c r="F79" s="105"/>
      <c r="G79" s="105"/>
      <c r="H79" s="105"/>
      <c r="I79" s="105"/>
      <c r="J79" s="105"/>
      <c r="K79" s="105"/>
      <c r="L79" s="105"/>
      <c r="M79" s="105"/>
    </row>
    <row r="80" spans="1:76" x14ac:dyDescent="0.25">
      <c r="A80" s="62"/>
      <c r="D80" s="63" t="s">
        <v>477</v>
      </c>
      <c r="E80" s="63"/>
      <c r="G80" s="64">
        <v>32.9</v>
      </c>
      <c r="M80" s="65"/>
    </row>
    <row r="81" spans="1:76" ht="15" customHeight="1" x14ac:dyDescent="0.25">
      <c r="A81" s="58" t="s">
        <v>253</v>
      </c>
      <c r="B81" s="18" t="s">
        <v>471</v>
      </c>
      <c r="C81" s="18" t="s">
        <v>216</v>
      </c>
      <c r="D81" s="8" t="s">
        <v>217</v>
      </c>
      <c r="E81" s="8"/>
      <c r="F81" s="18" t="s">
        <v>218</v>
      </c>
      <c r="G81" s="59">
        <f>'Stavební rozpočet'!G312</f>
        <v>12</v>
      </c>
      <c r="H81" s="59">
        <f>'Stavební rozpočet'!H312</f>
        <v>0</v>
      </c>
      <c r="I81" s="59">
        <f>ROUND(G81*H81,2)</f>
        <v>0</v>
      </c>
      <c r="J81" s="59">
        <f>'Stavební rozpočet'!J312</f>
        <v>0</v>
      </c>
      <c r="K81" s="59">
        <f>'Stavební rozpočet'!K312</f>
        <v>0</v>
      </c>
      <c r="L81" s="59">
        <f>G81*K81</f>
        <v>0</v>
      </c>
      <c r="M81" s="60"/>
      <c r="Z81" s="59">
        <f>ROUND(IF(AQ81="5",BJ81,0),2)</f>
        <v>0</v>
      </c>
      <c r="AB81" s="59">
        <f>ROUND(IF(AQ81="1",BH81,0),2)</f>
        <v>0</v>
      </c>
      <c r="AC81" s="59">
        <f>ROUND(IF(AQ81="1",BI81,0),2)</f>
        <v>0</v>
      </c>
      <c r="AD81" s="59">
        <f>ROUND(IF(AQ81="7",BH81,0),2)</f>
        <v>0</v>
      </c>
      <c r="AE81" s="59">
        <f>ROUND(IF(AQ81="7",BI81,0),2)</f>
        <v>0</v>
      </c>
      <c r="AF81" s="59">
        <f>ROUND(IF(AQ81="2",BH81,0),2)</f>
        <v>0</v>
      </c>
      <c r="AG81" s="59">
        <f>ROUND(IF(AQ81="2",BI81,0),2)</f>
        <v>0</v>
      </c>
      <c r="AH81" s="59">
        <f>ROUND(IF(AQ81="0",BJ81,0),2)</f>
        <v>0</v>
      </c>
      <c r="AI81" s="46" t="s">
        <v>471</v>
      </c>
      <c r="AJ81" s="59">
        <f>IF(AN81=0,I81,0)</f>
        <v>0</v>
      </c>
      <c r="AK81" s="59">
        <f>IF(AN81=12,I81,0)</f>
        <v>0</v>
      </c>
      <c r="AL81" s="59">
        <f>IF(AN81=21,I81,0)</f>
        <v>0</v>
      </c>
      <c r="AN81" s="59">
        <v>12</v>
      </c>
      <c r="AO81" s="59">
        <f>H81*0</f>
        <v>0</v>
      </c>
      <c r="AP81" s="59">
        <f>H81*(1-0)</f>
        <v>0</v>
      </c>
      <c r="AQ81" s="61" t="s">
        <v>150</v>
      </c>
      <c r="AV81" s="59">
        <f>ROUND(AW81+AX81,2)</f>
        <v>0</v>
      </c>
      <c r="AW81" s="59">
        <f>ROUND(G81*AO81,2)</f>
        <v>0</v>
      </c>
      <c r="AX81" s="59">
        <f>ROUND(G81*AP81,2)</f>
        <v>0</v>
      </c>
      <c r="AY81" s="61" t="s">
        <v>187</v>
      </c>
      <c r="AZ81" s="61" t="s">
        <v>476</v>
      </c>
      <c r="BA81" s="46" t="s">
        <v>474</v>
      </c>
      <c r="BC81" s="59">
        <f>AW81+AX81</f>
        <v>0</v>
      </c>
      <c r="BD81" s="59">
        <f>H81/(100-BE81)*100</f>
        <v>0</v>
      </c>
      <c r="BE81" s="59">
        <v>0</v>
      </c>
      <c r="BF81" s="59">
        <f>L81</f>
        <v>0</v>
      </c>
      <c r="BH81" s="59">
        <f>G81*AO81</f>
        <v>0</v>
      </c>
      <c r="BI81" s="59">
        <f>G81*AP81</f>
        <v>0</v>
      </c>
      <c r="BJ81" s="59">
        <f>G81*H81</f>
        <v>0</v>
      </c>
      <c r="BK81" s="59"/>
      <c r="BL81" s="59">
        <v>766</v>
      </c>
      <c r="BW81" s="59">
        <v>12</v>
      </c>
      <c r="BX81" s="16" t="s">
        <v>217</v>
      </c>
    </row>
    <row r="82" spans="1:76" ht="13.5" customHeight="1" x14ac:dyDescent="0.25">
      <c r="A82" s="62"/>
      <c r="D82" s="105" t="s">
        <v>219</v>
      </c>
      <c r="E82" s="105"/>
      <c r="F82" s="105"/>
      <c r="G82" s="105"/>
      <c r="H82" s="105"/>
      <c r="I82" s="105"/>
      <c r="J82" s="105"/>
      <c r="K82" s="105"/>
      <c r="L82" s="105"/>
      <c r="M82" s="105"/>
    </row>
    <row r="83" spans="1:76" x14ac:dyDescent="0.25">
      <c r="A83" s="62"/>
      <c r="D83" s="63" t="s">
        <v>176</v>
      </c>
      <c r="E83" s="63"/>
      <c r="G83" s="64">
        <v>12</v>
      </c>
      <c r="M83" s="65"/>
    </row>
    <row r="84" spans="1:76" ht="15" customHeight="1" x14ac:dyDescent="0.25">
      <c r="A84" s="58" t="s">
        <v>261</v>
      </c>
      <c r="B84" s="18" t="s">
        <v>471</v>
      </c>
      <c r="C84" s="18" t="s">
        <v>222</v>
      </c>
      <c r="D84" s="8" t="s">
        <v>223</v>
      </c>
      <c r="E84" s="8"/>
      <c r="F84" s="18" t="s">
        <v>224</v>
      </c>
      <c r="G84" s="59">
        <f>'Stavební rozpočet'!G314</f>
        <v>1.859</v>
      </c>
      <c r="H84" s="59">
        <f>'Stavební rozpočet'!H314</f>
        <v>0</v>
      </c>
      <c r="I84" s="59">
        <f>ROUND(G84*H84,2)</f>
        <v>0</v>
      </c>
      <c r="J84" s="59">
        <f>'Stavební rozpočet'!J314</f>
        <v>0</v>
      </c>
      <c r="K84" s="59">
        <f>'Stavební rozpočet'!K314</f>
        <v>0</v>
      </c>
      <c r="L84" s="59">
        <f>G84*K84</f>
        <v>0</v>
      </c>
      <c r="M84" s="60" t="s">
        <v>115</v>
      </c>
      <c r="Z84" s="59">
        <f>ROUND(IF(AQ84="5",BJ84,0),2)</f>
        <v>0</v>
      </c>
      <c r="AB84" s="59">
        <f>ROUND(IF(AQ84="1",BH84,0),2)</f>
        <v>0</v>
      </c>
      <c r="AC84" s="59">
        <f>ROUND(IF(AQ84="1",BI84,0),2)</f>
        <v>0</v>
      </c>
      <c r="AD84" s="59">
        <f>ROUND(IF(AQ84="7",BH84,0),2)</f>
        <v>0</v>
      </c>
      <c r="AE84" s="59">
        <f>ROUND(IF(AQ84="7",BI84,0),2)</f>
        <v>0</v>
      </c>
      <c r="AF84" s="59">
        <f>ROUND(IF(AQ84="2",BH84,0),2)</f>
        <v>0</v>
      </c>
      <c r="AG84" s="59">
        <f>ROUND(IF(AQ84="2",BI84,0),2)</f>
        <v>0</v>
      </c>
      <c r="AH84" s="59">
        <f>ROUND(IF(AQ84="0",BJ84,0),2)</f>
        <v>0</v>
      </c>
      <c r="AI84" s="46" t="s">
        <v>471</v>
      </c>
      <c r="AJ84" s="59">
        <f>IF(AN84=0,I84,0)</f>
        <v>0</v>
      </c>
      <c r="AK84" s="59">
        <f>IF(AN84=12,I84,0)</f>
        <v>0</v>
      </c>
      <c r="AL84" s="59">
        <f>IF(AN84=21,I84,0)</f>
        <v>0</v>
      </c>
      <c r="AN84" s="59">
        <v>12</v>
      </c>
      <c r="AO84" s="59">
        <f>H84*0</f>
        <v>0</v>
      </c>
      <c r="AP84" s="59">
        <f>H84*(1-0)</f>
        <v>0</v>
      </c>
      <c r="AQ84" s="61" t="s">
        <v>137</v>
      </c>
      <c r="AV84" s="59">
        <f>ROUND(AW84+AX84,2)</f>
        <v>0</v>
      </c>
      <c r="AW84" s="59">
        <f>ROUND(G84*AO84,2)</f>
        <v>0</v>
      </c>
      <c r="AX84" s="59">
        <f>ROUND(G84*AP84,2)</f>
        <v>0</v>
      </c>
      <c r="AY84" s="61" t="s">
        <v>187</v>
      </c>
      <c r="AZ84" s="61" t="s">
        <v>476</v>
      </c>
      <c r="BA84" s="46" t="s">
        <v>474</v>
      </c>
      <c r="BC84" s="59">
        <f>AW84+AX84</f>
        <v>0</v>
      </c>
      <c r="BD84" s="59">
        <f>H84/(100-BE84)*100</f>
        <v>0</v>
      </c>
      <c r="BE84" s="59">
        <v>0</v>
      </c>
      <c r="BF84" s="59">
        <f>L84</f>
        <v>0</v>
      </c>
      <c r="BH84" s="59">
        <f>G84*AO84</f>
        <v>0</v>
      </c>
      <c r="BI84" s="59">
        <f>G84*AP84</f>
        <v>0</v>
      </c>
      <c r="BJ84" s="59">
        <f>G84*H84</f>
        <v>0</v>
      </c>
      <c r="BK84" s="59"/>
      <c r="BL84" s="59">
        <v>766</v>
      </c>
      <c r="BW84" s="59">
        <v>12</v>
      </c>
      <c r="BX84" s="16" t="s">
        <v>223</v>
      </c>
    </row>
    <row r="85" spans="1:76" ht="15" customHeight="1" x14ac:dyDescent="0.25">
      <c r="A85" s="54"/>
      <c r="B85" s="55" t="s">
        <v>471</v>
      </c>
      <c r="C85" s="55" t="s">
        <v>397</v>
      </c>
      <c r="D85" s="104" t="s">
        <v>398</v>
      </c>
      <c r="E85" s="104"/>
      <c r="F85" s="56" t="s">
        <v>88</v>
      </c>
      <c r="G85" s="56" t="s">
        <v>88</v>
      </c>
      <c r="H85" s="56" t="s">
        <v>88</v>
      </c>
      <c r="I85" s="39">
        <f>SUM(I86)</f>
        <v>0</v>
      </c>
      <c r="J85" s="46"/>
      <c r="K85" s="46"/>
      <c r="L85" s="39">
        <f>SUM(L86)</f>
        <v>0.261324</v>
      </c>
      <c r="M85" s="57"/>
      <c r="AI85" s="46" t="s">
        <v>471</v>
      </c>
      <c r="AS85" s="39">
        <f>SUM(AJ86)</f>
        <v>0</v>
      </c>
      <c r="AT85" s="39">
        <f>SUM(AK86)</f>
        <v>0</v>
      </c>
      <c r="AU85" s="39">
        <f>SUM(AL86)</f>
        <v>0</v>
      </c>
    </row>
    <row r="86" spans="1:76" ht="15" customHeight="1" x14ac:dyDescent="0.25">
      <c r="A86" s="58" t="s">
        <v>269</v>
      </c>
      <c r="B86" s="18" t="s">
        <v>471</v>
      </c>
      <c r="C86" s="18" t="s">
        <v>399</v>
      </c>
      <c r="D86" s="8" t="s">
        <v>400</v>
      </c>
      <c r="E86" s="8"/>
      <c r="F86" s="18" t="s">
        <v>114</v>
      </c>
      <c r="G86" s="59">
        <f>'Stavební rozpočet'!G316</f>
        <v>24.4</v>
      </c>
      <c r="H86" s="59">
        <f>'Stavební rozpočet'!H316</f>
        <v>0</v>
      </c>
      <c r="I86" s="59">
        <f>ROUND(G86*H86,2)</f>
        <v>0</v>
      </c>
      <c r="J86" s="59">
        <f>'Stavební rozpočet'!J316</f>
        <v>1.0710000000000001E-2</v>
      </c>
      <c r="K86" s="59">
        <f>'Stavební rozpočet'!K316</f>
        <v>1.0710000000000001E-2</v>
      </c>
      <c r="L86" s="59">
        <f>G86*K86</f>
        <v>0.261324</v>
      </c>
      <c r="M86" s="60" t="s">
        <v>115</v>
      </c>
      <c r="Z86" s="59">
        <f>ROUND(IF(AQ86="5",BJ86,0),2)</f>
        <v>0</v>
      </c>
      <c r="AB86" s="59">
        <f>ROUND(IF(AQ86="1",BH86,0),2)</f>
        <v>0</v>
      </c>
      <c r="AC86" s="59">
        <f>ROUND(IF(AQ86="1",BI86,0),2)</f>
        <v>0</v>
      </c>
      <c r="AD86" s="59">
        <f>ROUND(IF(AQ86="7",BH86,0),2)</f>
        <v>0</v>
      </c>
      <c r="AE86" s="59">
        <f>ROUND(IF(AQ86="7",BI86,0),2)</f>
        <v>0</v>
      </c>
      <c r="AF86" s="59">
        <f>ROUND(IF(AQ86="2",BH86,0),2)</f>
        <v>0</v>
      </c>
      <c r="AG86" s="59">
        <f>ROUND(IF(AQ86="2",BI86,0),2)</f>
        <v>0</v>
      </c>
      <c r="AH86" s="59">
        <f>ROUND(IF(AQ86="0",BJ86,0),2)</f>
        <v>0</v>
      </c>
      <c r="AI86" s="46" t="s">
        <v>471</v>
      </c>
      <c r="AJ86" s="59">
        <f>IF(AN86=0,I86,0)</f>
        <v>0</v>
      </c>
      <c r="AK86" s="59">
        <f>IF(AN86=12,I86,0)</f>
        <v>0</v>
      </c>
      <c r="AL86" s="59">
        <f>IF(AN86=21,I86,0)</f>
        <v>0</v>
      </c>
      <c r="AN86" s="59">
        <v>12</v>
      </c>
      <c r="AO86" s="59">
        <f>H86*0.791824982</f>
        <v>0</v>
      </c>
      <c r="AP86" s="59">
        <f>H86*(1-0.791824982)</f>
        <v>0</v>
      </c>
      <c r="AQ86" s="61" t="s">
        <v>150</v>
      </c>
      <c r="AV86" s="59">
        <f>ROUND(AW86+AX86,2)</f>
        <v>0</v>
      </c>
      <c r="AW86" s="59">
        <f>ROUND(G86*AO86,2)</f>
        <v>0</v>
      </c>
      <c r="AX86" s="59">
        <f>ROUND(G86*AP86,2)</f>
        <v>0</v>
      </c>
      <c r="AY86" s="61" t="s">
        <v>401</v>
      </c>
      <c r="AZ86" s="61" t="s">
        <v>478</v>
      </c>
      <c r="BA86" s="46" t="s">
        <v>474</v>
      </c>
      <c r="BC86" s="59">
        <f>AW86+AX86</f>
        <v>0</v>
      </c>
      <c r="BD86" s="59">
        <f>H86/(100-BE86)*100</f>
        <v>0</v>
      </c>
      <c r="BE86" s="59">
        <v>0</v>
      </c>
      <c r="BF86" s="59">
        <f>L86</f>
        <v>0.261324</v>
      </c>
      <c r="BH86" s="59">
        <f>G86*AO86</f>
        <v>0</v>
      </c>
      <c r="BI86" s="59">
        <f>G86*AP86</f>
        <v>0</v>
      </c>
      <c r="BJ86" s="59">
        <f>G86*H86</f>
        <v>0</v>
      </c>
      <c r="BK86" s="59"/>
      <c r="BL86" s="59">
        <v>777</v>
      </c>
      <c r="BW86" s="59">
        <v>12</v>
      </c>
      <c r="BX86" s="16" t="s">
        <v>400</v>
      </c>
    </row>
    <row r="87" spans="1:76" x14ac:dyDescent="0.25">
      <c r="A87" s="62"/>
      <c r="D87" s="63" t="s">
        <v>403</v>
      </c>
      <c r="E87" s="63"/>
      <c r="G87" s="64">
        <v>24.4</v>
      </c>
      <c r="M87" s="65"/>
    </row>
    <row r="88" spans="1:76" ht="15" customHeight="1" x14ac:dyDescent="0.25">
      <c r="A88" s="54"/>
      <c r="B88" s="55" t="s">
        <v>471</v>
      </c>
      <c r="C88" s="55" t="s">
        <v>225</v>
      </c>
      <c r="D88" s="104" t="s">
        <v>226</v>
      </c>
      <c r="E88" s="104"/>
      <c r="F88" s="56" t="s">
        <v>88</v>
      </c>
      <c r="G88" s="56" t="s">
        <v>88</v>
      </c>
      <c r="H88" s="56" t="s">
        <v>88</v>
      </c>
      <c r="I88" s="39">
        <f>SUM(I89:I101)</f>
        <v>0</v>
      </c>
      <c r="J88" s="46"/>
      <c r="K88" s="46"/>
      <c r="L88" s="39">
        <f>SUM(L89:L101)</f>
        <v>1.7443960000000001E-2</v>
      </c>
      <c r="M88" s="57"/>
      <c r="AI88" s="46" t="s">
        <v>471</v>
      </c>
      <c r="AS88" s="39">
        <f>SUM(AJ89:AJ101)</f>
        <v>0</v>
      </c>
      <c r="AT88" s="39">
        <f>SUM(AK89:AK101)</f>
        <v>0</v>
      </c>
      <c r="AU88" s="39">
        <f>SUM(AL89:AL101)</f>
        <v>0</v>
      </c>
    </row>
    <row r="89" spans="1:76" ht="15" customHeight="1" x14ac:dyDescent="0.25">
      <c r="A89" s="58" t="s">
        <v>279</v>
      </c>
      <c r="B89" s="18" t="s">
        <v>471</v>
      </c>
      <c r="C89" s="18" t="s">
        <v>228</v>
      </c>
      <c r="D89" s="8" t="s">
        <v>229</v>
      </c>
      <c r="E89" s="8"/>
      <c r="F89" s="18" t="s">
        <v>114</v>
      </c>
      <c r="G89" s="59">
        <f>'Stavební rozpočet'!G319</f>
        <v>6.1539999999999999</v>
      </c>
      <c r="H89" s="59">
        <f>'Stavební rozpočet'!H319</f>
        <v>0</v>
      </c>
      <c r="I89" s="59">
        <f>ROUND(G89*H89,2)</f>
        <v>0</v>
      </c>
      <c r="J89" s="59">
        <f>'Stavební rozpočet'!J319</f>
        <v>2.9E-4</v>
      </c>
      <c r="K89" s="59">
        <f>'Stavební rozpočet'!K319</f>
        <v>2.9E-4</v>
      </c>
      <c r="L89" s="59">
        <f>G89*K89</f>
        <v>1.78466E-3</v>
      </c>
      <c r="M89" s="60" t="s">
        <v>115</v>
      </c>
      <c r="Z89" s="59">
        <f>ROUND(IF(AQ89="5",BJ89,0),2)</f>
        <v>0</v>
      </c>
      <c r="AB89" s="59">
        <f>ROUND(IF(AQ89="1",BH89,0),2)</f>
        <v>0</v>
      </c>
      <c r="AC89" s="59">
        <f>ROUND(IF(AQ89="1",BI89,0),2)</f>
        <v>0</v>
      </c>
      <c r="AD89" s="59">
        <f>ROUND(IF(AQ89="7",BH89,0),2)</f>
        <v>0</v>
      </c>
      <c r="AE89" s="59">
        <f>ROUND(IF(AQ89="7",BI89,0),2)</f>
        <v>0</v>
      </c>
      <c r="AF89" s="59">
        <f>ROUND(IF(AQ89="2",BH89,0),2)</f>
        <v>0</v>
      </c>
      <c r="AG89" s="59">
        <f>ROUND(IF(AQ89="2",BI89,0),2)</f>
        <v>0</v>
      </c>
      <c r="AH89" s="59">
        <f>ROUND(IF(AQ89="0",BJ89,0),2)</f>
        <v>0</v>
      </c>
      <c r="AI89" s="46" t="s">
        <v>471</v>
      </c>
      <c r="AJ89" s="59">
        <f>IF(AN89=0,I89,0)</f>
        <v>0</v>
      </c>
      <c r="AK89" s="59">
        <f>IF(AN89=12,I89,0)</f>
        <v>0</v>
      </c>
      <c r="AL89" s="59">
        <f>IF(AN89=21,I89,0)</f>
        <v>0</v>
      </c>
      <c r="AN89" s="59">
        <v>12</v>
      </c>
      <c r="AO89" s="59">
        <f>H89*0.178147182</f>
        <v>0</v>
      </c>
      <c r="AP89" s="59">
        <f>H89*(1-0.178147182)</f>
        <v>0</v>
      </c>
      <c r="AQ89" s="61" t="s">
        <v>150</v>
      </c>
      <c r="AV89" s="59">
        <f>ROUND(AW89+AX89,2)</f>
        <v>0</v>
      </c>
      <c r="AW89" s="59">
        <f>ROUND(G89*AO89,2)</f>
        <v>0</v>
      </c>
      <c r="AX89" s="59">
        <f>ROUND(G89*AP89,2)</f>
        <v>0</v>
      </c>
      <c r="AY89" s="61" t="s">
        <v>230</v>
      </c>
      <c r="AZ89" s="61" t="s">
        <v>479</v>
      </c>
      <c r="BA89" s="46" t="s">
        <v>474</v>
      </c>
      <c r="BC89" s="59">
        <f>AW89+AX89</f>
        <v>0</v>
      </c>
      <c r="BD89" s="59">
        <f>H89/(100-BE89)*100</f>
        <v>0</v>
      </c>
      <c r="BE89" s="59">
        <v>0</v>
      </c>
      <c r="BF89" s="59">
        <f>L89</f>
        <v>1.78466E-3</v>
      </c>
      <c r="BH89" s="59">
        <f>G89*AO89</f>
        <v>0</v>
      </c>
      <c r="BI89" s="59">
        <f>G89*AP89</f>
        <v>0</v>
      </c>
      <c r="BJ89" s="59">
        <f>G89*H89</f>
        <v>0</v>
      </c>
      <c r="BK89" s="59"/>
      <c r="BL89" s="59">
        <v>783</v>
      </c>
      <c r="BW89" s="59">
        <v>12</v>
      </c>
      <c r="BX89" s="16" t="s">
        <v>229</v>
      </c>
    </row>
    <row r="90" spans="1:76" ht="13.5" customHeight="1" x14ac:dyDescent="0.25">
      <c r="A90" s="62"/>
      <c r="D90" s="105" t="s">
        <v>232</v>
      </c>
      <c r="E90" s="105"/>
      <c r="F90" s="105"/>
      <c r="G90" s="105"/>
      <c r="H90" s="105"/>
      <c r="I90" s="105"/>
      <c r="J90" s="105"/>
      <c r="K90" s="105"/>
      <c r="L90" s="105"/>
      <c r="M90" s="105"/>
    </row>
    <row r="91" spans="1:76" x14ac:dyDescent="0.25">
      <c r="A91" s="62"/>
      <c r="D91" s="63" t="s">
        <v>405</v>
      </c>
      <c r="E91" s="63"/>
      <c r="G91" s="64">
        <v>6.1539999999999999</v>
      </c>
      <c r="M91" s="65"/>
    </row>
    <row r="92" spans="1:76" ht="15" customHeight="1" x14ac:dyDescent="0.25">
      <c r="A92" s="58" t="s">
        <v>286</v>
      </c>
      <c r="B92" s="18" t="s">
        <v>471</v>
      </c>
      <c r="C92" s="18" t="s">
        <v>235</v>
      </c>
      <c r="D92" s="8" t="s">
        <v>236</v>
      </c>
      <c r="E92" s="8"/>
      <c r="F92" s="18" t="s">
        <v>114</v>
      </c>
      <c r="G92" s="59">
        <f>'Stavební rozpočet'!G321</f>
        <v>8.75</v>
      </c>
      <c r="H92" s="59">
        <f>'Stavební rozpočet'!H321</f>
        <v>0</v>
      </c>
      <c r="I92" s="59">
        <f>ROUND(G92*H92,2)</f>
        <v>0</v>
      </c>
      <c r="J92" s="59">
        <f>'Stavební rozpočet'!J321</f>
        <v>2.7E-4</v>
      </c>
      <c r="K92" s="59">
        <f>'Stavební rozpočet'!K321</f>
        <v>2.7E-4</v>
      </c>
      <c r="L92" s="59">
        <f>G92*K92</f>
        <v>2.3625E-3</v>
      </c>
      <c r="M92" s="60" t="s">
        <v>115</v>
      </c>
      <c r="Z92" s="59">
        <f>ROUND(IF(AQ92="5",BJ92,0),2)</f>
        <v>0</v>
      </c>
      <c r="AB92" s="59">
        <f>ROUND(IF(AQ92="1",BH92,0),2)</f>
        <v>0</v>
      </c>
      <c r="AC92" s="59">
        <f>ROUND(IF(AQ92="1",BI92,0),2)</f>
        <v>0</v>
      </c>
      <c r="AD92" s="59">
        <f>ROUND(IF(AQ92="7",BH92,0),2)</f>
        <v>0</v>
      </c>
      <c r="AE92" s="59">
        <f>ROUND(IF(AQ92="7",BI92,0),2)</f>
        <v>0</v>
      </c>
      <c r="AF92" s="59">
        <f>ROUND(IF(AQ92="2",BH92,0),2)</f>
        <v>0</v>
      </c>
      <c r="AG92" s="59">
        <f>ROUND(IF(AQ92="2",BI92,0),2)</f>
        <v>0</v>
      </c>
      <c r="AH92" s="59">
        <f>ROUND(IF(AQ92="0",BJ92,0),2)</f>
        <v>0</v>
      </c>
      <c r="AI92" s="46" t="s">
        <v>471</v>
      </c>
      <c r="AJ92" s="59">
        <f>IF(AN92=0,I92,0)</f>
        <v>0</v>
      </c>
      <c r="AK92" s="59">
        <f>IF(AN92=12,I92,0)</f>
        <v>0</v>
      </c>
      <c r="AL92" s="59">
        <f>IF(AN92=21,I92,0)</f>
        <v>0</v>
      </c>
      <c r="AN92" s="59">
        <v>12</v>
      </c>
      <c r="AO92" s="59">
        <f>H92*0.140415743</f>
        <v>0</v>
      </c>
      <c r="AP92" s="59">
        <f>H92*(1-0.140415743)</f>
        <v>0</v>
      </c>
      <c r="AQ92" s="61" t="s">
        <v>150</v>
      </c>
      <c r="AV92" s="59">
        <f>ROUND(AW92+AX92,2)</f>
        <v>0</v>
      </c>
      <c r="AW92" s="59">
        <f>ROUND(G92*AO92,2)</f>
        <v>0</v>
      </c>
      <c r="AX92" s="59">
        <f>ROUND(G92*AP92,2)</f>
        <v>0</v>
      </c>
      <c r="AY92" s="61" t="s">
        <v>230</v>
      </c>
      <c r="AZ92" s="61" t="s">
        <v>479</v>
      </c>
      <c r="BA92" s="46" t="s">
        <v>474</v>
      </c>
      <c r="BC92" s="59">
        <f>AW92+AX92</f>
        <v>0</v>
      </c>
      <c r="BD92" s="59">
        <f>H92/(100-BE92)*100</f>
        <v>0</v>
      </c>
      <c r="BE92" s="59">
        <v>0</v>
      </c>
      <c r="BF92" s="59">
        <f>L92</f>
        <v>2.3625E-3</v>
      </c>
      <c r="BH92" s="59">
        <f>G92*AO92</f>
        <v>0</v>
      </c>
      <c r="BI92" s="59">
        <f>G92*AP92</f>
        <v>0</v>
      </c>
      <c r="BJ92" s="59">
        <f>G92*H92</f>
        <v>0</v>
      </c>
      <c r="BK92" s="59"/>
      <c r="BL92" s="59">
        <v>783</v>
      </c>
      <c r="BW92" s="59">
        <v>12</v>
      </c>
      <c r="BX92" s="16" t="s">
        <v>236</v>
      </c>
    </row>
    <row r="93" spans="1:76" ht="13.5" customHeight="1" x14ac:dyDescent="0.25">
      <c r="A93" s="62"/>
      <c r="D93" s="105" t="s">
        <v>237</v>
      </c>
      <c r="E93" s="105"/>
      <c r="F93" s="105"/>
      <c r="G93" s="105"/>
      <c r="H93" s="105"/>
      <c r="I93" s="105"/>
      <c r="J93" s="105"/>
      <c r="K93" s="105"/>
      <c r="L93" s="105"/>
      <c r="M93" s="105"/>
    </row>
    <row r="94" spans="1:76" x14ac:dyDescent="0.25">
      <c r="A94" s="62"/>
      <c r="D94" s="63" t="s">
        <v>406</v>
      </c>
      <c r="E94" s="63"/>
      <c r="G94" s="64">
        <v>8.75</v>
      </c>
      <c r="M94" s="65"/>
    </row>
    <row r="95" spans="1:76" ht="15" customHeight="1" x14ac:dyDescent="0.25">
      <c r="A95" s="58" t="s">
        <v>292</v>
      </c>
      <c r="B95" s="18" t="s">
        <v>471</v>
      </c>
      <c r="C95" s="18" t="s">
        <v>407</v>
      </c>
      <c r="D95" s="8" t="s">
        <v>408</v>
      </c>
      <c r="E95" s="8"/>
      <c r="F95" s="18" t="s">
        <v>114</v>
      </c>
      <c r="G95" s="59">
        <f>'Stavební rozpočet'!G323</f>
        <v>30.22</v>
      </c>
      <c r="H95" s="59">
        <f>'Stavební rozpočet'!H323</f>
        <v>0</v>
      </c>
      <c r="I95" s="59">
        <f>ROUND(G95*H95,2)</f>
        <v>0</v>
      </c>
      <c r="J95" s="59">
        <f>'Stavební rozpočet'!J323</f>
        <v>3.6000000000000002E-4</v>
      </c>
      <c r="K95" s="59">
        <f>'Stavební rozpočet'!K323</f>
        <v>3.6000000000000002E-4</v>
      </c>
      <c r="L95" s="59">
        <f>G95*K95</f>
        <v>1.08792E-2</v>
      </c>
      <c r="M95" s="60" t="s">
        <v>115</v>
      </c>
      <c r="Z95" s="59">
        <f>ROUND(IF(AQ95="5",BJ95,0),2)</f>
        <v>0</v>
      </c>
      <c r="AB95" s="59">
        <f>ROUND(IF(AQ95="1",BH95,0),2)</f>
        <v>0</v>
      </c>
      <c r="AC95" s="59">
        <f>ROUND(IF(AQ95="1",BI95,0),2)</f>
        <v>0</v>
      </c>
      <c r="AD95" s="59">
        <f>ROUND(IF(AQ95="7",BH95,0),2)</f>
        <v>0</v>
      </c>
      <c r="AE95" s="59">
        <f>ROUND(IF(AQ95="7",BI95,0),2)</f>
        <v>0</v>
      </c>
      <c r="AF95" s="59">
        <f>ROUND(IF(AQ95="2",BH95,0),2)</f>
        <v>0</v>
      </c>
      <c r="AG95" s="59">
        <f>ROUND(IF(AQ95="2",BI95,0),2)</f>
        <v>0</v>
      </c>
      <c r="AH95" s="59">
        <f>ROUND(IF(AQ95="0",BJ95,0),2)</f>
        <v>0</v>
      </c>
      <c r="AI95" s="46" t="s">
        <v>471</v>
      </c>
      <c r="AJ95" s="59">
        <f>IF(AN95=0,I95,0)</f>
        <v>0</v>
      </c>
      <c r="AK95" s="59">
        <f>IF(AN95=12,I95,0)</f>
        <v>0</v>
      </c>
      <c r="AL95" s="59">
        <f>IF(AN95=21,I95,0)</f>
        <v>0</v>
      </c>
      <c r="AN95" s="59">
        <v>12</v>
      </c>
      <c r="AO95" s="59">
        <f>H95*0.23711537</f>
        <v>0</v>
      </c>
      <c r="AP95" s="59">
        <f>H95*(1-0.23711537)</f>
        <v>0</v>
      </c>
      <c r="AQ95" s="61" t="s">
        <v>150</v>
      </c>
      <c r="AV95" s="59">
        <f>ROUND(AW95+AX95,2)</f>
        <v>0</v>
      </c>
      <c r="AW95" s="59">
        <f>ROUND(G95*AO95,2)</f>
        <v>0</v>
      </c>
      <c r="AX95" s="59">
        <f>ROUND(G95*AP95,2)</f>
        <v>0</v>
      </c>
      <c r="AY95" s="61" t="s">
        <v>230</v>
      </c>
      <c r="AZ95" s="61" t="s">
        <v>479</v>
      </c>
      <c r="BA95" s="46" t="s">
        <v>474</v>
      </c>
      <c r="BC95" s="59">
        <f>AW95+AX95</f>
        <v>0</v>
      </c>
      <c r="BD95" s="59">
        <f>H95/(100-BE95)*100</f>
        <v>0</v>
      </c>
      <c r="BE95" s="59">
        <v>0</v>
      </c>
      <c r="BF95" s="59">
        <f>L95</f>
        <v>1.08792E-2</v>
      </c>
      <c r="BH95" s="59">
        <f>G95*AO95</f>
        <v>0</v>
      </c>
      <c r="BI95" s="59">
        <f>G95*AP95</f>
        <v>0</v>
      </c>
      <c r="BJ95" s="59">
        <f>G95*H95</f>
        <v>0</v>
      </c>
      <c r="BK95" s="59"/>
      <c r="BL95" s="59">
        <v>783</v>
      </c>
      <c r="BW95" s="59">
        <v>12</v>
      </c>
      <c r="BX95" s="16" t="s">
        <v>408</v>
      </c>
    </row>
    <row r="96" spans="1:76" ht="13.5" customHeight="1" x14ac:dyDescent="0.25">
      <c r="A96" s="62"/>
      <c r="D96" s="105" t="s">
        <v>409</v>
      </c>
      <c r="E96" s="105"/>
      <c r="F96" s="105"/>
      <c r="G96" s="105"/>
      <c r="H96" s="105"/>
      <c r="I96" s="105"/>
      <c r="J96" s="105"/>
      <c r="K96" s="105"/>
      <c r="L96" s="105"/>
      <c r="M96" s="105"/>
    </row>
    <row r="97" spans="1:76" x14ac:dyDescent="0.25">
      <c r="A97" s="62"/>
      <c r="D97" s="63" t="s">
        <v>410</v>
      </c>
      <c r="E97" s="63"/>
      <c r="G97" s="64">
        <v>30.22</v>
      </c>
      <c r="M97" s="65"/>
    </row>
    <row r="98" spans="1:76" ht="15" customHeight="1" x14ac:dyDescent="0.25">
      <c r="A98" s="58" t="s">
        <v>296</v>
      </c>
      <c r="B98" s="18" t="s">
        <v>471</v>
      </c>
      <c r="C98" s="18" t="s">
        <v>411</v>
      </c>
      <c r="D98" s="8" t="s">
        <v>412</v>
      </c>
      <c r="E98" s="8"/>
      <c r="F98" s="18" t="s">
        <v>114</v>
      </c>
      <c r="G98" s="59">
        <f>'Stavební rozpočet'!G325</f>
        <v>30.22</v>
      </c>
      <c r="H98" s="59">
        <f>'Stavební rozpočet'!H325</f>
        <v>0</v>
      </c>
      <c r="I98" s="59">
        <f>ROUND(G98*H98,2)</f>
        <v>0</v>
      </c>
      <c r="J98" s="59">
        <f>'Stavební rozpočet'!J325</f>
        <v>1.0000000000000001E-5</v>
      </c>
      <c r="K98" s="59">
        <f>'Stavební rozpočet'!K325</f>
        <v>1.0000000000000001E-5</v>
      </c>
      <c r="L98" s="59">
        <f>G98*K98</f>
        <v>3.0220000000000003E-4</v>
      </c>
      <c r="M98" s="60" t="s">
        <v>115</v>
      </c>
      <c r="Z98" s="59">
        <f>ROUND(IF(AQ98="5",BJ98,0),2)</f>
        <v>0</v>
      </c>
      <c r="AB98" s="59">
        <f>ROUND(IF(AQ98="1",BH98,0),2)</f>
        <v>0</v>
      </c>
      <c r="AC98" s="59">
        <f>ROUND(IF(AQ98="1",BI98,0),2)</f>
        <v>0</v>
      </c>
      <c r="AD98" s="59">
        <f>ROUND(IF(AQ98="7",BH98,0),2)</f>
        <v>0</v>
      </c>
      <c r="AE98" s="59">
        <f>ROUND(IF(AQ98="7",BI98,0),2)</f>
        <v>0</v>
      </c>
      <c r="AF98" s="59">
        <f>ROUND(IF(AQ98="2",BH98,0),2)</f>
        <v>0</v>
      </c>
      <c r="AG98" s="59">
        <f>ROUND(IF(AQ98="2",BI98,0),2)</f>
        <v>0</v>
      </c>
      <c r="AH98" s="59">
        <f>ROUND(IF(AQ98="0",BJ98,0),2)</f>
        <v>0</v>
      </c>
      <c r="AI98" s="46" t="s">
        <v>471</v>
      </c>
      <c r="AJ98" s="59">
        <f>IF(AN98=0,I98,0)</f>
        <v>0</v>
      </c>
      <c r="AK98" s="59">
        <f>IF(AN98=12,I98,0)</f>
        <v>0</v>
      </c>
      <c r="AL98" s="59">
        <f>IF(AN98=21,I98,0)</f>
        <v>0</v>
      </c>
      <c r="AN98" s="59">
        <v>12</v>
      </c>
      <c r="AO98" s="59">
        <f>H98*0.06128009</f>
        <v>0</v>
      </c>
      <c r="AP98" s="59">
        <f>H98*(1-0.06128009)</f>
        <v>0</v>
      </c>
      <c r="AQ98" s="61" t="s">
        <v>150</v>
      </c>
      <c r="AV98" s="59">
        <f>ROUND(AW98+AX98,2)</f>
        <v>0</v>
      </c>
      <c r="AW98" s="59">
        <f>ROUND(G98*AO98,2)</f>
        <v>0</v>
      </c>
      <c r="AX98" s="59">
        <f>ROUND(G98*AP98,2)</f>
        <v>0</v>
      </c>
      <c r="AY98" s="61" t="s">
        <v>230</v>
      </c>
      <c r="AZ98" s="61" t="s">
        <v>479</v>
      </c>
      <c r="BA98" s="46" t="s">
        <v>474</v>
      </c>
      <c r="BC98" s="59">
        <f>AW98+AX98</f>
        <v>0</v>
      </c>
      <c r="BD98" s="59">
        <f>H98/(100-BE98)*100</f>
        <v>0</v>
      </c>
      <c r="BE98" s="59">
        <v>0</v>
      </c>
      <c r="BF98" s="59">
        <f>L98</f>
        <v>3.0220000000000003E-4</v>
      </c>
      <c r="BH98" s="59">
        <f>G98*AO98</f>
        <v>0</v>
      </c>
      <c r="BI98" s="59">
        <f>G98*AP98</f>
        <v>0</v>
      </c>
      <c r="BJ98" s="59">
        <f>G98*H98</f>
        <v>0</v>
      </c>
      <c r="BK98" s="59"/>
      <c r="BL98" s="59">
        <v>783</v>
      </c>
      <c r="BW98" s="59">
        <v>12</v>
      </c>
      <c r="BX98" s="16" t="s">
        <v>412</v>
      </c>
    </row>
    <row r="99" spans="1:76" ht="13.5" customHeight="1" x14ac:dyDescent="0.25">
      <c r="A99" s="62"/>
      <c r="D99" s="105" t="s">
        <v>413</v>
      </c>
      <c r="E99" s="105"/>
      <c r="F99" s="105"/>
      <c r="G99" s="105"/>
      <c r="H99" s="105"/>
      <c r="I99" s="105"/>
      <c r="J99" s="105"/>
      <c r="K99" s="105"/>
      <c r="L99" s="105"/>
      <c r="M99" s="105"/>
    </row>
    <row r="100" spans="1:76" x14ac:dyDescent="0.25">
      <c r="A100" s="62"/>
      <c r="D100" s="63" t="s">
        <v>410</v>
      </c>
      <c r="E100" s="63"/>
      <c r="G100" s="64">
        <v>30.22</v>
      </c>
      <c r="M100" s="65"/>
    </row>
    <row r="101" spans="1:76" ht="15" customHeight="1" x14ac:dyDescent="0.25">
      <c r="A101" s="58" t="s">
        <v>301</v>
      </c>
      <c r="B101" s="18" t="s">
        <v>471</v>
      </c>
      <c r="C101" s="18" t="s">
        <v>414</v>
      </c>
      <c r="D101" s="8" t="s">
        <v>412</v>
      </c>
      <c r="E101" s="8"/>
      <c r="F101" s="18" t="s">
        <v>114</v>
      </c>
      <c r="G101" s="59">
        <f>'Stavební rozpočet'!G327</f>
        <v>30.22</v>
      </c>
      <c r="H101" s="59">
        <f>'Stavební rozpočet'!H327</f>
        <v>0</v>
      </c>
      <c r="I101" s="59">
        <f>ROUND(G101*H101,2)</f>
        <v>0</v>
      </c>
      <c r="J101" s="59">
        <f>'Stavební rozpočet'!J327</f>
        <v>6.9999999999999994E-5</v>
      </c>
      <c r="K101" s="59">
        <f>'Stavební rozpočet'!K327</f>
        <v>6.9999999999999994E-5</v>
      </c>
      <c r="L101" s="59">
        <f>G101*K101</f>
        <v>2.1153999999999999E-3</v>
      </c>
      <c r="M101" s="60" t="s">
        <v>115</v>
      </c>
      <c r="Z101" s="59">
        <f>ROUND(IF(AQ101="5",BJ101,0),2)</f>
        <v>0</v>
      </c>
      <c r="AB101" s="59">
        <f>ROUND(IF(AQ101="1",BH101,0),2)</f>
        <v>0</v>
      </c>
      <c r="AC101" s="59">
        <f>ROUND(IF(AQ101="1",BI101,0),2)</f>
        <v>0</v>
      </c>
      <c r="AD101" s="59">
        <f>ROUND(IF(AQ101="7",BH101,0),2)</f>
        <v>0</v>
      </c>
      <c r="AE101" s="59">
        <f>ROUND(IF(AQ101="7",BI101,0),2)</f>
        <v>0</v>
      </c>
      <c r="AF101" s="59">
        <f>ROUND(IF(AQ101="2",BH101,0),2)</f>
        <v>0</v>
      </c>
      <c r="AG101" s="59">
        <f>ROUND(IF(AQ101="2",BI101,0),2)</f>
        <v>0</v>
      </c>
      <c r="AH101" s="59">
        <f>ROUND(IF(AQ101="0",BJ101,0),2)</f>
        <v>0</v>
      </c>
      <c r="AI101" s="46" t="s">
        <v>471</v>
      </c>
      <c r="AJ101" s="59">
        <f>IF(AN101=0,I101,0)</f>
        <v>0</v>
      </c>
      <c r="AK101" s="59">
        <f>IF(AN101=12,I101,0)</f>
        <v>0</v>
      </c>
      <c r="AL101" s="59">
        <f>IF(AN101=21,I101,0)</f>
        <v>0</v>
      </c>
      <c r="AN101" s="59">
        <v>12</v>
      </c>
      <c r="AO101" s="59">
        <f>H101*0.091915035</f>
        <v>0</v>
      </c>
      <c r="AP101" s="59">
        <f>H101*(1-0.091915035)</f>
        <v>0</v>
      </c>
      <c r="AQ101" s="61" t="s">
        <v>150</v>
      </c>
      <c r="AV101" s="59">
        <f>ROUND(AW101+AX101,2)</f>
        <v>0</v>
      </c>
      <c r="AW101" s="59">
        <f>ROUND(G101*AO101,2)</f>
        <v>0</v>
      </c>
      <c r="AX101" s="59">
        <f>ROUND(G101*AP101,2)</f>
        <v>0</v>
      </c>
      <c r="AY101" s="61" t="s">
        <v>230</v>
      </c>
      <c r="AZ101" s="61" t="s">
        <v>479</v>
      </c>
      <c r="BA101" s="46" t="s">
        <v>474</v>
      </c>
      <c r="BC101" s="59">
        <f>AW101+AX101</f>
        <v>0</v>
      </c>
      <c r="BD101" s="59">
        <f>H101/(100-BE101)*100</f>
        <v>0</v>
      </c>
      <c r="BE101" s="59">
        <v>0</v>
      </c>
      <c r="BF101" s="59">
        <f>L101</f>
        <v>2.1153999999999999E-3</v>
      </c>
      <c r="BH101" s="59">
        <f>G101*AO101</f>
        <v>0</v>
      </c>
      <c r="BI101" s="59">
        <f>G101*AP101</f>
        <v>0</v>
      </c>
      <c r="BJ101" s="59">
        <f>G101*H101</f>
        <v>0</v>
      </c>
      <c r="BK101" s="59"/>
      <c r="BL101" s="59">
        <v>783</v>
      </c>
      <c r="BW101" s="59">
        <v>12</v>
      </c>
      <c r="BX101" s="16" t="s">
        <v>412</v>
      </c>
    </row>
    <row r="102" spans="1:76" ht="13.5" customHeight="1" x14ac:dyDescent="0.25">
      <c r="A102" s="62"/>
      <c r="D102" s="105" t="s">
        <v>415</v>
      </c>
      <c r="E102" s="105"/>
      <c r="F102" s="105"/>
      <c r="G102" s="105"/>
      <c r="H102" s="105"/>
      <c r="I102" s="105"/>
      <c r="J102" s="105"/>
      <c r="K102" s="105"/>
      <c r="L102" s="105"/>
      <c r="M102" s="105"/>
    </row>
    <row r="103" spans="1:76" x14ac:dyDescent="0.25">
      <c r="A103" s="62"/>
      <c r="D103" s="63" t="s">
        <v>410</v>
      </c>
      <c r="E103" s="63"/>
      <c r="G103" s="64">
        <v>30.22</v>
      </c>
      <c r="M103" s="65"/>
    </row>
    <row r="104" spans="1:76" ht="15" customHeight="1" x14ac:dyDescent="0.25">
      <c r="A104" s="54"/>
      <c r="B104" s="55" t="s">
        <v>471</v>
      </c>
      <c r="C104" s="55" t="s">
        <v>239</v>
      </c>
      <c r="D104" s="104" t="s">
        <v>240</v>
      </c>
      <c r="E104" s="104"/>
      <c r="F104" s="56" t="s">
        <v>88</v>
      </c>
      <c r="G104" s="56" t="s">
        <v>88</v>
      </c>
      <c r="H104" s="56" t="s">
        <v>88</v>
      </c>
      <c r="I104" s="39">
        <f>SUM(I105:I111)</f>
        <v>0</v>
      </c>
      <c r="J104" s="46"/>
      <c r="K104" s="46"/>
      <c r="L104" s="39">
        <f>SUM(L105:L111)</f>
        <v>0.11506860000000001</v>
      </c>
      <c r="M104" s="57"/>
      <c r="AI104" s="46" t="s">
        <v>471</v>
      </c>
      <c r="AS104" s="39">
        <f>SUM(AJ105:AJ111)</f>
        <v>0</v>
      </c>
      <c r="AT104" s="39">
        <f>SUM(AK105:AK111)</f>
        <v>0</v>
      </c>
      <c r="AU104" s="39">
        <f>SUM(AL105:AL111)</f>
        <v>0</v>
      </c>
    </row>
    <row r="105" spans="1:76" ht="15" customHeight="1" x14ac:dyDescent="0.25">
      <c r="A105" s="58" t="s">
        <v>305</v>
      </c>
      <c r="B105" s="18" t="s">
        <v>471</v>
      </c>
      <c r="C105" s="18" t="s">
        <v>242</v>
      </c>
      <c r="D105" s="8" t="s">
        <v>243</v>
      </c>
      <c r="E105" s="8"/>
      <c r="F105" s="18" t="s">
        <v>114</v>
      </c>
      <c r="G105" s="59">
        <f>'Stavební rozpočet'!G330</f>
        <v>256.68</v>
      </c>
      <c r="H105" s="59">
        <f>'Stavební rozpočet'!H330</f>
        <v>0</v>
      </c>
      <c r="I105" s="59">
        <f>ROUND(G105*H105,2)</f>
        <v>0</v>
      </c>
      <c r="J105" s="59">
        <f>'Stavební rozpočet'!J330</f>
        <v>3.5E-4</v>
      </c>
      <c r="K105" s="59">
        <f>'Stavební rozpočet'!K330</f>
        <v>3.5E-4</v>
      </c>
      <c r="L105" s="59">
        <f>G105*K105</f>
        <v>8.9838000000000001E-2</v>
      </c>
      <c r="M105" s="60" t="s">
        <v>115</v>
      </c>
      <c r="Z105" s="59">
        <f>ROUND(IF(AQ105="5",BJ105,0),2)</f>
        <v>0</v>
      </c>
      <c r="AB105" s="59">
        <f>ROUND(IF(AQ105="1",BH105,0),2)</f>
        <v>0</v>
      </c>
      <c r="AC105" s="59">
        <f>ROUND(IF(AQ105="1",BI105,0),2)</f>
        <v>0</v>
      </c>
      <c r="AD105" s="59">
        <f>ROUND(IF(AQ105="7",BH105,0),2)</f>
        <v>0</v>
      </c>
      <c r="AE105" s="59">
        <f>ROUND(IF(AQ105="7",BI105,0),2)</f>
        <v>0</v>
      </c>
      <c r="AF105" s="59">
        <f>ROUND(IF(AQ105="2",BH105,0),2)</f>
        <v>0</v>
      </c>
      <c r="AG105" s="59">
        <f>ROUND(IF(AQ105="2",BI105,0),2)</f>
        <v>0</v>
      </c>
      <c r="AH105" s="59">
        <f>ROUND(IF(AQ105="0",BJ105,0),2)</f>
        <v>0</v>
      </c>
      <c r="AI105" s="46" t="s">
        <v>471</v>
      </c>
      <c r="AJ105" s="59">
        <f>IF(AN105=0,I105,0)</f>
        <v>0</v>
      </c>
      <c r="AK105" s="59">
        <f>IF(AN105=12,I105,0)</f>
        <v>0</v>
      </c>
      <c r="AL105" s="59">
        <f>IF(AN105=21,I105,0)</f>
        <v>0</v>
      </c>
      <c r="AN105" s="59">
        <v>12</v>
      </c>
      <c r="AO105" s="59">
        <f>H105*0.577223798</f>
        <v>0</v>
      </c>
      <c r="AP105" s="59">
        <f>H105*(1-0.577223798)</f>
        <v>0</v>
      </c>
      <c r="AQ105" s="61" t="s">
        <v>150</v>
      </c>
      <c r="AV105" s="59">
        <f>ROUND(AW105+AX105,2)</f>
        <v>0</v>
      </c>
      <c r="AW105" s="59">
        <f>ROUND(G105*AO105,2)</f>
        <v>0</v>
      </c>
      <c r="AX105" s="59">
        <f>ROUND(G105*AP105,2)</f>
        <v>0</v>
      </c>
      <c r="AY105" s="61" t="s">
        <v>244</v>
      </c>
      <c r="AZ105" s="61" t="s">
        <v>479</v>
      </c>
      <c r="BA105" s="46" t="s">
        <v>474</v>
      </c>
      <c r="BC105" s="59">
        <f>AW105+AX105</f>
        <v>0</v>
      </c>
      <c r="BD105" s="59">
        <f>H105/(100-BE105)*100</f>
        <v>0</v>
      </c>
      <c r="BE105" s="59">
        <v>0</v>
      </c>
      <c r="BF105" s="59">
        <f>L105</f>
        <v>8.9838000000000001E-2</v>
      </c>
      <c r="BH105" s="59">
        <f>G105*AO105</f>
        <v>0</v>
      </c>
      <c r="BI105" s="59">
        <f>G105*AP105</f>
        <v>0</v>
      </c>
      <c r="BJ105" s="59">
        <f>G105*H105</f>
        <v>0</v>
      </c>
      <c r="BK105" s="59"/>
      <c r="BL105" s="59">
        <v>784</v>
      </c>
      <c r="BW105" s="59">
        <v>12</v>
      </c>
      <c r="BX105" s="16" t="s">
        <v>243</v>
      </c>
    </row>
    <row r="106" spans="1:76" ht="13.5" customHeight="1" x14ac:dyDescent="0.25">
      <c r="A106" s="62"/>
      <c r="D106" s="105" t="s">
        <v>245</v>
      </c>
      <c r="E106" s="105"/>
      <c r="F106" s="105"/>
      <c r="G106" s="105"/>
      <c r="H106" s="105"/>
      <c r="I106" s="105"/>
      <c r="J106" s="105"/>
      <c r="K106" s="105"/>
      <c r="L106" s="105"/>
      <c r="M106" s="105"/>
    </row>
    <row r="107" spans="1:76" x14ac:dyDescent="0.25">
      <c r="A107" s="62"/>
      <c r="D107" s="63" t="s">
        <v>416</v>
      </c>
      <c r="E107" s="63"/>
      <c r="G107" s="64">
        <v>256.68</v>
      </c>
      <c r="M107" s="65"/>
    </row>
    <row r="108" spans="1:76" ht="15" customHeight="1" x14ac:dyDescent="0.25">
      <c r="A108" s="58" t="s">
        <v>308</v>
      </c>
      <c r="B108" s="18" t="s">
        <v>471</v>
      </c>
      <c r="C108" s="18" t="s">
        <v>249</v>
      </c>
      <c r="D108" s="8" t="s">
        <v>250</v>
      </c>
      <c r="E108" s="8"/>
      <c r="F108" s="18" t="s">
        <v>114</v>
      </c>
      <c r="G108" s="59">
        <f>'Stavební rozpočet'!G332</f>
        <v>26.1</v>
      </c>
      <c r="H108" s="59">
        <f>'Stavební rozpočet'!H332</f>
        <v>0</v>
      </c>
      <c r="I108" s="59">
        <f>ROUND(G108*H108,2)</f>
        <v>0</v>
      </c>
      <c r="J108" s="59">
        <f>'Stavební rozpočet'!J332</f>
        <v>7.6999999999999996E-4</v>
      </c>
      <c r="K108" s="59">
        <f>'Stavební rozpočet'!K332</f>
        <v>7.6999999999999996E-4</v>
      </c>
      <c r="L108" s="59">
        <f>G108*K108</f>
        <v>2.0097E-2</v>
      </c>
      <c r="M108" s="60" t="s">
        <v>115</v>
      </c>
      <c r="Z108" s="59">
        <f>ROUND(IF(AQ108="5",BJ108,0),2)</f>
        <v>0</v>
      </c>
      <c r="AB108" s="59">
        <f>ROUND(IF(AQ108="1",BH108,0),2)</f>
        <v>0</v>
      </c>
      <c r="AC108" s="59">
        <f>ROUND(IF(AQ108="1",BI108,0),2)</f>
        <v>0</v>
      </c>
      <c r="AD108" s="59">
        <f>ROUND(IF(AQ108="7",BH108,0),2)</f>
        <v>0</v>
      </c>
      <c r="AE108" s="59">
        <f>ROUND(IF(AQ108="7",BI108,0),2)</f>
        <v>0</v>
      </c>
      <c r="AF108" s="59">
        <f>ROUND(IF(AQ108="2",BH108,0),2)</f>
        <v>0</v>
      </c>
      <c r="AG108" s="59">
        <f>ROUND(IF(AQ108="2",BI108,0),2)</f>
        <v>0</v>
      </c>
      <c r="AH108" s="59">
        <f>ROUND(IF(AQ108="0",BJ108,0),2)</f>
        <v>0</v>
      </c>
      <c r="AI108" s="46" t="s">
        <v>471</v>
      </c>
      <c r="AJ108" s="59">
        <f>IF(AN108=0,I108,0)</f>
        <v>0</v>
      </c>
      <c r="AK108" s="59">
        <f>IF(AN108=12,I108,0)</f>
        <v>0</v>
      </c>
      <c r="AL108" s="59">
        <f>IF(AN108=21,I108,0)</f>
        <v>0</v>
      </c>
      <c r="AN108" s="59">
        <v>12</v>
      </c>
      <c r="AO108" s="59">
        <f>H108*0.248890105</f>
        <v>0</v>
      </c>
      <c r="AP108" s="59">
        <f>H108*(1-0.248890105)</f>
        <v>0</v>
      </c>
      <c r="AQ108" s="61" t="s">
        <v>150</v>
      </c>
      <c r="AV108" s="59">
        <f>ROUND(AW108+AX108,2)</f>
        <v>0</v>
      </c>
      <c r="AW108" s="59">
        <f>ROUND(G108*AO108,2)</f>
        <v>0</v>
      </c>
      <c r="AX108" s="59">
        <f>ROUND(G108*AP108,2)</f>
        <v>0</v>
      </c>
      <c r="AY108" s="61" t="s">
        <v>244</v>
      </c>
      <c r="AZ108" s="61" t="s">
        <v>479</v>
      </c>
      <c r="BA108" s="46" t="s">
        <v>474</v>
      </c>
      <c r="BC108" s="59">
        <f>AW108+AX108</f>
        <v>0</v>
      </c>
      <c r="BD108" s="59">
        <f>H108/(100-BE108)*100</f>
        <v>0</v>
      </c>
      <c r="BE108" s="59">
        <v>0</v>
      </c>
      <c r="BF108" s="59">
        <f>L108</f>
        <v>2.0097E-2</v>
      </c>
      <c r="BH108" s="59">
        <f>G108*AO108</f>
        <v>0</v>
      </c>
      <c r="BI108" s="59">
        <f>G108*AP108</f>
        <v>0</v>
      </c>
      <c r="BJ108" s="59">
        <f>G108*H108</f>
        <v>0</v>
      </c>
      <c r="BK108" s="59"/>
      <c r="BL108" s="59">
        <v>784</v>
      </c>
      <c r="BW108" s="59">
        <v>12</v>
      </c>
      <c r="BX108" s="16" t="s">
        <v>250</v>
      </c>
    </row>
    <row r="109" spans="1:76" ht="13.5" customHeight="1" x14ac:dyDescent="0.25">
      <c r="A109" s="62"/>
      <c r="D109" s="105" t="s">
        <v>251</v>
      </c>
      <c r="E109" s="105"/>
      <c r="F109" s="105"/>
      <c r="G109" s="105"/>
      <c r="H109" s="105"/>
      <c r="I109" s="105"/>
      <c r="J109" s="105"/>
      <c r="K109" s="105"/>
      <c r="L109" s="105"/>
      <c r="M109" s="105"/>
    </row>
    <row r="110" spans="1:76" x14ac:dyDescent="0.25">
      <c r="A110" s="62"/>
      <c r="D110" s="63" t="s">
        <v>417</v>
      </c>
      <c r="E110" s="63"/>
      <c r="G110" s="64">
        <v>26.1</v>
      </c>
      <c r="M110" s="65"/>
    </row>
    <row r="111" spans="1:76" ht="15" customHeight="1" x14ac:dyDescent="0.25">
      <c r="A111" s="58" t="s">
        <v>314</v>
      </c>
      <c r="B111" s="18" t="s">
        <v>471</v>
      </c>
      <c r="C111" s="18" t="s">
        <v>254</v>
      </c>
      <c r="D111" s="8" t="s">
        <v>255</v>
      </c>
      <c r="E111" s="8"/>
      <c r="F111" s="18" t="s">
        <v>114</v>
      </c>
      <c r="G111" s="59">
        <f>'Stavební rozpočet'!G334</f>
        <v>513.36</v>
      </c>
      <c r="H111" s="59">
        <f>'Stavební rozpočet'!H334</f>
        <v>0</v>
      </c>
      <c r="I111" s="59">
        <f>ROUND(G111*H111,2)</f>
        <v>0</v>
      </c>
      <c r="J111" s="59">
        <f>'Stavební rozpočet'!J334</f>
        <v>1.0000000000000001E-5</v>
      </c>
      <c r="K111" s="59">
        <f>'Stavební rozpočet'!K334</f>
        <v>1.0000000000000001E-5</v>
      </c>
      <c r="L111" s="59">
        <f>G111*K111</f>
        <v>5.1336000000000003E-3</v>
      </c>
      <c r="M111" s="60" t="s">
        <v>115</v>
      </c>
      <c r="Z111" s="59">
        <f>ROUND(IF(AQ111="5",BJ111,0),2)</f>
        <v>0</v>
      </c>
      <c r="AB111" s="59">
        <f>ROUND(IF(AQ111="1",BH111,0),2)</f>
        <v>0</v>
      </c>
      <c r="AC111" s="59">
        <f>ROUND(IF(AQ111="1",BI111,0),2)</f>
        <v>0</v>
      </c>
      <c r="AD111" s="59">
        <f>ROUND(IF(AQ111="7",BH111,0),2)</f>
        <v>0</v>
      </c>
      <c r="AE111" s="59">
        <f>ROUND(IF(AQ111="7",BI111,0),2)</f>
        <v>0</v>
      </c>
      <c r="AF111" s="59">
        <f>ROUND(IF(AQ111="2",BH111,0),2)</f>
        <v>0</v>
      </c>
      <c r="AG111" s="59">
        <f>ROUND(IF(AQ111="2",BI111,0),2)</f>
        <v>0</v>
      </c>
      <c r="AH111" s="59">
        <f>ROUND(IF(AQ111="0",BJ111,0),2)</f>
        <v>0</v>
      </c>
      <c r="AI111" s="46" t="s">
        <v>471</v>
      </c>
      <c r="AJ111" s="59">
        <f>IF(AN111=0,I111,0)</f>
        <v>0</v>
      </c>
      <c r="AK111" s="59">
        <f>IF(AN111=12,I111,0)</f>
        <v>0</v>
      </c>
      <c r="AL111" s="59">
        <f>IF(AN111=21,I111,0)</f>
        <v>0</v>
      </c>
      <c r="AN111" s="59">
        <v>12</v>
      </c>
      <c r="AO111" s="59">
        <f>H111*0.236832231</f>
        <v>0</v>
      </c>
      <c r="AP111" s="59">
        <f>H111*(1-0.236832231)</f>
        <v>0</v>
      </c>
      <c r="AQ111" s="61" t="s">
        <v>150</v>
      </c>
      <c r="AV111" s="59">
        <f>ROUND(AW111+AX111,2)</f>
        <v>0</v>
      </c>
      <c r="AW111" s="59">
        <f>ROUND(G111*AO111,2)</f>
        <v>0</v>
      </c>
      <c r="AX111" s="59">
        <f>ROUND(G111*AP111,2)</f>
        <v>0</v>
      </c>
      <c r="AY111" s="61" t="s">
        <v>244</v>
      </c>
      <c r="AZ111" s="61" t="s">
        <v>479</v>
      </c>
      <c r="BA111" s="46" t="s">
        <v>474</v>
      </c>
      <c r="BC111" s="59">
        <f>AW111+AX111</f>
        <v>0</v>
      </c>
      <c r="BD111" s="59">
        <f>H111/(100-BE111)*100</f>
        <v>0</v>
      </c>
      <c r="BE111" s="59">
        <v>0</v>
      </c>
      <c r="BF111" s="59">
        <f>L111</f>
        <v>5.1336000000000003E-3</v>
      </c>
      <c r="BH111" s="59">
        <f>G111*AO111</f>
        <v>0</v>
      </c>
      <c r="BI111" s="59">
        <f>G111*AP111</f>
        <v>0</v>
      </c>
      <c r="BJ111" s="59">
        <f>G111*H111</f>
        <v>0</v>
      </c>
      <c r="BK111" s="59"/>
      <c r="BL111" s="59">
        <v>784</v>
      </c>
      <c r="BW111" s="59">
        <v>12</v>
      </c>
      <c r="BX111" s="16" t="s">
        <v>255</v>
      </c>
    </row>
    <row r="112" spans="1:76" ht="13.5" customHeight="1" x14ac:dyDescent="0.25">
      <c r="A112" s="62"/>
      <c r="D112" s="105" t="s">
        <v>256</v>
      </c>
      <c r="E112" s="105"/>
      <c r="F112" s="105"/>
      <c r="G112" s="105"/>
      <c r="H112" s="105"/>
      <c r="I112" s="105"/>
      <c r="J112" s="105"/>
      <c r="K112" s="105"/>
      <c r="L112" s="105"/>
      <c r="M112" s="105"/>
    </row>
    <row r="113" spans="1:76" x14ac:dyDescent="0.25">
      <c r="A113" s="62"/>
      <c r="D113" s="63" t="s">
        <v>418</v>
      </c>
      <c r="E113" s="63"/>
      <c r="G113" s="64">
        <v>513.36</v>
      </c>
      <c r="M113" s="65"/>
    </row>
    <row r="114" spans="1:76" ht="15" customHeight="1" x14ac:dyDescent="0.25">
      <c r="A114" s="54"/>
      <c r="B114" s="55" t="s">
        <v>471</v>
      </c>
      <c r="C114" s="55" t="s">
        <v>259</v>
      </c>
      <c r="D114" s="104" t="s">
        <v>260</v>
      </c>
      <c r="E114" s="104"/>
      <c r="F114" s="56" t="s">
        <v>88</v>
      </c>
      <c r="G114" s="56" t="s">
        <v>88</v>
      </c>
      <c r="H114" s="56" t="s">
        <v>88</v>
      </c>
      <c r="I114" s="39">
        <f>SUM(I115)</f>
        <v>0</v>
      </c>
      <c r="J114" s="46"/>
      <c r="K114" s="46"/>
      <c r="L114" s="39">
        <f>SUM(L115)</f>
        <v>8.2512000000000002E-2</v>
      </c>
      <c r="M114" s="57"/>
      <c r="AI114" s="46" t="s">
        <v>471</v>
      </c>
      <c r="AS114" s="39">
        <f>SUM(AJ115)</f>
        <v>0</v>
      </c>
      <c r="AT114" s="39">
        <f>SUM(AK115)</f>
        <v>0</v>
      </c>
      <c r="AU114" s="39">
        <f>SUM(AL115)</f>
        <v>0</v>
      </c>
    </row>
    <row r="115" spans="1:76" ht="15" customHeight="1" x14ac:dyDescent="0.25">
      <c r="A115" s="58" t="s">
        <v>320</v>
      </c>
      <c r="B115" s="18" t="s">
        <v>471</v>
      </c>
      <c r="C115" s="18" t="s">
        <v>262</v>
      </c>
      <c r="D115" s="8" t="s">
        <v>419</v>
      </c>
      <c r="E115" s="8"/>
      <c r="F115" s="18" t="s">
        <v>114</v>
      </c>
      <c r="G115" s="59">
        <f>'Stavební rozpočet'!G337</f>
        <v>21.6</v>
      </c>
      <c r="H115" s="59">
        <f>'Stavební rozpočet'!H337</f>
        <v>0</v>
      </c>
      <c r="I115" s="59">
        <f>ROUND(G115*H115,2)</f>
        <v>0</v>
      </c>
      <c r="J115" s="59">
        <f>'Stavební rozpočet'!J337</f>
        <v>3.82E-3</v>
      </c>
      <c r="K115" s="59">
        <f>'Stavební rozpočet'!K337</f>
        <v>3.82E-3</v>
      </c>
      <c r="L115" s="59">
        <f>G115*K115</f>
        <v>8.2512000000000002E-2</v>
      </c>
      <c r="M115" s="60" t="s">
        <v>115</v>
      </c>
      <c r="Z115" s="59">
        <f>ROUND(IF(AQ115="5",BJ115,0),2)</f>
        <v>0</v>
      </c>
      <c r="AB115" s="59">
        <f>ROUND(IF(AQ115="1",BH115,0),2)</f>
        <v>0</v>
      </c>
      <c r="AC115" s="59">
        <f>ROUND(IF(AQ115="1",BI115,0),2)</f>
        <v>0</v>
      </c>
      <c r="AD115" s="59">
        <f>ROUND(IF(AQ115="7",BH115,0),2)</f>
        <v>0</v>
      </c>
      <c r="AE115" s="59">
        <f>ROUND(IF(AQ115="7",BI115,0),2)</f>
        <v>0</v>
      </c>
      <c r="AF115" s="59">
        <f>ROUND(IF(AQ115="2",BH115,0),2)</f>
        <v>0</v>
      </c>
      <c r="AG115" s="59">
        <f>ROUND(IF(AQ115="2",BI115,0),2)</f>
        <v>0</v>
      </c>
      <c r="AH115" s="59">
        <f>ROUND(IF(AQ115="0",BJ115,0),2)</f>
        <v>0</v>
      </c>
      <c r="AI115" s="46" t="s">
        <v>471</v>
      </c>
      <c r="AJ115" s="59">
        <f>IF(AN115=0,I115,0)</f>
        <v>0</v>
      </c>
      <c r="AK115" s="59">
        <f>IF(AN115=12,I115,0)</f>
        <v>0</v>
      </c>
      <c r="AL115" s="59">
        <f>IF(AN115=21,I115,0)</f>
        <v>0</v>
      </c>
      <c r="AN115" s="59">
        <v>12</v>
      </c>
      <c r="AO115" s="59">
        <f>H115*0.657241014</f>
        <v>0</v>
      </c>
      <c r="AP115" s="59">
        <f>H115*(1-0.657241014)</f>
        <v>0</v>
      </c>
      <c r="AQ115" s="61" t="s">
        <v>150</v>
      </c>
      <c r="AV115" s="59">
        <f>ROUND(AW115+AX115,2)</f>
        <v>0</v>
      </c>
      <c r="AW115" s="59">
        <f>ROUND(G115*AO115,2)</f>
        <v>0</v>
      </c>
      <c r="AX115" s="59">
        <f>ROUND(G115*AP115,2)</f>
        <v>0</v>
      </c>
      <c r="AY115" s="61" t="s">
        <v>264</v>
      </c>
      <c r="AZ115" s="61" t="s">
        <v>479</v>
      </c>
      <c r="BA115" s="46" t="s">
        <v>474</v>
      </c>
      <c r="BC115" s="59">
        <f>AW115+AX115</f>
        <v>0</v>
      </c>
      <c r="BD115" s="59">
        <f>H115/(100-BE115)*100</f>
        <v>0</v>
      </c>
      <c r="BE115" s="59">
        <v>0</v>
      </c>
      <c r="BF115" s="59">
        <f>L115</f>
        <v>8.2512000000000002E-2</v>
      </c>
      <c r="BH115" s="59">
        <f>G115*AO115</f>
        <v>0</v>
      </c>
      <c r="BI115" s="59">
        <f>G115*AP115</f>
        <v>0</v>
      </c>
      <c r="BJ115" s="59">
        <f>G115*H115</f>
        <v>0</v>
      </c>
      <c r="BK115" s="59"/>
      <c r="BL115" s="59">
        <v>786</v>
      </c>
      <c r="BW115" s="59">
        <v>12</v>
      </c>
      <c r="BX115" s="16" t="s">
        <v>419</v>
      </c>
    </row>
    <row r="116" spans="1:76" ht="13.5" customHeight="1" x14ac:dyDescent="0.25">
      <c r="A116" s="62"/>
      <c r="D116" s="105" t="s">
        <v>265</v>
      </c>
      <c r="E116" s="105"/>
      <c r="F116" s="105"/>
      <c r="G116" s="105"/>
      <c r="H116" s="105"/>
      <c r="I116" s="105"/>
      <c r="J116" s="105"/>
      <c r="K116" s="105"/>
      <c r="L116" s="105"/>
      <c r="M116" s="105"/>
    </row>
    <row r="117" spans="1:76" x14ac:dyDescent="0.25">
      <c r="A117" s="62"/>
      <c r="D117" s="63" t="s">
        <v>420</v>
      </c>
      <c r="E117" s="63"/>
      <c r="G117" s="64">
        <v>21.6</v>
      </c>
      <c r="M117" s="65"/>
    </row>
    <row r="118" spans="1:76" ht="15" customHeight="1" x14ac:dyDescent="0.25">
      <c r="A118" s="54"/>
      <c r="B118" s="55" t="s">
        <v>471</v>
      </c>
      <c r="C118" s="55" t="s">
        <v>267</v>
      </c>
      <c r="D118" s="104" t="s">
        <v>268</v>
      </c>
      <c r="E118" s="104"/>
      <c r="F118" s="56" t="s">
        <v>88</v>
      </c>
      <c r="G118" s="56" t="s">
        <v>88</v>
      </c>
      <c r="H118" s="56" t="s">
        <v>88</v>
      </c>
      <c r="I118" s="39">
        <f>SUM(I119:I125)</f>
        <v>0</v>
      </c>
      <c r="J118" s="46"/>
      <c r="K118" s="46"/>
      <c r="L118" s="39">
        <f>SUM(L119:L125)</f>
        <v>0</v>
      </c>
      <c r="M118" s="57"/>
      <c r="AI118" s="46" t="s">
        <v>471</v>
      </c>
      <c r="AS118" s="39">
        <f>SUM(AJ119:AJ125)</f>
        <v>0</v>
      </c>
      <c r="AT118" s="39">
        <f>SUM(AK119:AK125)</f>
        <v>0</v>
      </c>
      <c r="AU118" s="39">
        <f>SUM(AL119:AL125)</f>
        <v>0</v>
      </c>
    </row>
    <row r="119" spans="1:76" ht="15" customHeight="1" x14ac:dyDescent="0.25">
      <c r="A119" s="58" t="s">
        <v>326</v>
      </c>
      <c r="B119" s="18" t="s">
        <v>471</v>
      </c>
      <c r="C119" s="18" t="s">
        <v>270</v>
      </c>
      <c r="D119" s="8" t="s">
        <v>271</v>
      </c>
      <c r="E119" s="8"/>
      <c r="F119" s="18" t="s">
        <v>272</v>
      </c>
      <c r="G119" s="59">
        <f>'Stavební rozpočet'!G340</f>
        <v>12</v>
      </c>
      <c r="H119" s="59">
        <f>'Stavební rozpočet'!H340</f>
        <v>0</v>
      </c>
      <c r="I119" s="59">
        <f>ROUND(G119*H119,2)</f>
        <v>0</v>
      </c>
      <c r="J119" s="59">
        <f>'Stavební rozpočet'!J340</f>
        <v>0</v>
      </c>
      <c r="K119" s="59">
        <f>'Stavební rozpočet'!K340</f>
        <v>0</v>
      </c>
      <c r="L119" s="59">
        <f>G119*K119</f>
        <v>0</v>
      </c>
      <c r="M119" s="60" t="s">
        <v>115</v>
      </c>
      <c r="Z119" s="59">
        <f>ROUND(IF(AQ119="5",BJ119,0),2)</f>
        <v>0</v>
      </c>
      <c r="AB119" s="59">
        <f>ROUND(IF(AQ119="1",BH119,0),2)</f>
        <v>0</v>
      </c>
      <c r="AC119" s="59">
        <f>ROUND(IF(AQ119="1",BI119,0),2)</f>
        <v>0</v>
      </c>
      <c r="AD119" s="59">
        <f>ROUND(IF(AQ119="7",BH119,0),2)</f>
        <v>0</v>
      </c>
      <c r="AE119" s="59">
        <f>ROUND(IF(AQ119="7",BI119,0),2)</f>
        <v>0</v>
      </c>
      <c r="AF119" s="59">
        <f>ROUND(IF(AQ119="2",BH119,0),2)</f>
        <v>0</v>
      </c>
      <c r="AG119" s="59">
        <f>ROUND(IF(AQ119="2",BI119,0),2)</f>
        <v>0</v>
      </c>
      <c r="AH119" s="59">
        <f>ROUND(IF(AQ119="0",BJ119,0),2)</f>
        <v>0</v>
      </c>
      <c r="AI119" s="46" t="s">
        <v>471</v>
      </c>
      <c r="AJ119" s="59">
        <f>IF(AN119=0,I119,0)</f>
        <v>0</v>
      </c>
      <c r="AK119" s="59">
        <f>IF(AN119=12,I119,0)</f>
        <v>0</v>
      </c>
      <c r="AL119" s="59">
        <f>IF(AN119=21,I119,0)</f>
        <v>0</v>
      </c>
      <c r="AN119" s="59">
        <v>12</v>
      </c>
      <c r="AO119" s="59">
        <f>H119*0</f>
        <v>0</v>
      </c>
      <c r="AP119" s="59">
        <f>H119*(1-0)</f>
        <v>0</v>
      </c>
      <c r="AQ119" s="61" t="s">
        <v>111</v>
      </c>
      <c r="AV119" s="59">
        <f>ROUND(AW119+AX119,2)</f>
        <v>0</v>
      </c>
      <c r="AW119" s="59">
        <f>ROUND(G119*AO119,2)</f>
        <v>0</v>
      </c>
      <c r="AX119" s="59">
        <f>ROUND(G119*AP119,2)</f>
        <v>0</v>
      </c>
      <c r="AY119" s="61" t="s">
        <v>273</v>
      </c>
      <c r="AZ119" s="61" t="s">
        <v>480</v>
      </c>
      <c r="BA119" s="46" t="s">
        <v>474</v>
      </c>
      <c r="BC119" s="59">
        <f>AW119+AX119</f>
        <v>0</v>
      </c>
      <c r="BD119" s="59">
        <f>H119/(100-BE119)*100</f>
        <v>0</v>
      </c>
      <c r="BE119" s="59">
        <v>0</v>
      </c>
      <c r="BF119" s="59">
        <f>L119</f>
        <v>0</v>
      </c>
      <c r="BH119" s="59">
        <f>G119*AO119</f>
        <v>0</v>
      </c>
      <c r="BI119" s="59">
        <f>G119*AP119</f>
        <v>0</v>
      </c>
      <c r="BJ119" s="59">
        <f>G119*H119</f>
        <v>0</v>
      </c>
      <c r="BK119" s="59"/>
      <c r="BL119" s="59">
        <v>90</v>
      </c>
      <c r="BW119" s="59">
        <v>12</v>
      </c>
      <c r="BX119" s="16" t="s">
        <v>271</v>
      </c>
    </row>
    <row r="120" spans="1:76" ht="40.5" customHeight="1" x14ac:dyDescent="0.25">
      <c r="A120" s="62"/>
      <c r="D120" s="105" t="s">
        <v>481</v>
      </c>
      <c r="E120" s="105"/>
      <c r="F120" s="105"/>
      <c r="G120" s="105"/>
      <c r="H120" s="105"/>
      <c r="I120" s="105"/>
      <c r="J120" s="105"/>
      <c r="K120" s="105"/>
      <c r="L120" s="105"/>
      <c r="M120" s="105"/>
    </row>
    <row r="121" spans="1:76" x14ac:dyDescent="0.25">
      <c r="A121" s="62"/>
      <c r="D121" s="63" t="s">
        <v>176</v>
      </c>
      <c r="E121" s="63"/>
      <c r="G121" s="64">
        <v>12</v>
      </c>
      <c r="M121" s="65"/>
    </row>
    <row r="122" spans="1:76" ht="15" customHeight="1" x14ac:dyDescent="0.25">
      <c r="A122" s="58" t="s">
        <v>331</v>
      </c>
      <c r="B122" s="18" t="s">
        <v>471</v>
      </c>
      <c r="C122" s="18" t="s">
        <v>423</v>
      </c>
      <c r="D122" s="8" t="s">
        <v>271</v>
      </c>
      <c r="E122" s="8"/>
      <c r="F122" s="18" t="s">
        <v>272</v>
      </c>
      <c r="G122" s="59">
        <f>'Stavební rozpočet'!G342</f>
        <v>18</v>
      </c>
      <c r="H122" s="59">
        <f>'Stavební rozpočet'!H342</f>
        <v>0</v>
      </c>
      <c r="I122" s="59">
        <f>ROUND(G122*H122,2)</f>
        <v>0</v>
      </c>
      <c r="J122" s="59">
        <f>'Stavební rozpočet'!J342</f>
        <v>0</v>
      </c>
      <c r="K122" s="59">
        <f>'Stavební rozpočet'!K342</f>
        <v>0</v>
      </c>
      <c r="L122" s="59">
        <f>G122*K122</f>
        <v>0</v>
      </c>
      <c r="M122" s="60" t="s">
        <v>115</v>
      </c>
      <c r="Z122" s="59">
        <f>ROUND(IF(AQ122="5",BJ122,0),2)</f>
        <v>0</v>
      </c>
      <c r="AB122" s="59">
        <f>ROUND(IF(AQ122="1",BH122,0),2)</f>
        <v>0</v>
      </c>
      <c r="AC122" s="59">
        <f>ROUND(IF(AQ122="1",BI122,0),2)</f>
        <v>0</v>
      </c>
      <c r="AD122" s="59">
        <f>ROUND(IF(AQ122="7",BH122,0),2)</f>
        <v>0</v>
      </c>
      <c r="AE122" s="59">
        <f>ROUND(IF(AQ122="7",BI122,0),2)</f>
        <v>0</v>
      </c>
      <c r="AF122" s="59">
        <f>ROUND(IF(AQ122="2",BH122,0),2)</f>
        <v>0</v>
      </c>
      <c r="AG122" s="59">
        <f>ROUND(IF(AQ122="2",BI122,0),2)</f>
        <v>0</v>
      </c>
      <c r="AH122" s="59">
        <f>ROUND(IF(AQ122="0",BJ122,0),2)</f>
        <v>0</v>
      </c>
      <c r="AI122" s="46" t="s">
        <v>471</v>
      </c>
      <c r="AJ122" s="59">
        <f>IF(AN122=0,I122,0)</f>
        <v>0</v>
      </c>
      <c r="AK122" s="59">
        <f>IF(AN122=12,I122,0)</f>
        <v>0</v>
      </c>
      <c r="AL122" s="59">
        <f>IF(AN122=21,I122,0)</f>
        <v>0</v>
      </c>
      <c r="AN122" s="59">
        <v>12</v>
      </c>
      <c r="AO122" s="59">
        <f>H122*0</f>
        <v>0</v>
      </c>
      <c r="AP122" s="59">
        <f>H122*(1-0)</f>
        <v>0</v>
      </c>
      <c r="AQ122" s="61" t="s">
        <v>111</v>
      </c>
      <c r="AV122" s="59">
        <f>ROUND(AW122+AX122,2)</f>
        <v>0</v>
      </c>
      <c r="AW122" s="59">
        <f>ROUND(G122*AO122,2)</f>
        <v>0</v>
      </c>
      <c r="AX122" s="59">
        <f>ROUND(G122*AP122,2)</f>
        <v>0</v>
      </c>
      <c r="AY122" s="61" t="s">
        <v>273</v>
      </c>
      <c r="AZ122" s="61" t="s">
        <v>480</v>
      </c>
      <c r="BA122" s="46" t="s">
        <v>474</v>
      </c>
      <c r="BC122" s="59">
        <f>AW122+AX122</f>
        <v>0</v>
      </c>
      <c r="BD122" s="59">
        <f>H122/(100-BE122)*100</f>
        <v>0</v>
      </c>
      <c r="BE122" s="59">
        <v>0</v>
      </c>
      <c r="BF122" s="59">
        <f>L122</f>
        <v>0</v>
      </c>
      <c r="BH122" s="59">
        <f>G122*AO122</f>
        <v>0</v>
      </c>
      <c r="BI122" s="59">
        <f>G122*AP122</f>
        <v>0</v>
      </c>
      <c r="BJ122" s="59">
        <f>G122*H122</f>
        <v>0</v>
      </c>
      <c r="BK122" s="59"/>
      <c r="BL122" s="59">
        <v>90</v>
      </c>
      <c r="BW122" s="59">
        <v>12</v>
      </c>
      <c r="BX122" s="16" t="s">
        <v>271</v>
      </c>
    </row>
    <row r="123" spans="1:76" ht="40.5" customHeight="1" x14ac:dyDescent="0.25">
      <c r="A123" s="62"/>
      <c r="D123" s="105" t="s">
        <v>424</v>
      </c>
      <c r="E123" s="105"/>
      <c r="F123" s="105"/>
      <c r="G123" s="105"/>
      <c r="H123" s="105"/>
      <c r="I123" s="105"/>
      <c r="J123" s="105"/>
      <c r="K123" s="105"/>
      <c r="L123" s="105"/>
      <c r="M123" s="105"/>
    </row>
    <row r="124" spans="1:76" x14ac:dyDescent="0.25">
      <c r="A124" s="62"/>
      <c r="D124" s="63" t="s">
        <v>215</v>
      </c>
      <c r="E124" s="63"/>
      <c r="G124" s="64">
        <v>18</v>
      </c>
      <c r="M124" s="65"/>
    </row>
    <row r="125" spans="1:76" ht="15" customHeight="1" x14ac:dyDescent="0.25">
      <c r="A125" s="58" t="s">
        <v>335</v>
      </c>
      <c r="B125" s="18" t="s">
        <v>471</v>
      </c>
      <c r="C125" s="18" t="s">
        <v>270</v>
      </c>
      <c r="D125" s="8" t="s">
        <v>271</v>
      </c>
      <c r="E125" s="8"/>
      <c r="F125" s="18" t="s">
        <v>272</v>
      </c>
      <c r="G125" s="59">
        <f>'Stavební rozpočet'!G344</f>
        <v>30</v>
      </c>
      <c r="H125" s="59">
        <f>'Stavební rozpočet'!H344</f>
        <v>0</v>
      </c>
      <c r="I125" s="59">
        <f>ROUND(G125*H125,2)</f>
        <v>0</v>
      </c>
      <c r="J125" s="59">
        <f>'Stavební rozpočet'!J344</f>
        <v>0</v>
      </c>
      <c r="K125" s="59">
        <f>'Stavební rozpočet'!K344</f>
        <v>0</v>
      </c>
      <c r="L125" s="59">
        <f>G125*K125</f>
        <v>0</v>
      </c>
      <c r="M125" s="60" t="s">
        <v>115</v>
      </c>
      <c r="Z125" s="59">
        <f>ROUND(IF(AQ125="5",BJ125,0),2)</f>
        <v>0</v>
      </c>
      <c r="AB125" s="59">
        <f>ROUND(IF(AQ125="1",BH125,0),2)</f>
        <v>0</v>
      </c>
      <c r="AC125" s="59">
        <f>ROUND(IF(AQ125="1",BI125,0),2)</f>
        <v>0</v>
      </c>
      <c r="AD125" s="59">
        <f>ROUND(IF(AQ125="7",BH125,0),2)</f>
        <v>0</v>
      </c>
      <c r="AE125" s="59">
        <f>ROUND(IF(AQ125="7",BI125,0),2)</f>
        <v>0</v>
      </c>
      <c r="AF125" s="59">
        <f>ROUND(IF(AQ125="2",BH125,0),2)</f>
        <v>0</v>
      </c>
      <c r="AG125" s="59">
        <f>ROUND(IF(AQ125="2",BI125,0),2)</f>
        <v>0</v>
      </c>
      <c r="AH125" s="59">
        <f>ROUND(IF(AQ125="0",BJ125,0),2)</f>
        <v>0</v>
      </c>
      <c r="AI125" s="46" t="s">
        <v>471</v>
      </c>
      <c r="AJ125" s="59">
        <f>IF(AN125=0,I125,0)</f>
        <v>0</v>
      </c>
      <c r="AK125" s="59">
        <f>IF(AN125=12,I125,0)</f>
        <v>0</v>
      </c>
      <c r="AL125" s="59">
        <f>IF(AN125=21,I125,0)</f>
        <v>0</v>
      </c>
      <c r="AN125" s="59">
        <v>12</v>
      </c>
      <c r="AO125" s="59">
        <f>H125*0</f>
        <v>0</v>
      </c>
      <c r="AP125" s="59">
        <f>H125*(1-0)</f>
        <v>0</v>
      </c>
      <c r="AQ125" s="61" t="s">
        <v>111</v>
      </c>
      <c r="AV125" s="59">
        <f>ROUND(AW125+AX125,2)</f>
        <v>0</v>
      </c>
      <c r="AW125" s="59">
        <f>ROUND(G125*AO125,2)</f>
        <v>0</v>
      </c>
      <c r="AX125" s="59">
        <f>ROUND(G125*AP125,2)</f>
        <v>0</v>
      </c>
      <c r="AY125" s="61" t="s">
        <v>273</v>
      </c>
      <c r="AZ125" s="61" t="s">
        <v>480</v>
      </c>
      <c r="BA125" s="46" t="s">
        <v>474</v>
      </c>
      <c r="BC125" s="59">
        <f>AW125+AX125</f>
        <v>0</v>
      </c>
      <c r="BD125" s="59">
        <f>H125/(100-BE125)*100</f>
        <v>0</v>
      </c>
      <c r="BE125" s="59">
        <v>0</v>
      </c>
      <c r="BF125" s="59">
        <f>L125</f>
        <v>0</v>
      </c>
      <c r="BH125" s="59">
        <f>G125*AO125</f>
        <v>0</v>
      </c>
      <c r="BI125" s="59">
        <f>G125*AP125</f>
        <v>0</v>
      </c>
      <c r="BJ125" s="59">
        <f>G125*H125</f>
        <v>0</v>
      </c>
      <c r="BK125" s="59"/>
      <c r="BL125" s="59">
        <v>90</v>
      </c>
      <c r="BW125" s="59">
        <v>12</v>
      </c>
      <c r="BX125" s="16" t="s">
        <v>271</v>
      </c>
    </row>
    <row r="126" spans="1:76" ht="13.5" customHeight="1" x14ac:dyDescent="0.25">
      <c r="A126" s="62"/>
      <c r="D126" s="105" t="s">
        <v>275</v>
      </c>
      <c r="E126" s="105"/>
      <c r="F126" s="105"/>
      <c r="G126" s="105"/>
      <c r="H126" s="105"/>
      <c r="I126" s="105"/>
      <c r="J126" s="105"/>
      <c r="K126" s="105"/>
      <c r="L126" s="105"/>
      <c r="M126" s="105"/>
    </row>
    <row r="127" spans="1:76" x14ac:dyDescent="0.25">
      <c r="A127" s="62"/>
      <c r="D127" s="63" t="s">
        <v>276</v>
      </c>
      <c r="E127" s="63"/>
      <c r="G127" s="64">
        <v>30</v>
      </c>
      <c r="M127" s="65"/>
    </row>
    <row r="128" spans="1:76" ht="15" customHeight="1" x14ac:dyDescent="0.25">
      <c r="A128" s="54"/>
      <c r="B128" s="55" t="s">
        <v>471</v>
      </c>
      <c r="C128" s="55" t="s">
        <v>277</v>
      </c>
      <c r="D128" s="104" t="s">
        <v>278</v>
      </c>
      <c r="E128" s="104"/>
      <c r="F128" s="56" t="s">
        <v>88</v>
      </c>
      <c r="G128" s="56" t="s">
        <v>88</v>
      </c>
      <c r="H128" s="56" t="s">
        <v>88</v>
      </c>
      <c r="I128" s="39">
        <f>SUM(I129:I131)</f>
        <v>0</v>
      </c>
      <c r="J128" s="46"/>
      <c r="K128" s="46"/>
      <c r="L128" s="39">
        <f>SUM(L129:L131)</f>
        <v>0.10526999999999999</v>
      </c>
      <c r="M128" s="57"/>
      <c r="AI128" s="46" t="s">
        <v>471</v>
      </c>
      <c r="AS128" s="39">
        <f>SUM(AJ129:AJ131)</f>
        <v>0</v>
      </c>
      <c r="AT128" s="39">
        <f>SUM(AK129:AK131)</f>
        <v>0</v>
      </c>
      <c r="AU128" s="39">
        <f>SUM(AL129:AL131)</f>
        <v>0</v>
      </c>
    </row>
    <row r="129" spans="1:76" ht="15" customHeight="1" x14ac:dyDescent="0.25">
      <c r="A129" s="58" t="s">
        <v>338</v>
      </c>
      <c r="B129" s="18" t="s">
        <v>471</v>
      </c>
      <c r="C129" s="18" t="s">
        <v>280</v>
      </c>
      <c r="D129" s="8" t="s">
        <v>281</v>
      </c>
      <c r="E129" s="8"/>
      <c r="F129" s="18" t="s">
        <v>114</v>
      </c>
      <c r="G129" s="59">
        <f>'Stavební rozpočet'!G347</f>
        <v>87</v>
      </c>
      <c r="H129" s="59">
        <f>'Stavební rozpočet'!H347</f>
        <v>0</v>
      </c>
      <c r="I129" s="59">
        <f>ROUND(G129*H129,2)</f>
        <v>0</v>
      </c>
      <c r="J129" s="59">
        <f>'Stavební rozpočet'!J347</f>
        <v>1.2099999999999999E-3</v>
      </c>
      <c r="K129" s="59">
        <f>'Stavební rozpočet'!K347</f>
        <v>1.2099999999999999E-3</v>
      </c>
      <c r="L129" s="59">
        <f>G129*K129</f>
        <v>0.10526999999999999</v>
      </c>
      <c r="M129" s="60" t="s">
        <v>115</v>
      </c>
      <c r="Z129" s="59">
        <f>ROUND(IF(AQ129="5",BJ129,0),2)</f>
        <v>0</v>
      </c>
      <c r="AB129" s="59">
        <f>ROUND(IF(AQ129="1",BH129,0),2)</f>
        <v>0</v>
      </c>
      <c r="AC129" s="59">
        <f>ROUND(IF(AQ129="1",BI129,0),2)</f>
        <v>0</v>
      </c>
      <c r="AD129" s="59">
        <f>ROUND(IF(AQ129="7",BH129,0),2)</f>
        <v>0</v>
      </c>
      <c r="AE129" s="59">
        <f>ROUND(IF(AQ129="7",BI129,0),2)</f>
        <v>0</v>
      </c>
      <c r="AF129" s="59">
        <f>ROUND(IF(AQ129="2",BH129,0),2)</f>
        <v>0</v>
      </c>
      <c r="AG129" s="59">
        <f>ROUND(IF(AQ129="2",BI129,0),2)</f>
        <v>0</v>
      </c>
      <c r="AH129" s="59">
        <f>ROUND(IF(AQ129="0",BJ129,0),2)</f>
        <v>0</v>
      </c>
      <c r="AI129" s="46" t="s">
        <v>471</v>
      </c>
      <c r="AJ129" s="59">
        <f>IF(AN129=0,I129,0)</f>
        <v>0</v>
      </c>
      <c r="AK129" s="59">
        <f>IF(AN129=12,I129,0)</f>
        <v>0</v>
      </c>
      <c r="AL129" s="59">
        <f>IF(AN129=21,I129,0)</f>
        <v>0</v>
      </c>
      <c r="AN129" s="59">
        <v>12</v>
      </c>
      <c r="AO129" s="59">
        <f>H129*0.309860944</f>
        <v>0</v>
      </c>
      <c r="AP129" s="59">
        <f>H129*(1-0.309860944)</f>
        <v>0</v>
      </c>
      <c r="AQ129" s="61" t="s">
        <v>111</v>
      </c>
      <c r="AV129" s="59">
        <f>ROUND(AW129+AX129,2)</f>
        <v>0</v>
      </c>
      <c r="AW129" s="59">
        <f>ROUND(G129*AO129,2)</f>
        <v>0</v>
      </c>
      <c r="AX129" s="59">
        <f>ROUND(G129*AP129,2)</f>
        <v>0</v>
      </c>
      <c r="AY129" s="61" t="s">
        <v>282</v>
      </c>
      <c r="AZ129" s="61" t="s">
        <v>480</v>
      </c>
      <c r="BA129" s="46" t="s">
        <v>474</v>
      </c>
      <c r="BC129" s="59">
        <f>AW129+AX129</f>
        <v>0</v>
      </c>
      <c r="BD129" s="59">
        <f>H129/(100-BE129)*100</f>
        <v>0</v>
      </c>
      <c r="BE129" s="59">
        <v>0</v>
      </c>
      <c r="BF129" s="59">
        <f>L129</f>
        <v>0.10526999999999999</v>
      </c>
      <c r="BH129" s="59">
        <f>G129*AO129</f>
        <v>0</v>
      </c>
      <c r="BI129" s="59">
        <f>G129*AP129</f>
        <v>0</v>
      </c>
      <c r="BJ129" s="59">
        <f>G129*H129</f>
        <v>0</v>
      </c>
      <c r="BK129" s="59"/>
      <c r="BL129" s="59">
        <v>94</v>
      </c>
      <c r="BW129" s="59">
        <v>12</v>
      </c>
      <c r="BX129" s="16" t="s">
        <v>281</v>
      </c>
    </row>
    <row r="130" spans="1:76" x14ac:dyDescent="0.25">
      <c r="A130" s="62"/>
      <c r="D130" s="63" t="s">
        <v>425</v>
      </c>
      <c r="E130" s="63"/>
      <c r="G130" s="64">
        <v>87</v>
      </c>
      <c r="M130" s="65"/>
    </row>
    <row r="131" spans="1:76" ht="15" customHeight="1" x14ac:dyDescent="0.25">
      <c r="A131" s="58" t="s">
        <v>342</v>
      </c>
      <c r="B131" s="18" t="s">
        <v>471</v>
      </c>
      <c r="C131" s="18" t="s">
        <v>426</v>
      </c>
      <c r="D131" s="8" t="s">
        <v>427</v>
      </c>
      <c r="E131" s="8"/>
      <c r="F131" s="18" t="s">
        <v>272</v>
      </c>
      <c r="G131" s="59">
        <f>'Stavební rozpočet'!G349</f>
        <v>30</v>
      </c>
      <c r="H131" s="59">
        <f>'Stavební rozpočet'!H349</f>
        <v>0</v>
      </c>
      <c r="I131" s="59">
        <f>ROUND(G131*H131,2)</f>
        <v>0</v>
      </c>
      <c r="J131" s="59">
        <f>'Stavební rozpočet'!J349</f>
        <v>0</v>
      </c>
      <c r="K131" s="59">
        <f>'Stavební rozpočet'!K349</f>
        <v>0</v>
      </c>
      <c r="L131" s="59">
        <f>G131*K131</f>
        <v>0</v>
      </c>
      <c r="M131" s="60" t="s">
        <v>115</v>
      </c>
      <c r="Z131" s="59">
        <f>ROUND(IF(AQ131="5",BJ131,0),2)</f>
        <v>0</v>
      </c>
      <c r="AB131" s="59">
        <f>ROUND(IF(AQ131="1",BH131,0),2)</f>
        <v>0</v>
      </c>
      <c r="AC131" s="59">
        <f>ROUND(IF(AQ131="1",BI131,0),2)</f>
        <v>0</v>
      </c>
      <c r="AD131" s="59">
        <f>ROUND(IF(AQ131="7",BH131,0),2)</f>
        <v>0</v>
      </c>
      <c r="AE131" s="59">
        <f>ROUND(IF(AQ131="7",BI131,0),2)</f>
        <v>0</v>
      </c>
      <c r="AF131" s="59">
        <f>ROUND(IF(AQ131="2",BH131,0),2)</f>
        <v>0</v>
      </c>
      <c r="AG131" s="59">
        <f>ROUND(IF(AQ131="2",BI131,0),2)</f>
        <v>0</v>
      </c>
      <c r="AH131" s="59">
        <f>ROUND(IF(AQ131="0",BJ131,0),2)</f>
        <v>0</v>
      </c>
      <c r="AI131" s="46" t="s">
        <v>471</v>
      </c>
      <c r="AJ131" s="59">
        <f>IF(AN131=0,I131,0)</f>
        <v>0</v>
      </c>
      <c r="AK131" s="59">
        <f>IF(AN131=12,I131,0)</f>
        <v>0</v>
      </c>
      <c r="AL131" s="59">
        <f>IF(AN131=21,I131,0)</f>
        <v>0</v>
      </c>
      <c r="AN131" s="59">
        <v>12</v>
      </c>
      <c r="AO131" s="59">
        <f>H131*0</f>
        <v>0</v>
      </c>
      <c r="AP131" s="59">
        <f>H131*(1-0)</f>
        <v>0</v>
      </c>
      <c r="AQ131" s="61" t="s">
        <v>111</v>
      </c>
      <c r="AV131" s="59">
        <f>ROUND(AW131+AX131,2)</f>
        <v>0</v>
      </c>
      <c r="AW131" s="59">
        <f>ROUND(G131*AO131,2)</f>
        <v>0</v>
      </c>
      <c r="AX131" s="59">
        <f>ROUND(G131*AP131,2)</f>
        <v>0</v>
      </c>
      <c r="AY131" s="61" t="s">
        <v>282</v>
      </c>
      <c r="AZ131" s="61" t="s">
        <v>480</v>
      </c>
      <c r="BA131" s="46" t="s">
        <v>474</v>
      </c>
      <c r="BC131" s="59">
        <f>AW131+AX131</f>
        <v>0</v>
      </c>
      <c r="BD131" s="59">
        <f>H131/(100-BE131)*100</f>
        <v>0</v>
      </c>
      <c r="BE131" s="59">
        <v>0</v>
      </c>
      <c r="BF131" s="59">
        <f>L131</f>
        <v>0</v>
      </c>
      <c r="BH131" s="59">
        <f>G131*AO131</f>
        <v>0</v>
      </c>
      <c r="BI131" s="59">
        <f>G131*AP131</f>
        <v>0</v>
      </c>
      <c r="BJ131" s="59">
        <f>G131*H131</f>
        <v>0</v>
      </c>
      <c r="BK131" s="59"/>
      <c r="BL131" s="59">
        <v>94</v>
      </c>
      <c r="BW131" s="59">
        <v>12</v>
      </c>
      <c r="BX131" s="16" t="s">
        <v>427</v>
      </c>
    </row>
    <row r="132" spans="1:76" x14ac:dyDescent="0.25">
      <c r="A132" s="62"/>
      <c r="D132" s="63" t="s">
        <v>296</v>
      </c>
      <c r="E132" s="63"/>
      <c r="G132" s="64">
        <v>30</v>
      </c>
      <c r="M132" s="65"/>
    </row>
    <row r="133" spans="1:76" ht="15" customHeight="1" x14ac:dyDescent="0.25">
      <c r="A133" s="54"/>
      <c r="B133" s="55" t="s">
        <v>471</v>
      </c>
      <c r="C133" s="55" t="s">
        <v>284</v>
      </c>
      <c r="D133" s="104" t="s">
        <v>285</v>
      </c>
      <c r="E133" s="104"/>
      <c r="F133" s="56" t="s">
        <v>88</v>
      </c>
      <c r="G133" s="56" t="s">
        <v>88</v>
      </c>
      <c r="H133" s="56" t="s">
        <v>88</v>
      </c>
      <c r="I133" s="39">
        <f>SUM(I134)</f>
        <v>0</v>
      </c>
      <c r="J133" s="46"/>
      <c r="K133" s="46"/>
      <c r="L133" s="39">
        <f>SUM(L134)</f>
        <v>1.0267200000000001E-2</v>
      </c>
      <c r="M133" s="57"/>
      <c r="AI133" s="46" t="s">
        <v>471</v>
      </c>
      <c r="AS133" s="39">
        <f>SUM(AJ134)</f>
        <v>0</v>
      </c>
      <c r="AT133" s="39">
        <f>SUM(AK134)</f>
        <v>0</v>
      </c>
      <c r="AU133" s="39">
        <f>SUM(AL134)</f>
        <v>0</v>
      </c>
    </row>
    <row r="134" spans="1:76" ht="15" customHeight="1" x14ac:dyDescent="0.25">
      <c r="A134" s="58" t="s">
        <v>428</v>
      </c>
      <c r="B134" s="18" t="s">
        <v>471</v>
      </c>
      <c r="C134" s="18" t="s">
        <v>287</v>
      </c>
      <c r="D134" s="8" t="s">
        <v>288</v>
      </c>
      <c r="E134" s="8"/>
      <c r="F134" s="18" t="s">
        <v>114</v>
      </c>
      <c r="G134" s="59">
        <f>'Stavební rozpočet'!G352</f>
        <v>256.68</v>
      </c>
      <c r="H134" s="59">
        <f>'Stavební rozpočet'!H352</f>
        <v>0</v>
      </c>
      <c r="I134" s="59">
        <f>ROUND(G134*H134,2)</f>
        <v>0</v>
      </c>
      <c r="J134" s="59">
        <f>'Stavební rozpočet'!J352</f>
        <v>4.0000000000000003E-5</v>
      </c>
      <c r="K134" s="59">
        <f>'Stavební rozpočet'!K352</f>
        <v>4.0000000000000003E-5</v>
      </c>
      <c r="L134" s="59">
        <f>G134*K134</f>
        <v>1.0267200000000001E-2</v>
      </c>
      <c r="M134" s="60" t="s">
        <v>115</v>
      </c>
      <c r="Z134" s="59">
        <f>ROUND(IF(AQ134="5",BJ134,0),2)</f>
        <v>0</v>
      </c>
      <c r="AB134" s="59">
        <f>ROUND(IF(AQ134="1",BH134,0),2)</f>
        <v>0</v>
      </c>
      <c r="AC134" s="59">
        <f>ROUND(IF(AQ134="1",BI134,0),2)</f>
        <v>0</v>
      </c>
      <c r="AD134" s="59">
        <f>ROUND(IF(AQ134="7",BH134,0),2)</f>
        <v>0</v>
      </c>
      <c r="AE134" s="59">
        <f>ROUND(IF(AQ134="7",BI134,0),2)</f>
        <v>0</v>
      </c>
      <c r="AF134" s="59">
        <f>ROUND(IF(AQ134="2",BH134,0),2)</f>
        <v>0</v>
      </c>
      <c r="AG134" s="59">
        <f>ROUND(IF(AQ134="2",BI134,0),2)</f>
        <v>0</v>
      </c>
      <c r="AH134" s="59">
        <f>ROUND(IF(AQ134="0",BJ134,0),2)</f>
        <v>0</v>
      </c>
      <c r="AI134" s="46" t="s">
        <v>471</v>
      </c>
      <c r="AJ134" s="59">
        <f>IF(AN134=0,I134,0)</f>
        <v>0</v>
      </c>
      <c r="AK134" s="59">
        <f>IF(AN134=12,I134,0)</f>
        <v>0</v>
      </c>
      <c r="AL134" s="59">
        <f>IF(AN134=21,I134,0)</f>
        <v>0</v>
      </c>
      <c r="AN134" s="59">
        <v>12</v>
      </c>
      <c r="AO134" s="59">
        <f>H134*0.012649582</f>
        <v>0</v>
      </c>
      <c r="AP134" s="59">
        <f>H134*(1-0.012649582)</f>
        <v>0</v>
      </c>
      <c r="AQ134" s="61" t="s">
        <v>111</v>
      </c>
      <c r="AV134" s="59">
        <f>ROUND(AW134+AX134,2)</f>
        <v>0</v>
      </c>
      <c r="AW134" s="59">
        <f>ROUND(G134*AO134,2)</f>
        <v>0</v>
      </c>
      <c r="AX134" s="59">
        <f>ROUND(G134*AP134,2)</f>
        <v>0</v>
      </c>
      <c r="AY134" s="61" t="s">
        <v>289</v>
      </c>
      <c r="AZ134" s="61" t="s">
        <v>480</v>
      </c>
      <c r="BA134" s="46" t="s">
        <v>474</v>
      </c>
      <c r="BC134" s="59">
        <f>AW134+AX134</f>
        <v>0</v>
      </c>
      <c r="BD134" s="59">
        <f>H134/(100-BE134)*100</f>
        <v>0</v>
      </c>
      <c r="BE134" s="59">
        <v>0</v>
      </c>
      <c r="BF134" s="59">
        <f>L134</f>
        <v>1.0267200000000001E-2</v>
      </c>
      <c r="BH134" s="59">
        <f>G134*AO134</f>
        <v>0</v>
      </c>
      <c r="BI134" s="59">
        <f>G134*AP134</f>
        <v>0</v>
      </c>
      <c r="BJ134" s="59">
        <f>G134*H134</f>
        <v>0</v>
      </c>
      <c r="BK134" s="59"/>
      <c r="BL134" s="59">
        <v>95</v>
      </c>
      <c r="BW134" s="59">
        <v>12</v>
      </c>
      <c r="BX134" s="16" t="s">
        <v>288</v>
      </c>
    </row>
    <row r="135" spans="1:76" ht="45" customHeight="1" x14ac:dyDescent="0.25">
      <c r="A135" s="62"/>
      <c r="D135" s="105" t="s">
        <v>733</v>
      </c>
      <c r="E135" s="105"/>
      <c r="F135" s="105"/>
      <c r="G135" s="105"/>
      <c r="H135" s="105"/>
      <c r="I135" s="105"/>
      <c r="J135" s="105"/>
      <c r="K135" s="105"/>
      <c r="L135" s="105"/>
      <c r="M135" s="105"/>
    </row>
    <row r="136" spans="1:76" x14ac:dyDescent="0.25">
      <c r="A136" s="62"/>
      <c r="D136" s="63" t="s">
        <v>416</v>
      </c>
      <c r="E136" s="63"/>
      <c r="G136" s="64">
        <v>256.68</v>
      </c>
      <c r="M136" s="65"/>
    </row>
    <row r="137" spans="1:76" ht="15" customHeight="1" x14ac:dyDescent="0.25">
      <c r="A137" s="54"/>
      <c r="B137" s="55" t="s">
        <v>471</v>
      </c>
      <c r="C137" s="55" t="s">
        <v>290</v>
      </c>
      <c r="D137" s="104" t="s">
        <v>291</v>
      </c>
      <c r="E137" s="104"/>
      <c r="F137" s="56" t="s">
        <v>88</v>
      </c>
      <c r="G137" s="56" t="s">
        <v>88</v>
      </c>
      <c r="H137" s="56" t="s">
        <v>88</v>
      </c>
      <c r="I137" s="39">
        <f>SUM(I138:I150)</f>
        <v>0</v>
      </c>
      <c r="J137" s="46"/>
      <c r="K137" s="46"/>
      <c r="L137" s="39">
        <f>SUM(L138:L150)</f>
        <v>7.8838920000000003</v>
      </c>
      <c r="M137" s="57"/>
      <c r="AI137" s="46" t="s">
        <v>471</v>
      </c>
      <c r="AS137" s="39">
        <f>SUM(AJ138:AJ150)</f>
        <v>0</v>
      </c>
      <c r="AT137" s="39">
        <f>SUM(AK138:AK150)</f>
        <v>0</v>
      </c>
      <c r="AU137" s="39">
        <f>SUM(AL138:AL150)</f>
        <v>0</v>
      </c>
    </row>
    <row r="138" spans="1:76" ht="15" customHeight="1" x14ac:dyDescent="0.25">
      <c r="A138" s="58" t="s">
        <v>429</v>
      </c>
      <c r="B138" s="18" t="s">
        <v>471</v>
      </c>
      <c r="C138" s="18" t="s">
        <v>293</v>
      </c>
      <c r="D138" s="8" t="s">
        <v>294</v>
      </c>
      <c r="E138" s="8"/>
      <c r="F138" s="18" t="s">
        <v>140</v>
      </c>
      <c r="G138" s="59">
        <f>'Stavební rozpočet'!G355</f>
        <v>24.9</v>
      </c>
      <c r="H138" s="59">
        <f>'Stavební rozpočet'!H355</f>
        <v>0</v>
      </c>
      <c r="I138" s="59">
        <f>ROUND(G138*H138,2)</f>
        <v>0</v>
      </c>
      <c r="J138" s="59">
        <f>'Stavební rozpočet'!J355</f>
        <v>0</v>
      </c>
      <c r="K138" s="59">
        <f>'Stavební rozpočet'!K355</f>
        <v>1.188E-2</v>
      </c>
      <c r="L138" s="59">
        <f>G138*K138</f>
        <v>0.29581199999999996</v>
      </c>
      <c r="M138" s="60" t="s">
        <v>115</v>
      </c>
      <c r="Z138" s="59">
        <f>ROUND(IF(AQ138="5",BJ138,0),2)</f>
        <v>0</v>
      </c>
      <c r="AB138" s="59">
        <f>ROUND(IF(AQ138="1",BH138,0),2)</f>
        <v>0</v>
      </c>
      <c r="AC138" s="59">
        <f>ROUND(IF(AQ138="1",BI138,0),2)</f>
        <v>0</v>
      </c>
      <c r="AD138" s="59">
        <f>ROUND(IF(AQ138="7",BH138,0),2)</f>
        <v>0</v>
      </c>
      <c r="AE138" s="59">
        <f>ROUND(IF(AQ138="7",BI138,0),2)</f>
        <v>0</v>
      </c>
      <c r="AF138" s="59">
        <f>ROUND(IF(AQ138="2",BH138,0),2)</f>
        <v>0</v>
      </c>
      <c r="AG138" s="59">
        <f>ROUND(IF(AQ138="2",BI138,0),2)</f>
        <v>0</v>
      </c>
      <c r="AH138" s="59">
        <f>ROUND(IF(AQ138="0",BJ138,0),2)</f>
        <v>0</v>
      </c>
      <c r="AI138" s="46" t="s">
        <v>471</v>
      </c>
      <c r="AJ138" s="59">
        <f>IF(AN138=0,I138,0)</f>
        <v>0</v>
      </c>
      <c r="AK138" s="59">
        <f>IF(AN138=12,I138,0)</f>
        <v>0</v>
      </c>
      <c r="AL138" s="59">
        <f>IF(AN138=21,I138,0)</f>
        <v>0</v>
      </c>
      <c r="AN138" s="59">
        <v>12</v>
      </c>
      <c r="AO138" s="59">
        <f>H138*0</f>
        <v>0</v>
      </c>
      <c r="AP138" s="59">
        <f>H138*(1-0)</f>
        <v>0</v>
      </c>
      <c r="AQ138" s="61" t="s">
        <v>111</v>
      </c>
      <c r="AV138" s="59">
        <f>ROUND(AW138+AX138,2)</f>
        <v>0</v>
      </c>
      <c r="AW138" s="59">
        <f>ROUND(G138*AO138,2)</f>
        <v>0</v>
      </c>
      <c r="AX138" s="59">
        <f>ROUND(G138*AP138,2)</f>
        <v>0</v>
      </c>
      <c r="AY138" s="61" t="s">
        <v>295</v>
      </c>
      <c r="AZ138" s="61" t="s">
        <v>480</v>
      </c>
      <c r="BA138" s="46" t="s">
        <v>474</v>
      </c>
      <c r="BC138" s="59">
        <f>AW138+AX138</f>
        <v>0</v>
      </c>
      <c r="BD138" s="59">
        <f>H138/(100-BE138)*100</f>
        <v>0</v>
      </c>
      <c r="BE138" s="59">
        <v>0</v>
      </c>
      <c r="BF138" s="59">
        <f>L138</f>
        <v>0.29581199999999996</v>
      </c>
      <c r="BH138" s="59">
        <f>G138*AO138</f>
        <v>0</v>
      </c>
      <c r="BI138" s="59">
        <f>G138*AP138</f>
        <v>0</v>
      </c>
      <c r="BJ138" s="59">
        <f>G138*H138</f>
        <v>0</v>
      </c>
      <c r="BK138" s="59"/>
      <c r="BL138" s="59">
        <v>96</v>
      </c>
      <c r="BW138" s="59">
        <v>12</v>
      </c>
      <c r="BX138" s="16" t="s">
        <v>294</v>
      </c>
    </row>
    <row r="139" spans="1:76" x14ac:dyDescent="0.25">
      <c r="A139" s="62"/>
      <c r="D139" s="63" t="s">
        <v>387</v>
      </c>
      <c r="E139" s="63"/>
      <c r="G139" s="64">
        <v>24.9</v>
      </c>
      <c r="M139" s="65"/>
    </row>
    <row r="140" spans="1:76" ht="15" customHeight="1" x14ac:dyDescent="0.25">
      <c r="A140" s="58" t="s">
        <v>430</v>
      </c>
      <c r="B140" s="18" t="s">
        <v>471</v>
      </c>
      <c r="C140" s="18" t="s">
        <v>297</v>
      </c>
      <c r="D140" s="8" t="s">
        <v>298</v>
      </c>
      <c r="E140" s="8"/>
      <c r="F140" s="18" t="s">
        <v>299</v>
      </c>
      <c r="G140" s="59">
        <f>'Stavební rozpočet'!G357</f>
        <v>44</v>
      </c>
      <c r="H140" s="59">
        <f>'Stavební rozpočet'!H357</f>
        <v>0</v>
      </c>
      <c r="I140" s="59">
        <f>ROUND(G140*H140,2)</f>
        <v>0</v>
      </c>
      <c r="J140" s="59">
        <f>'Stavební rozpočet'!J357</f>
        <v>0</v>
      </c>
      <c r="K140" s="59">
        <f>'Stavební rozpočet'!K357</f>
        <v>0</v>
      </c>
      <c r="L140" s="59">
        <f>G140*K140</f>
        <v>0</v>
      </c>
      <c r="M140" s="60" t="s">
        <v>115</v>
      </c>
      <c r="Z140" s="59">
        <f>ROUND(IF(AQ140="5",BJ140,0),2)</f>
        <v>0</v>
      </c>
      <c r="AB140" s="59">
        <f>ROUND(IF(AQ140="1",BH140,0),2)</f>
        <v>0</v>
      </c>
      <c r="AC140" s="59">
        <f>ROUND(IF(AQ140="1",BI140,0),2)</f>
        <v>0</v>
      </c>
      <c r="AD140" s="59">
        <f>ROUND(IF(AQ140="7",BH140,0),2)</f>
        <v>0</v>
      </c>
      <c r="AE140" s="59">
        <f>ROUND(IF(AQ140="7",BI140,0),2)</f>
        <v>0</v>
      </c>
      <c r="AF140" s="59">
        <f>ROUND(IF(AQ140="2",BH140,0),2)</f>
        <v>0</v>
      </c>
      <c r="AG140" s="59">
        <f>ROUND(IF(AQ140="2",BI140,0),2)</f>
        <v>0</v>
      </c>
      <c r="AH140" s="59">
        <f>ROUND(IF(AQ140="0",BJ140,0),2)</f>
        <v>0</v>
      </c>
      <c r="AI140" s="46" t="s">
        <v>471</v>
      </c>
      <c r="AJ140" s="59">
        <f>IF(AN140=0,I140,0)</f>
        <v>0</v>
      </c>
      <c r="AK140" s="59">
        <f>IF(AN140=12,I140,0)</f>
        <v>0</v>
      </c>
      <c r="AL140" s="59">
        <f>IF(AN140=21,I140,0)</f>
        <v>0</v>
      </c>
      <c r="AN140" s="59">
        <v>12</v>
      </c>
      <c r="AO140" s="59">
        <f>H140*0</f>
        <v>0</v>
      </c>
      <c r="AP140" s="59">
        <f>H140*(1-0)</f>
        <v>0</v>
      </c>
      <c r="AQ140" s="61" t="s">
        <v>111</v>
      </c>
      <c r="AV140" s="59">
        <f>ROUND(AW140+AX140,2)</f>
        <v>0</v>
      </c>
      <c r="AW140" s="59">
        <f>ROUND(G140*AO140,2)</f>
        <v>0</v>
      </c>
      <c r="AX140" s="59">
        <f>ROUND(G140*AP140,2)</f>
        <v>0</v>
      </c>
      <c r="AY140" s="61" t="s">
        <v>295</v>
      </c>
      <c r="AZ140" s="61" t="s">
        <v>480</v>
      </c>
      <c r="BA140" s="46" t="s">
        <v>474</v>
      </c>
      <c r="BC140" s="59">
        <f>AW140+AX140</f>
        <v>0</v>
      </c>
      <c r="BD140" s="59">
        <f>H140/(100-BE140)*100</f>
        <v>0</v>
      </c>
      <c r="BE140" s="59">
        <v>0</v>
      </c>
      <c r="BF140" s="59">
        <f>L140</f>
        <v>0</v>
      </c>
      <c r="BH140" s="59">
        <f>G140*AO140</f>
        <v>0</v>
      </c>
      <c r="BI140" s="59">
        <f>G140*AP140</f>
        <v>0</v>
      </c>
      <c r="BJ140" s="59">
        <f>G140*H140</f>
        <v>0</v>
      </c>
      <c r="BK140" s="59"/>
      <c r="BL140" s="59">
        <v>96</v>
      </c>
      <c r="BW140" s="59">
        <v>12</v>
      </c>
      <c r="BX140" s="16" t="s">
        <v>298</v>
      </c>
    </row>
    <row r="141" spans="1:76" x14ac:dyDescent="0.25">
      <c r="A141" s="62"/>
      <c r="D141" s="63" t="s">
        <v>431</v>
      </c>
      <c r="E141" s="63"/>
      <c r="G141" s="64">
        <v>44</v>
      </c>
      <c r="M141" s="65"/>
    </row>
    <row r="142" spans="1:76" ht="15" customHeight="1" x14ac:dyDescent="0.25">
      <c r="A142" s="58" t="s">
        <v>432</v>
      </c>
      <c r="B142" s="18" t="s">
        <v>471</v>
      </c>
      <c r="C142" s="18" t="s">
        <v>302</v>
      </c>
      <c r="D142" s="8" t="s">
        <v>303</v>
      </c>
      <c r="E142" s="8"/>
      <c r="F142" s="18" t="s">
        <v>114</v>
      </c>
      <c r="G142" s="59">
        <f>'Stavební rozpočet'!G359</f>
        <v>57.6</v>
      </c>
      <c r="H142" s="59">
        <f>'Stavební rozpočet'!H359</f>
        <v>0</v>
      </c>
      <c r="I142" s="59">
        <f>ROUND(G142*H142,2)</f>
        <v>0</v>
      </c>
      <c r="J142" s="59">
        <f>'Stavební rozpočet'!J359</f>
        <v>1E-3</v>
      </c>
      <c r="K142" s="59">
        <f>'Stavební rozpočet'!K359</f>
        <v>3.2000000000000001E-2</v>
      </c>
      <c r="L142" s="59">
        <f>G142*K142</f>
        <v>1.8432000000000002</v>
      </c>
      <c r="M142" s="60" t="s">
        <v>115</v>
      </c>
      <c r="Z142" s="59">
        <f>ROUND(IF(AQ142="5",BJ142,0),2)</f>
        <v>0</v>
      </c>
      <c r="AB142" s="59">
        <f>ROUND(IF(AQ142="1",BH142,0),2)</f>
        <v>0</v>
      </c>
      <c r="AC142" s="59">
        <f>ROUND(IF(AQ142="1",BI142,0),2)</f>
        <v>0</v>
      </c>
      <c r="AD142" s="59">
        <f>ROUND(IF(AQ142="7",BH142,0),2)</f>
        <v>0</v>
      </c>
      <c r="AE142" s="59">
        <f>ROUND(IF(AQ142="7",BI142,0),2)</f>
        <v>0</v>
      </c>
      <c r="AF142" s="59">
        <f>ROUND(IF(AQ142="2",BH142,0),2)</f>
        <v>0</v>
      </c>
      <c r="AG142" s="59">
        <f>ROUND(IF(AQ142="2",BI142,0),2)</f>
        <v>0</v>
      </c>
      <c r="AH142" s="59">
        <f>ROUND(IF(AQ142="0",BJ142,0),2)</f>
        <v>0</v>
      </c>
      <c r="AI142" s="46" t="s">
        <v>471</v>
      </c>
      <c r="AJ142" s="59">
        <f>IF(AN142=0,I142,0)</f>
        <v>0</v>
      </c>
      <c r="AK142" s="59">
        <f>IF(AN142=12,I142,0)</f>
        <v>0</v>
      </c>
      <c r="AL142" s="59">
        <f>IF(AN142=21,I142,0)</f>
        <v>0</v>
      </c>
      <c r="AN142" s="59">
        <v>12</v>
      </c>
      <c r="AO142" s="59">
        <f>H142*0.133991144</f>
        <v>0</v>
      </c>
      <c r="AP142" s="59">
        <f>H142*(1-0.133991144)</f>
        <v>0</v>
      </c>
      <c r="AQ142" s="61" t="s">
        <v>111</v>
      </c>
      <c r="AV142" s="59">
        <f>ROUND(AW142+AX142,2)</f>
        <v>0</v>
      </c>
      <c r="AW142" s="59">
        <f>ROUND(G142*AO142,2)</f>
        <v>0</v>
      </c>
      <c r="AX142" s="59">
        <f>ROUND(G142*AP142,2)</f>
        <v>0</v>
      </c>
      <c r="AY142" s="61" t="s">
        <v>295</v>
      </c>
      <c r="AZ142" s="61" t="s">
        <v>480</v>
      </c>
      <c r="BA142" s="46" t="s">
        <v>474</v>
      </c>
      <c r="BC142" s="59">
        <f>AW142+AX142</f>
        <v>0</v>
      </c>
      <c r="BD142" s="59">
        <f>H142/(100-BE142)*100</f>
        <v>0</v>
      </c>
      <c r="BE142" s="59">
        <v>0</v>
      </c>
      <c r="BF142" s="59">
        <f>L142</f>
        <v>1.8432000000000002</v>
      </c>
      <c r="BH142" s="59">
        <f>G142*AO142</f>
        <v>0</v>
      </c>
      <c r="BI142" s="59">
        <f>G142*AP142</f>
        <v>0</v>
      </c>
      <c r="BJ142" s="59">
        <f>G142*H142</f>
        <v>0</v>
      </c>
      <c r="BK142" s="59"/>
      <c r="BL142" s="59">
        <v>96</v>
      </c>
      <c r="BW142" s="59">
        <v>12</v>
      </c>
      <c r="BX142" s="16" t="s">
        <v>303</v>
      </c>
    </row>
    <row r="143" spans="1:76" x14ac:dyDescent="0.25">
      <c r="A143" s="62"/>
      <c r="D143" s="63" t="s">
        <v>433</v>
      </c>
      <c r="E143" s="63"/>
      <c r="G143" s="64">
        <v>57.6</v>
      </c>
      <c r="M143" s="65"/>
    </row>
    <row r="144" spans="1:76" ht="15" customHeight="1" x14ac:dyDescent="0.25">
      <c r="A144" s="58" t="s">
        <v>434</v>
      </c>
      <c r="B144" s="18" t="s">
        <v>471</v>
      </c>
      <c r="C144" s="18" t="s">
        <v>435</v>
      </c>
      <c r="D144" s="8" t="s">
        <v>436</v>
      </c>
      <c r="E144" s="8"/>
      <c r="F144" s="18" t="s">
        <v>360</v>
      </c>
      <c r="G144" s="59">
        <f>'Stavební rozpočet'!G361</f>
        <v>1.115</v>
      </c>
      <c r="H144" s="59">
        <f>'Stavební rozpočet'!H361</f>
        <v>0</v>
      </c>
      <c r="I144" s="59">
        <f>ROUND(G144*H144,2)</f>
        <v>0</v>
      </c>
      <c r="J144" s="59">
        <f>'Stavební rozpočet'!J361</f>
        <v>0</v>
      </c>
      <c r="K144" s="59">
        <f>'Stavební rozpočet'!K361</f>
        <v>2.2000000000000002</v>
      </c>
      <c r="L144" s="59">
        <f>G144*K144</f>
        <v>2.4530000000000003</v>
      </c>
      <c r="M144" s="60" t="s">
        <v>115</v>
      </c>
      <c r="Z144" s="59">
        <f>ROUND(IF(AQ144="5",BJ144,0),2)</f>
        <v>0</v>
      </c>
      <c r="AB144" s="59">
        <f>ROUND(IF(AQ144="1",BH144,0),2)</f>
        <v>0</v>
      </c>
      <c r="AC144" s="59">
        <f>ROUND(IF(AQ144="1",BI144,0),2)</f>
        <v>0</v>
      </c>
      <c r="AD144" s="59">
        <f>ROUND(IF(AQ144="7",BH144,0),2)</f>
        <v>0</v>
      </c>
      <c r="AE144" s="59">
        <f>ROUND(IF(AQ144="7",BI144,0),2)</f>
        <v>0</v>
      </c>
      <c r="AF144" s="59">
        <f>ROUND(IF(AQ144="2",BH144,0),2)</f>
        <v>0</v>
      </c>
      <c r="AG144" s="59">
        <f>ROUND(IF(AQ144="2",BI144,0),2)</f>
        <v>0</v>
      </c>
      <c r="AH144" s="59">
        <f>ROUND(IF(AQ144="0",BJ144,0),2)</f>
        <v>0</v>
      </c>
      <c r="AI144" s="46" t="s">
        <v>471</v>
      </c>
      <c r="AJ144" s="59">
        <f>IF(AN144=0,I144,0)</f>
        <v>0</v>
      </c>
      <c r="AK144" s="59">
        <f>IF(AN144=12,I144,0)</f>
        <v>0</v>
      </c>
      <c r="AL144" s="59">
        <f>IF(AN144=21,I144,0)</f>
        <v>0</v>
      </c>
      <c r="AN144" s="59">
        <v>12</v>
      </c>
      <c r="AO144" s="59">
        <f>H144*0</f>
        <v>0</v>
      </c>
      <c r="AP144" s="59">
        <f>H144*(1-0)</f>
        <v>0</v>
      </c>
      <c r="AQ144" s="61" t="s">
        <v>111</v>
      </c>
      <c r="AV144" s="59">
        <f>ROUND(AW144+AX144,2)</f>
        <v>0</v>
      </c>
      <c r="AW144" s="59">
        <f>ROUND(G144*AO144,2)</f>
        <v>0</v>
      </c>
      <c r="AX144" s="59">
        <f>ROUND(G144*AP144,2)</f>
        <v>0</v>
      </c>
      <c r="AY144" s="61" t="s">
        <v>295</v>
      </c>
      <c r="AZ144" s="61" t="s">
        <v>480</v>
      </c>
      <c r="BA144" s="46" t="s">
        <v>474</v>
      </c>
      <c r="BC144" s="59">
        <f>AW144+AX144</f>
        <v>0</v>
      </c>
      <c r="BD144" s="59">
        <f>H144/(100-BE144)*100</f>
        <v>0</v>
      </c>
      <c r="BE144" s="59">
        <v>0</v>
      </c>
      <c r="BF144" s="59">
        <f>L144</f>
        <v>2.4530000000000003</v>
      </c>
      <c r="BH144" s="59">
        <f>G144*AO144</f>
        <v>0</v>
      </c>
      <c r="BI144" s="59">
        <f>G144*AP144</f>
        <v>0</v>
      </c>
      <c r="BJ144" s="59">
        <f>G144*H144</f>
        <v>0</v>
      </c>
      <c r="BK144" s="59"/>
      <c r="BL144" s="59">
        <v>96</v>
      </c>
      <c r="BW144" s="59">
        <v>12</v>
      </c>
      <c r="BX144" s="16" t="s">
        <v>436</v>
      </c>
    </row>
    <row r="145" spans="1:76" x14ac:dyDescent="0.25">
      <c r="A145" s="62"/>
      <c r="D145" s="63" t="s">
        <v>362</v>
      </c>
      <c r="E145" s="63"/>
      <c r="G145" s="64">
        <v>1.115</v>
      </c>
      <c r="M145" s="65"/>
    </row>
    <row r="146" spans="1:76" ht="15" customHeight="1" x14ac:dyDescent="0.25">
      <c r="A146" s="58" t="s">
        <v>437</v>
      </c>
      <c r="B146" s="18" t="s">
        <v>471</v>
      </c>
      <c r="C146" s="18" t="s">
        <v>438</v>
      </c>
      <c r="D146" s="8" t="s">
        <v>439</v>
      </c>
      <c r="E146" s="8"/>
      <c r="F146" s="18" t="s">
        <v>360</v>
      </c>
      <c r="G146" s="59">
        <f>'Stavební rozpočet'!G363</f>
        <v>0.89200000000000002</v>
      </c>
      <c r="H146" s="59">
        <f>'Stavební rozpočet'!H363</f>
        <v>0</v>
      </c>
      <c r="I146" s="59">
        <f>ROUND(G146*H146,2)</f>
        <v>0</v>
      </c>
      <c r="J146" s="59">
        <f>'Stavební rozpočet'!J363</f>
        <v>0</v>
      </c>
      <c r="K146" s="59">
        <f>'Stavební rozpočet'!K363</f>
        <v>2.2000000000000002</v>
      </c>
      <c r="L146" s="59">
        <f>G146*K146</f>
        <v>1.9624000000000001</v>
      </c>
      <c r="M146" s="60" t="s">
        <v>115</v>
      </c>
      <c r="Z146" s="59">
        <f>ROUND(IF(AQ146="5",BJ146,0),2)</f>
        <v>0</v>
      </c>
      <c r="AB146" s="59">
        <f>ROUND(IF(AQ146="1",BH146,0),2)</f>
        <v>0</v>
      </c>
      <c r="AC146" s="59">
        <f>ROUND(IF(AQ146="1",BI146,0),2)</f>
        <v>0</v>
      </c>
      <c r="AD146" s="59">
        <f>ROUND(IF(AQ146="7",BH146,0),2)</f>
        <v>0</v>
      </c>
      <c r="AE146" s="59">
        <f>ROUND(IF(AQ146="7",BI146,0),2)</f>
        <v>0</v>
      </c>
      <c r="AF146" s="59">
        <f>ROUND(IF(AQ146="2",BH146,0),2)</f>
        <v>0</v>
      </c>
      <c r="AG146" s="59">
        <f>ROUND(IF(AQ146="2",BI146,0),2)</f>
        <v>0</v>
      </c>
      <c r="AH146" s="59">
        <f>ROUND(IF(AQ146="0",BJ146,0),2)</f>
        <v>0</v>
      </c>
      <c r="AI146" s="46" t="s">
        <v>471</v>
      </c>
      <c r="AJ146" s="59">
        <f>IF(AN146=0,I146,0)</f>
        <v>0</v>
      </c>
      <c r="AK146" s="59">
        <f>IF(AN146=12,I146,0)</f>
        <v>0</v>
      </c>
      <c r="AL146" s="59">
        <f>IF(AN146=21,I146,0)</f>
        <v>0</v>
      </c>
      <c r="AN146" s="59">
        <v>12</v>
      </c>
      <c r="AO146" s="59">
        <f>H146*0</f>
        <v>0</v>
      </c>
      <c r="AP146" s="59">
        <f>H146*(1-0)</f>
        <v>0</v>
      </c>
      <c r="AQ146" s="61" t="s">
        <v>111</v>
      </c>
      <c r="AV146" s="59">
        <f>ROUND(AW146+AX146,2)</f>
        <v>0</v>
      </c>
      <c r="AW146" s="59">
        <f>ROUND(G146*AO146,2)</f>
        <v>0</v>
      </c>
      <c r="AX146" s="59">
        <f>ROUND(G146*AP146,2)</f>
        <v>0</v>
      </c>
      <c r="AY146" s="61" t="s">
        <v>295</v>
      </c>
      <c r="AZ146" s="61" t="s">
        <v>480</v>
      </c>
      <c r="BA146" s="46" t="s">
        <v>474</v>
      </c>
      <c r="BC146" s="59">
        <f>AW146+AX146</f>
        <v>0</v>
      </c>
      <c r="BD146" s="59">
        <f>H146/(100-BE146)*100</f>
        <v>0</v>
      </c>
      <c r="BE146" s="59">
        <v>0</v>
      </c>
      <c r="BF146" s="59">
        <f>L146</f>
        <v>1.9624000000000001</v>
      </c>
      <c r="BH146" s="59">
        <f>G146*AO146</f>
        <v>0</v>
      </c>
      <c r="BI146" s="59">
        <f>G146*AP146</f>
        <v>0</v>
      </c>
      <c r="BJ146" s="59">
        <f>G146*H146</f>
        <v>0</v>
      </c>
      <c r="BK146" s="59"/>
      <c r="BL146" s="59">
        <v>96</v>
      </c>
      <c r="BW146" s="59">
        <v>12</v>
      </c>
      <c r="BX146" s="16" t="s">
        <v>439</v>
      </c>
    </row>
    <row r="147" spans="1:76" x14ac:dyDescent="0.25">
      <c r="A147" s="62"/>
      <c r="D147" s="63" t="s">
        <v>440</v>
      </c>
      <c r="E147" s="63"/>
      <c r="G147" s="64">
        <v>0.89200000000000002</v>
      </c>
      <c r="M147" s="65"/>
    </row>
    <row r="148" spans="1:76" ht="15" customHeight="1" x14ac:dyDescent="0.25">
      <c r="A148" s="58" t="s">
        <v>441</v>
      </c>
      <c r="B148" s="18" t="s">
        <v>471</v>
      </c>
      <c r="C148" s="18" t="s">
        <v>442</v>
      </c>
      <c r="D148" s="8" t="s">
        <v>443</v>
      </c>
      <c r="E148" s="8"/>
      <c r="F148" s="18" t="s">
        <v>114</v>
      </c>
      <c r="G148" s="59">
        <f>'Stavební rozpočet'!G365</f>
        <v>22.3</v>
      </c>
      <c r="H148" s="59">
        <f>'Stavební rozpočet'!H365</f>
        <v>0</v>
      </c>
      <c r="I148" s="59">
        <f>ROUND(G148*H148,2)</f>
        <v>0</v>
      </c>
      <c r="J148" s="59">
        <f>'Stavební rozpočet'!J365</f>
        <v>0</v>
      </c>
      <c r="K148" s="59">
        <f>'Stavební rozpočet'!K365</f>
        <v>1.26E-2</v>
      </c>
      <c r="L148" s="59">
        <f>G148*K148</f>
        <v>0.28098000000000001</v>
      </c>
      <c r="M148" s="60" t="s">
        <v>115</v>
      </c>
      <c r="Z148" s="59">
        <f>ROUND(IF(AQ148="5",BJ148,0),2)</f>
        <v>0</v>
      </c>
      <c r="AB148" s="59">
        <f>ROUND(IF(AQ148="1",BH148,0),2)</f>
        <v>0</v>
      </c>
      <c r="AC148" s="59">
        <f>ROUND(IF(AQ148="1",BI148,0),2)</f>
        <v>0</v>
      </c>
      <c r="AD148" s="59">
        <f>ROUND(IF(AQ148="7",BH148,0),2)</f>
        <v>0</v>
      </c>
      <c r="AE148" s="59">
        <f>ROUND(IF(AQ148="7",BI148,0),2)</f>
        <v>0</v>
      </c>
      <c r="AF148" s="59">
        <f>ROUND(IF(AQ148="2",BH148,0),2)</f>
        <v>0</v>
      </c>
      <c r="AG148" s="59">
        <f>ROUND(IF(AQ148="2",BI148,0),2)</f>
        <v>0</v>
      </c>
      <c r="AH148" s="59">
        <f>ROUND(IF(AQ148="0",BJ148,0),2)</f>
        <v>0</v>
      </c>
      <c r="AI148" s="46" t="s">
        <v>471</v>
      </c>
      <c r="AJ148" s="59">
        <f>IF(AN148=0,I148,0)</f>
        <v>0</v>
      </c>
      <c r="AK148" s="59">
        <f>IF(AN148=12,I148,0)</f>
        <v>0</v>
      </c>
      <c r="AL148" s="59">
        <f>IF(AN148=21,I148,0)</f>
        <v>0</v>
      </c>
      <c r="AN148" s="59">
        <v>12</v>
      </c>
      <c r="AO148" s="59">
        <f>H148*0</f>
        <v>0</v>
      </c>
      <c r="AP148" s="59">
        <f>H148*(1-0)</f>
        <v>0</v>
      </c>
      <c r="AQ148" s="61" t="s">
        <v>111</v>
      </c>
      <c r="AV148" s="59">
        <f>ROUND(AW148+AX148,2)</f>
        <v>0</v>
      </c>
      <c r="AW148" s="59">
        <f>ROUND(G148*AO148,2)</f>
        <v>0</v>
      </c>
      <c r="AX148" s="59">
        <f>ROUND(G148*AP148,2)</f>
        <v>0</v>
      </c>
      <c r="AY148" s="61" t="s">
        <v>295</v>
      </c>
      <c r="AZ148" s="61" t="s">
        <v>480</v>
      </c>
      <c r="BA148" s="46" t="s">
        <v>474</v>
      </c>
      <c r="BC148" s="59">
        <f>AW148+AX148</f>
        <v>0</v>
      </c>
      <c r="BD148" s="59">
        <f>H148/(100-BE148)*100</f>
        <v>0</v>
      </c>
      <c r="BE148" s="59">
        <v>0</v>
      </c>
      <c r="BF148" s="59">
        <f>L148</f>
        <v>0.28098000000000001</v>
      </c>
      <c r="BH148" s="59">
        <f>G148*AO148</f>
        <v>0</v>
      </c>
      <c r="BI148" s="59">
        <f>G148*AP148</f>
        <v>0</v>
      </c>
      <c r="BJ148" s="59">
        <f>G148*H148</f>
        <v>0</v>
      </c>
      <c r="BK148" s="59"/>
      <c r="BL148" s="59">
        <v>96</v>
      </c>
      <c r="BW148" s="59">
        <v>12</v>
      </c>
      <c r="BX148" s="16" t="s">
        <v>443</v>
      </c>
    </row>
    <row r="149" spans="1:76" x14ac:dyDescent="0.25">
      <c r="A149" s="62"/>
      <c r="D149" s="63" t="s">
        <v>444</v>
      </c>
      <c r="E149" s="63"/>
      <c r="G149" s="64">
        <v>22.3</v>
      </c>
      <c r="M149" s="65"/>
    </row>
    <row r="150" spans="1:76" ht="15" customHeight="1" x14ac:dyDescent="0.25">
      <c r="A150" s="58" t="s">
        <v>445</v>
      </c>
      <c r="B150" s="18" t="s">
        <v>471</v>
      </c>
      <c r="C150" s="18" t="s">
        <v>446</v>
      </c>
      <c r="D150" s="8" t="s">
        <v>447</v>
      </c>
      <c r="E150" s="8"/>
      <c r="F150" s="18" t="s">
        <v>114</v>
      </c>
      <c r="G150" s="59">
        <f>'Stavební rozpočet'!G367</f>
        <v>23.3</v>
      </c>
      <c r="H150" s="59">
        <f>'Stavební rozpočet'!H367</f>
        <v>0</v>
      </c>
      <c r="I150" s="59">
        <f>ROUND(G150*H150,2)</f>
        <v>0</v>
      </c>
      <c r="J150" s="59">
        <f>'Stavební rozpočet'!J367</f>
        <v>0</v>
      </c>
      <c r="K150" s="59">
        <f>'Stavební rozpočet'!K367</f>
        <v>4.4999999999999998E-2</v>
      </c>
      <c r="L150" s="59">
        <f>G150*K150</f>
        <v>1.0485</v>
      </c>
      <c r="M150" s="60" t="s">
        <v>115</v>
      </c>
      <c r="Z150" s="59">
        <f>ROUND(IF(AQ150="5",BJ150,0),2)</f>
        <v>0</v>
      </c>
      <c r="AB150" s="59">
        <f>ROUND(IF(AQ150="1",BH150,0),2)</f>
        <v>0</v>
      </c>
      <c r="AC150" s="59">
        <f>ROUND(IF(AQ150="1",BI150,0),2)</f>
        <v>0</v>
      </c>
      <c r="AD150" s="59">
        <f>ROUND(IF(AQ150="7",BH150,0),2)</f>
        <v>0</v>
      </c>
      <c r="AE150" s="59">
        <f>ROUND(IF(AQ150="7",BI150,0),2)</f>
        <v>0</v>
      </c>
      <c r="AF150" s="59">
        <f>ROUND(IF(AQ150="2",BH150,0),2)</f>
        <v>0</v>
      </c>
      <c r="AG150" s="59">
        <f>ROUND(IF(AQ150="2",BI150,0),2)</f>
        <v>0</v>
      </c>
      <c r="AH150" s="59">
        <f>ROUND(IF(AQ150="0",BJ150,0),2)</f>
        <v>0</v>
      </c>
      <c r="AI150" s="46" t="s">
        <v>471</v>
      </c>
      <c r="AJ150" s="59">
        <f>IF(AN150=0,I150,0)</f>
        <v>0</v>
      </c>
      <c r="AK150" s="59">
        <f>IF(AN150=12,I150,0)</f>
        <v>0</v>
      </c>
      <c r="AL150" s="59">
        <f>IF(AN150=21,I150,0)</f>
        <v>0</v>
      </c>
      <c r="AN150" s="59">
        <v>12</v>
      </c>
      <c r="AO150" s="59">
        <f>H150*0</f>
        <v>0</v>
      </c>
      <c r="AP150" s="59">
        <f>H150*(1-0)</f>
        <v>0</v>
      </c>
      <c r="AQ150" s="61" t="s">
        <v>111</v>
      </c>
      <c r="AV150" s="59">
        <f>ROUND(AW150+AX150,2)</f>
        <v>0</v>
      </c>
      <c r="AW150" s="59">
        <f>ROUND(G150*AO150,2)</f>
        <v>0</v>
      </c>
      <c r="AX150" s="59">
        <f>ROUND(G150*AP150,2)</f>
        <v>0</v>
      </c>
      <c r="AY150" s="61" t="s">
        <v>295</v>
      </c>
      <c r="AZ150" s="61" t="s">
        <v>480</v>
      </c>
      <c r="BA150" s="46" t="s">
        <v>474</v>
      </c>
      <c r="BC150" s="59">
        <f>AW150+AX150</f>
        <v>0</v>
      </c>
      <c r="BD150" s="59">
        <f>H150/(100-BE150)*100</f>
        <v>0</v>
      </c>
      <c r="BE150" s="59">
        <v>0</v>
      </c>
      <c r="BF150" s="59">
        <f>L150</f>
        <v>1.0485</v>
      </c>
      <c r="BH150" s="59">
        <f>G150*AO150</f>
        <v>0</v>
      </c>
      <c r="BI150" s="59">
        <f>G150*AP150</f>
        <v>0</v>
      </c>
      <c r="BJ150" s="59">
        <f>G150*H150</f>
        <v>0</v>
      </c>
      <c r="BK150" s="59"/>
      <c r="BL150" s="59">
        <v>96</v>
      </c>
      <c r="BW150" s="59">
        <v>12</v>
      </c>
      <c r="BX150" s="16" t="s">
        <v>447</v>
      </c>
    </row>
    <row r="151" spans="1:76" x14ac:dyDescent="0.25">
      <c r="A151" s="62"/>
      <c r="D151" s="63" t="s">
        <v>379</v>
      </c>
      <c r="E151" s="63"/>
      <c r="G151" s="64">
        <v>22.3</v>
      </c>
      <c r="M151" s="65"/>
    </row>
    <row r="152" spans="1:76" x14ac:dyDescent="0.25">
      <c r="A152" s="62"/>
      <c r="D152" s="63" t="s">
        <v>448</v>
      </c>
      <c r="E152" s="63"/>
      <c r="G152" s="64">
        <v>1</v>
      </c>
      <c r="M152" s="65"/>
    </row>
    <row r="153" spans="1:76" ht="15" customHeight="1" x14ac:dyDescent="0.25">
      <c r="A153" s="54"/>
      <c r="B153" s="55" t="s">
        <v>471</v>
      </c>
      <c r="C153" s="55" t="s">
        <v>312</v>
      </c>
      <c r="D153" s="104" t="s">
        <v>313</v>
      </c>
      <c r="E153" s="104"/>
      <c r="F153" s="56" t="s">
        <v>88</v>
      </c>
      <c r="G153" s="56" t="s">
        <v>88</v>
      </c>
      <c r="H153" s="56" t="s">
        <v>88</v>
      </c>
      <c r="I153" s="39">
        <f>SUM(I154)</f>
        <v>0</v>
      </c>
      <c r="J153" s="46"/>
      <c r="K153" s="46"/>
      <c r="L153" s="39">
        <f>SUM(L154)</f>
        <v>1.19784</v>
      </c>
      <c r="M153" s="57"/>
      <c r="AI153" s="46" t="s">
        <v>471</v>
      </c>
      <c r="AS153" s="39">
        <f>SUM(AJ154)</f>
        <v>0</v>
      </c>
      <c r="AT153" s="39">
        <f>SUM(AK154)</f>
        <v>0</v>
      </c>
      <c r="AU153" s="39">
        <f>SUM(AL154)</f>
        <v>0</v>
      </c>
    </row>
    <row r="154" spans="1:76" ht="15" customHeight="1" x14ac:dyDescent="0.25">
      <c r="A154" s="58" t="s">
        <v>449</v>
      </c>
      <c r="B154" s="18" t="s">
        <v>471</v>
      </c>
      <c r="C154" s="18" t="s">
        <v>315</v>
      </c>
      <c r="D154" s="8" t="s">
        <v>316</v>
      </c>
      <c r="E154" s="8"/>
      <c r="F154" s="18" t="s">
        <v>114</v>
      </c>
      <c r="G154" s="59">
        <f>'Stavební rozpočet'!G371</f>
        <v>26.04</v>
      </c>
      <c r="H154" s="59">
        <f>'Stavební rozpočet'!H371</f>
        <v>0</v>
      </c>
      <c r="I154" s="59">
        <f>ROUND(G154*H154,2)</f>
        <v>0</v>
      </c>
      <c r="J154" s="59">
        <f>'Stavební rozpočet'!J371</f>
        <v>0</v>
      </c>
      <c r="K154" s="59">
        <f>'Stavební rozpočet'!K371</f>
        <v>4.5999999999999999E-2</v>
      </c>
      <c r="L154" s="59">
        <f>G154*K154</f>
        <v>1.19784</v>
      </c>
      <c r="M154" s="60" t="s">
        <v>115</v>
      </c>
      <c r="Z154" s="59">
        <f>ROUND(IF(AQ154="5",BJ154,0),2)</f>
        <v>0</v>
      </c>
      <c r="AB154" s="59">
        <f>ROUND(IF(AQ154="1",BH154,0),2)</f>
        <v>0</v>
      </c>
      <c r="AC154" s="59">
        <f>ROUND(IF(AQ154="1",BI154,0),2)</f>
        <v>0</v>
      </c>
      <c r="AD154" s="59">
        <f>ROUND(IF(AQ154="7",BH154,0),2)</f>
        <v>0</v>
      </c>
      <c r="AE154" s="59">
        <f>ROUND(IF(AQ154="7",BI154,0),2)</f>
        <v>0</v>
      </c>
      <c r="AF154" s="59">
        <f>ROUND(IF(AQ154="2",BH154,0),2)</f>
        <v>0</v>
      </c>
      <c r="AG154" s="59">
        <f>ROUND(IF(AQ154="2",BI154,0),2)</f>
        <v>0</v>
      </c>
      <c r="AH154" s="59">
        <f>ROUND(IF(AQ154="0",BJ154,0),2)</f>
        <v>0</v>
      </c>
      <c r="AI154" s="46" t="s">
        <v>471</v>
      </c>
      <c r="AJ154" s="59">
        <f>IF(AN154=0,I154,0)</f>
        <v>0</v>
      </c>
      <c r="AK154" s="59">
        <f>IF(AN154=12,I154,0)</f>
        <v>0</v>
      </c>
      <c r="AL154" s="59">
        <f>IF(AN154=21,I154,0)</f>
        <v>0</v>
      </c>
      <c r="AN154" s="59">
        <v>12</v>
      </c>
      <c r="AO154" s="59">
        <f>H154*0</f>
        <v>0</v>
      </c>
      <c r="AP154" s="59">
        <f>H154*(1-0)</f>
        <v>0</v>
      </c>
      <c r="AQ154" s="61" t="s">
        <v>111</v>
      </c>
      <c r="AV154" s="59">
        <f>ROUND(AW154+AX154,2)</f>
        <v>0</v>
      </c>
      <c r="AW154" s="59">
        <f>ROUND(G154*AO154,2)</f>
        <v>0</v>
      </c>
      <c r="AX154" s="59">
        <f>ROUND(G154*AP154,2)</f>
        <v>0</v>
      </c>
      <c r="AY154" s="61" t="s">
        <v>317</v>
      </c>
      <c r="AZ154" s="61" t="s">
        <v>480</v>
      </c>
      <c r="BA154" s="46" t="s">
        <v>474</v>
      </c>
      <c r="BC154" s="59">
        <f>AW154+AX154</f>
        <v>0</v>
      </c>
      <c r="BD154" s="59">
        <f>H154/(100-BE154)*100</f>
        <v>0</v>
      </c>
      <c r="BE154" s="59">
        <v>0</v>
      </c>
      <c r="BF154" s="59">
        <f>L154</f>
        <v>1.19784</v>
      </c>
      <c r="BH154" s="59">
        <f>G154*AO154</f>
        <v>0</v>
      </c>
      <c r="BI154" s="59">
        <f>G154*AP154</f>
        <v>0</v>
      </c>
      <c r="BJ154" s="59">
        <f>G154*H154</f>
        <v>0</v>
      </c>
      <c r="BK154" s="59"/>
      <c r="BL154" s="59">
        <v>97</v>
      </c>
      <c r="BW154" s="59">
        <v>12</v>
      </c>
      <c r="BX154" s="16" t="s">
        <v>316</v>
      </c>
    </row>
    <row r="155" spans="1:76" x14ac:dyDescent="0.25">
      <c r="A155" s="62"/>
      <c r="D155" s="63" t="s">
        <v>450</v>
      </c>
      <c r="E155" s="63"/>
      <c r="G155" s="64">
        <v>26.04</v>
      </c>
      <c r="M155" s="65"/>
    </row>
    <row r="156" spans="1:76" ht="15" customHeight="1" x14ac:dyDescent="0.25">
      <c r="A156" s="54"/>
      <c r="B156" s="55" t="s">
        <v>471</v>
      </c>
      <c r="C156" s="55" t="s">
        <v>318</v>
      </c>
      <c r="D156" s="104" t="s">
        <v>319</v>
      </c>
      <c r="E156" s="104"/>
      <c r="F156" s="56" t="s">
        <v>88</v>
      </c>
      <c r="G156" s="56" t="s">
        <v>88</v>
      </c>
      <c r="H156" s="56" t="s">
        <v>88</v>
      </c>
      <c r="I156" s="39">
        <f>SUM(I157)</f>
        <v>0</v>
      </c>
      <c r="J156" s="46"/>
      <c r="K156" s="46"/>
      <c r="L156" s="39">
        <f>SUM(L157)</f>
        <v>0</v>
      </c>
      <c r="M156" s="57"/>
      <c r="AI156" s="46" t="s">
        <v>471</v>
      </c>
      <c r="AS156" s="39">
        <f>SUM(AJ157)</f>
        <v>0</v>
      </c>
      <c r="AT156" s="39">
        <f>SUM(AK157)</f>
        <v>0</v>
      </c>
      <c r="AU156" s="39">
        <f>SUM(AL157)</f>
        <v>0</v>
      </c>
    </row>
    <row r="157" spans="1:76" ht="15" customHeight="1" x14ac:dyDescent="0.25">
      <c r="A157" s="58" t="s">
        <v>451</v>
      </c>
      <c r="B157" s="18" t="s">
        <v>471</v>
      </c>
      <c r="C157" s="18" t="s">
        <v>321</v>
      </c>
      <c r="D157" s="8" t="s">
        <v>322</v>
      </c>
      <c r="E157" s="8"/>
      <c r="F157" s="18" t="s">
        <v>224</v>
      </c>
      <c r="G157" s="59">
        <f>'Stavební rozpočet'!G374</f>
        <v>5.1639999999999997</v>
      </c>
      <c r="H157" s="59">
        <f>'Stavební rozpočet'!H374</f>
        <v>0</v>
      </c>
      <c r="I157" s="59">
        <f>ROUND(G157*H157,2)</f>
        <v>0</v>
      </c>
      <c r="J157" s="59">
        <f>'Stavební rozpočet'!J374</f>
        <v>0</v>
      </c>
      <c r="K157" s="59">
        <f>'Stavební rozpočet'!K374</f>
        <v>0</v>
      </c>
      <c r="L157" s="59">
        <f>G157*K157</f>
        <v>0</v>
      </c>
      <c r="M157" s="60" t="s">
        <v>115</v>
      </c>
      <c r="Z157" s="59">
        <f>ROUND(IF(AQ157="5",BJ157,0),2)</f>
        <v>0</v>
      </c>
      <c r="AB157" s="59">
        <f>ROUND(IF(AQ157="1",BH157,0),2)</f>
        <v>0</v>
      </c>
      <c r="AC157" s="59">
        <f>ROUND(IF(AQ157="1",BI157,0),2)</f>
        <v>0</v>
      </c>
      <c r="AD157" s="59">
        <f>ROUND(IF(AQ157="7",BH157,0),2)</f>
        <v>0</v>
      </c>
      <c r="AE157" s="59">
        <f>ROUND(IF(AQ157="7",BI157,0),2)</f>
        <v>0</v>
      </c>
      <c r="AF157" s="59">
        <f>ROUND(IF(AQ157="2",BH157,0),2)</f>
        <v>0</v>
      </c>
      <c r="AG157" s="59">
        <f>ROUND(IF(AQ157="2",BI157,0),2)</f>
        <v>0</v>
      </c>
      <c r="AH157" s="59">
        <f>ROUND(IF(AQ157="0",BJ157,0),2)</f>
        <v>0</v>
      </c>
      <c r="AI157" s="46" t="s">
        <v>471</v>
      </c>
      <c r="AJ157" s="59">
        <f>IF(AN157=0,I157,0)</f>
        <v>0</v>
      </c>
      <c r="AK157" s="59">
        <f>IF(AN157=12,I157,0)</f>
        <v>0</v>
      </c>
      <c r="AL157" s="59">
        <f>IF(AN157=21,I157,0)</f>
        <v>0</v>
      </c>
      <c r="AN157" s="59">
        <v>12</v>
      </c>
      <c r="AO157" s="59">
        <f>H157*0</f>
        <v>0</v>
      </c>
      <c r="AP157" s="59">
        <f>H157*(1-0)</f>
        <v>0</v>
      </c>
      <c r="AQ157" s="61" t="s">
        <v>137</v>
      </c>
      <c r="AV157" s="59">
        <f>ROUND(AW157+AX157,2)</f>
        <v>0</v>
      </c>
      <c r="AW157" s="59">
        <f>ROUND(G157*AO157,2)</f>
        <v>0</v>
      </c>
      <c r="AX157" s="59">
        <f>ROUND(G157*AP157,2)</f>
        <v>0</v>
      </c>
      <c r="AY157" s="61" t="s">
        <v>323</v>
      </c>
      <c r="AZ157" s="61" t="s">
        <v>480</v>
      </c>
      <c r="BA157" s="46" t="s">
        <v>474</v>
      </c>
      <c r="BC157" s="59">
        <f>AW157+AX157</f>
        <v>0</v>
      </c>
      <c r="BD157" s="59">
        <f>H157/(100-BE157)*100</f>
        <v>0</v>
      </c>
      <c r="BE157" s="59">
        <v>0</v>
      </c>
      <c r="BF157" s="59">
        <f>L157</f>
        <v>0</v>
      </c>
      <c r="BH157" s="59">
        <f>G157*AO157</f>
        <v>0</v>
      </c>
      <c r="BI157" s="59">
        <f>G157*AP157</f>
        <v>0</v>
      </c>
      <c r="BJ157" s="59">
        <f>G157*H157</f>
        <v>0</v>
      </c>
      <c r="BK157" s="59"/>
      <c r="BL157" s="59"/>
      <c r="BW157" s="59">
        <v>12</v>
      </c>
      <c r="BX157" s="16" t="s">
        <v>322</v>
      </c>
    </row>
    <row r="158" spans="1:76" ht="15" customHeight="1" x14ac:dyDescent="0.25">
      <c r="A158" s="54"/>
      <c r="B158" s="55" t="s">
        <v>471</v>
      </c>
      <c r="C158" s="55" t="s">
        <v>324</v>
      </c>
      <c r="D158" s="104" t="s">
        <v>325</v>
      </c>
      <c r="E158" s="104"/>
      <c r="F158" s="56" t="s">
        <v>88</v>
      </c>
      <c r="G158" s="56" t="s">
        <v>88</v>
      </c>
      <c r="H158" s="56" t="s">
        <v>88</v>
      </c>
      <c r="I158" s="39">
        <f>SUM(I159:I173)</f>
        <v>0</v>
      </c>
      <c r="J158" s="46"/>
      <c r="K158" s="46"/>
      <c r="L158" s="39">
        <f>SUM(L159:L173)</f>
        <v>0</v>
      </c>
      <c r="M158" s="57"/>
      <c r="AI158" s="46" t="s">
        <v>471</v>
      </c>
      <c r="AS158" s="39">
        <f>SUM(AJ159:AJ173)</f>
        <v>0</v>
      </c>
      <c r="AT158" s="39">
        <f>SUM(AK159:AK173)</f>
        <v>0</v>
      </c>
      <c r="AU158" s="39">
        <f>SUM(AL159:AL173)</f>
        <v>0</v>
      </c>
    </row>
    <row r="159" spans="1:76" ht="15" customHeight="1" x14ac:dyDescent="0.25">
      <c r="A159" s="58" t="s">
        <v>452</v>
      </c>
      <c r="B159" s="18" t="s">
        <v>471</v>
      </c>
      <c r="C159" s="18" t="s">
        <v>453</v>
      </c>
      <c r="D159" s="8" t="s">
        <v>454</v>
      </c>
      <c r="E159" s="8"/>
      <c r="F159" s="18" t="s">
        <v>224</v>
      </c>
      <c r="G159" s="59">
        <f>'Stavební rozpočet'!G376</f>
        <v>9.3000000000000007</v>
      </c>
      <c r="H159" s="59">
        <f>'Stavební rozpočet'!H376</f>
        <v>0</v>
      </c>
      <c r="I159" s="59">
        <f>ROUND(G159*H159,2)</f>
        <v>0</v>
      </c>
      <c r="J159" s="59">
        <f>'Stavební rozpočet'!J376</f>
        <v>0</v>
      </c>
      <c r="K159" s="59">
        <f>'Stavební rozpočet'!K376</f>
        <v>0</v>
      </c>
      <c r="L159" s="59">
        <f>G159*K159</f>
        <v>0</v>
      </c>
      <c r="M159" s="60" t="s">
        <v>115</v>
      </c>
      <c r="Z159" s="59">
        <f>ROUND(IF(AQ159="5",BJ159,0),2)</f>
        <v>0</v>
      </c>
      <c r="AB159" s="59">
        <f>ROUND(IF(AQ159="1",BH159,0),2)</f>
        <v>0</v>
      </c>
      <c r="AC159" s="59">
        <f>ROUND(IF(AQ159="1",BI159,0),2)</f>
        <v>0</v>
      </c>
      <c r="AD159" s="59">
        <f>ROUND(IF(AQ159="7",BH159,0),2)</f>
        <v>0</v>
      </c>
      <c r="AE159" s="59">
        <f>ROUND(IF(AQ159="7",BI159,0),2)</f>
        <v>0</v>
      </c>
      <c r="AF159" s="59">
        <f>ROUND(IF(AQ159="2",BH159,0),2)</f>
        <v>0</v>
      </c>
      <c r="AG159" s="59">
        <f>ROUND(IF(AQ159="2",BI159,0),2)</f>
        <v>0</v>
      </c>
      <c r="AH159" s="59">
        <f>ROUND(IF(AQ159="0",BJ159,0),2)</f>
        <v>0</v>
      </c>
      <c r="AI159" s="46" t="s">
        <v>471</v>
      </c>
      <c r="AJ159" s="59">
        <f>IF(AN159=0,I159,0)</f>
        <v>0</v>
      </c>
      <c r="AK159" s="59">
        <f>IF(AN159=12,I159,0)</f>
        <v>0</v>
      </c>
      <c r="AL159" s="59">
        <f>IF(AN159=21,I159,0)</f>
        <v>0</v>
      </c>
      <c r="AN159" s="59">
        <v>12</v>
      </c>
      <c r="AO159" s="59">
        <f>H159*0</f>
        <v>0</v>
      </c>
      <c r="AP159" s="59">
        <f>H159*(1-0)</f>
        <v>0</v>
      </c>
      <c r="AQ159" s="61" t="s">
        <v>137</v>
      </c>
      <c r="AV159" s="59">
        <f>ROUND(AW159+AX159,2)</f>
        <v>0</v>
      </c>
      <c r="AW159" s="59">
        <f>ROUND(G159*AO159,2)</f>
        <v>0</v>
      </c>
      <c r="AX159" s="59">
        <f>ROUND(G159*AP159,2)</f>
        <v>0</v>
      </c>
      <c r="AY159" s="61" t="s">
        <v>329</v>
      </c>
      <c r="AZ159" s="61" t="s">
        <v>480</v>
      </c>
      <c r="BA159" s="46" t="s">
        <v>474</v>
      </c>
      <c r="BC159" s="59">
        <f>AW159+AX159</f>
        <v>0</v>
      </c>
      <c r="BD159" s="59">
        <f>H159/(100-BE159)*100</f>
        <v>0</v>
      </c>
      <c r="BE159" s="59">
        <v>0</v>
      </c>
      <c r="BF159" s="59">
        <f>L159</f>
        <v>0</v>
      </c>
      <c r="BH159" s="59">
        <f>G159*AO159</f>
        <v>0</v>
      </c>
      <c r="BI159" s="59">
        <f>G159*AP159</f>
        <v>0</v>
      </c>
      <c r="BJ159" s="59">
        <f>G159*H159</f>
        <v>0</v>
      </c>
      <c r="BK159" s="59"/>
      <c r="BL159" s="59"/>
      <c r="BW159" s="59">
        <v>12</v>
      </c>
      <c r="BX159" s="16" t="s">
        <v>454</v>
      </c>
    </row>
    <row r="160" spans="1:76" x14ac:dyDescent="0.25">
      <c r="A160" s="62"/>
      <c r="D160" s="63" t="s">
        <v>455</v>
      </c>
      <c r="E160" s="63"/>
      <c r="G160" s="64">
        <v>9.3000000000000007</v>
      </c>
      <c r="M160" s="65"/>
    </row>
    <row r="161" spans="1:76" ht="15" customHeight="1" x14ac:dyDescent="0.25">
      <c r="A161" s="58" t="s">
        <v>456</v>
      </c>
      <c r="B161" s="18" t="s">
        <v>471</v>
      </c>
      <c r="C161" s="18" t="s">
        <v>327</v>
      </c>
      <c r="D161" s="8" t="s">
        <v>328</v>
      </c>
      <c r="E161" s="8"/>
      <c r="F161" s="18" t="s">
        <v>224</v>
      </c>
      <c r="G161" s="59">
        <f>'Stavební rozpočet'!G378</f>
        <v>3.32</v>
      </c>
      <c r="H161" s="59">
        <f>'Stavební rozpočet'!H378</f>
        <v>0</v>
      </c>
      <c r="I161" s="59">
        <f>ROUND(G161*H161,2)</f>
        <v>0</v>
      </c>
      <c r="J161" s="59">
        <f>'Stavební rozpočet'!J378</f>
        <v>0</v>
      </c>
      <c r="K161" s="59">
        <f>'Stavební rozpočet'!K378</f>
        <v>0</v>
      </c>
      <c r="L161" s="59">
        <f>G161*K161</f>
        <v>0</v>
      </c>
      <c r="M161" s="60" t="s">
        <v>115</v>
      </c>
      <c r="Z161" s="59">
        <f>ROUND(IF(AQ161="5",BJ161,0),2)</f>
        <v>0</v>
      </c>
      <c r="AB161" s="59">
        <f>ROUND(IF(AQ161="1",BH161,0),2)</f>
        <v>0</v>
      </c>
      <c r="AC161" s="59">
        <f>ROUND(IF(AQ161="1",BI161,0),2)</f>
        <v>0</v>
      </c>
      <c r="AD161" s="59">
        <f>ROUND(IF(AQ161="7",BH161,0),2)</f>
        <v>0</v>
      </c>
      <c r="AE161" s="59">
        <f>ROUND(IF(AQ161="7",BI161,0),2)</f>
        <v>0</v>
      </c>
      <c r="AF161" s="59">
        <f>ROUND(IF(AQ161="2",BH161,0),2)</f>
        <v>0</v>
      </c>
      <c r="AG161" s="59">
        <f>ROUND(IF(AQ161="2",BI161,0),2)</f>
        <v>0</v>
      </c>
      <c r="AH161" s="59">
        <f>ROUND(IF(AQ161="0",BJ161,0),2)</f>
        <v>0</v>
      </c>
      <c r="AI161" s="46" t="s">
        <v>471</v>
      </c>
      <c r="AJ161" s="59">
        <f>IF(AN161=0,I161,0)</f>
        <v>0</v>
      </c>
      <c r="AK161" s="59">
        <f>IF(AN161=12,I161,0)</f>
        <v>0</v>
      </c>
      <c r="AL161" s="59">
        <f>IF(AN161=21,I161,0)</f>
        <v>0</v>
      </c>
      <c r="AN161" s="59">
        <v>12</v>
      </c>
      <c r="AO161" s="59">
        <f>H161*0</f>
        <v>0</v>
      </c>
      <c r="AP161" s="59">
        <f>H161*(1-0)</f>
        <v>0</v>
      </c>
      <c r="AQ161" s="61" t="s">
        <v>137</v>
      </c>
      <c r="AV161" s="59">
        <f>ROUND(AW161+AX161,2)</f>
        <v>0</v>
      </c>
      <c r="AW161" s="59">
        <f>ROUND(G161*AO161,2)</f>
        <v>0</v>
      </c>
      <c r="AX161" s="59">
        <f>ROUND(G161*AP161,2)</f>
        <v>0</v>
      </c>
      <c r="AY161" s="61" t="s">
        <v>329</v>
      </c>
      <c r="AZ161" s="61" t="s">
        <v>480</v>
      </c>
      <c r="BA161" s="46" t="s">
        <v>474</v>
      </c>
      <c r="BC161" s="59">
        <f>AW161+AX161</f>
        <v>0</v>
      </c>
      <c r="BD161" s="59">
        <f>H161/(100-BE161)*100</f>
        <v>0</v>
      </c>
      <c r="BE161" s="59">
        <v>0</v>
      </c>
      <c r="BF161" s="59">
        <f>L161</f>
        <v>0</v>
      </c>
      <c r="BH161" s="59">
        <f>G161*AO161</f>
        <v>0</v>
      </c>
      <c r="BI161" s="59">
        <f>G161*AP161</f>
        <v>0</v>
      </c>
      <c r="BJ161" s="59">
        <f>G161*H161</f>
        <v>0</v>
      </c>
      <c r="BK161" s="59"/>
      <c r="BL161" s="59"/>
      <c r="BW161" s="59">
        <v>12</v>
      </c>
      <c r="BX161" s="16" t="s">
        <v>328</v>
      </c>
    </row>
    <row r="162" spans="1:76" x14ac:dyDescent="0.25">
      <c r="A162" s="62"/>
      <c r="D162" s="63" t="s">
        <v>330</v>
      </c>
      <c r="E162" s="63"/>
      <c r="G162" s="64">
        <v>3.32</v>
      </c>
      <c r="M162" s="65"/>
    </row>
    <row r="163" spans="1:76" ht="15" customHeight="1" x14ac:dyDescent="0.25">
      <c r="A163" s="58" t="s">
        <v>457</v>
      </c>
      <c r="B163" s="18" t="s">
        <v>471</v>
      </c>
      <c r="C163" s="18" t="s">
        <v>482</v>
      </c>
      <c r="D163" s="8" t="s">
        <v>483</v>
      </c>
      <c r="E163" s="8"/>
      <c r="F163" s="18" t="s">
        <v>224</v>
      </c>
      <c r="G163" s="59">
        <f>'Stavební rozpočet'!G380</f>
        <v>9.3000000000000007</v>
      </c>
      <c r="H163" s="59">
        <f>'Stavební rozpočet'!H380</f>
        <v>0</v>
      </c>
      <c r="I163" s="59">
        <f>ROUND(G163*H163,2)</f>
        <v>0</v>
      </c>
      <c r="J163" s="59">
        <f>'Stavební rozpočet'!J380</f>
        <v>0</v>
      </c>
      <c r="K163" s="59">
        <f>'Stavební rozpočet'!K380</f>
        <v>0</v>
      </c>
      <c r="L163" s="59">
        <f>G163*K163</f>
        <v>0</v>
      </c>
      <c r="M163" s="60" t="s">
        <v>115</v>
      </c>
      <c r="Z163" s="59">
        <f>ROUND(IF(AQ163="5",BJ163,0),2)</f>
        <v>0</v>
      </c>
      <c r="AB163" s="59">
        <f>ROUND(IF(AQ163="1",BH163,0),2)</f>
        <v>0</v>
      </c>
      <c r="AC163" s="59">
        <f>ROUND(IF(AQ163="1",BI163,0),2)</f>
        <v>0</v>
      </c>
      <c r="AD163" s="59">
        <f>ROUND(IF(AQ163="7",BH163,0),2)</f>
        <v>0</v>
      </c>
      <c r="AE163" s="59">
        <f>ROUND(IF(AQ163="7",BI163,0),2)</f>
        <v>0</v>
      </c>
      <c r="AF163" s="59">
        <f>ROUND(IF(AQ163="2",BH163,0),2)</f>
        <v>0</v>
      </c>
      <c r="AG163" s="59">
        <f>ROUND(IF(AQ163="2",BI163,0),2)</f>
        <v>0</v>
      </c>
      <c r="AH163" s="59">
        <f>ROUND(IF(AQ163="0",BJ163,0),2)</f>
        <v>0</v>
      </c>
      <c r="AI163" s="46" t="s">
        <v>471</v>
      </c>
      <c r="AJ163" s="59">
        <f>IF(AN163=0,I163,0)</f>
        <v>0</v>
      </c>
      <c r="AK163" s="59">
        <f>IF(AN163=12,I163,0)</f>
        <v>0</v>
      </c>
      <c r="AL163" s="59">
        <f>IF(AN163=21,I163,0)</f>
        <v>0</v>
      </c>
      <c r="AN163" s="59">
        <v>12</v>
      </c>
      <c r="AO163" s="59">
        <f>H163*0</f>
        <v>0</v>
      </c>
      <c r="AP163" s="59">
        <f>H163*(1-0)</f>
        <v>0</v>
      </c>
      <c r="AQ163" s="61" t="s">
        <v>137</v>
      </c>
      <c r="AV163" s="59">
        <f>ROUND(AW163+AX163,2)</f>
        <v>0</v>
      </c>
      <c r="AW163" s="59">
        <f>ROUND(G163*AO163,2)</f>
        <v>0</v>
      </c>
      <c r="AX163" s="59">
        <f>ROUND(G163*AP163,2)</f>
        <v>0</v>
      </c>
      <c r="AY163" s="61" t="s">
        <v>329</v>
      </c>
      <c r="AZ163" s="61" t="s">
        <v>480</v>
      </c>
      <c r="BA163" s="46" t="s">
        <v>474</v>
      </c>
      <c r="BC163" s="59">
        <f>AW163+AX163</f>
        <v>0</v>
      </c>
      <c r="BD163" s="59">
        <f>H163/(100-BE163)*100</f>
        <v>0</v>
      </c>
      <c r="BE163" s="59">
        <v>0</v>
      </c>
      <c r="BF163" s="59">
        <f>L163</f>
        <v>0</v>
      </c>
      <c r="BH163" s="59">
        <f>G163*AO163</f>
        <v>0</v>
      </c>
      <c r="BI163" s="59">
        <f>G163*AP163</f>
        <v>0</v>
      </c>
      <c r="BJ163" s="59">
        <f>G163*H163</f>
        <v>0</v>
      </c>
      <c r="BK163" s="59"/>
      <c r="BL163" s="59"/>
      <c r="BW163" s="59">
        <v>12</v>
      </c>
      <c r="BX163" s="16" t="s">
        <v>483</v>
      </c>
    </row>
    <row r="164" spans="1:76" x14ac:dyDescent="0.25">
      <c r="A164" s="62"/>
      <c r="D164" s="63" t="s">
        <v>458</v>
      </c>
      <c r="E164" s="63"/>
      <c r="G164" s="64">
        <v>9.3000000000000007</v>
      </c>
      <c r="M164" s="65"/>
    </row>
    <row r="165" spans="1:76" ht="15" customHeight="1" x14ac:dyDescent="0.25">
      <c r="A165" s="58" t="s">
        <v>459</v>
      </c>
      <c r="B165" s="18" t="s">
        <v>471</v>
      </c>
      <c r="C165" s="18" t="s">
        <v>332</v>
      </c>
      <c r="D165" s="8" t="s">
        <v>333</v>
      </c>
      <c r="E165" s="8"/>
      <c r="F165" s="18" t="s">
        <v>224</v>
      </c>
      <c r="G165" s="59">
        <f>'Stavební rozpočet'!G382</f>
        <v>9.3000000000000007</v>
      </c>
      <c r="H165" s="59">
        <f>'Stavební rozpočet'!H382</f>
        <v>0</v>
      </c>
      <c r="I165" s="59">
        <f>ROUND(G165*H165,2)</f>
        <v>0</v>
      </c>
      <c r="J165" s="59">
        <f>'Stavební rozpočet'!J382</f>
        <v>0</v>
      </c>
      <c r="K165" s="59">
        <f>'Stavební rozpočet'!K382</f>
        <v>0</v>
      </c>
      <c r="L165" s="59">
        <f>G165*K165</f>
        <v>0</v>
      </c>
      <c r="M165" s="60" t="s">
        <v>115</v>
      </c>
      <c r="Z165" s="59">
        <f>ROUND(IF(AQ165="5",BJ165,0),2)</f>
        <v>0</v>
      </c>
      <c r="AB165" s="59">
        <f>ROUND(IF(AQ165="1",BH165,0),2)</f>
        <v>0</v>
      </c>
      <c r="AC165" s="59">
        <f>ROUND(IF(AQ165="1",BI165,0),2)</f>
        <v>0</v>
      </c>
      <c r="AD165" s="59">
        <f>ROUND(IF(AQ165="7",BH165,0),2)</f>
        <v>0</v>
      </c>
      <c r="AE165" s="59">
        <f>ROUND(IF(AQ165="7",BI165,0),2)</f>
        <v>0</v>
      </c>
      <c r="AF165" s="59">
        <f>ROUND(IF(AQ165="2",BH165,0),2)</f>
        <v>0</v>
      </c>
      <c r="AG165" s="59">
        <f>ROUND(IF(AQ165="2",BI165,0),2)</f>
        <v>0</v>
      </c>
      <c r="AH165" s="59">
        <f>ROUND(IF(AQ165="0",BJ165,0),2)</f>
        <v>0</v>
      </c>
      <c r="AI165" s="46" t="s">
        <v>471</v>
      </c>
      <c r="AJ165" s="59">
        <f>IF(AN165=0,I165,0)</f>
        <v>0</v>
      </c>
      <c r="AK165" s="59">
        <f>IF(AN165=12,I165,0)</f>
        <v>0</v>
      </c>
      <c r="AL165" s="59">
        <f>IF(AN165=21,I165,0)</f>
        <v>0</v>
      </c>
      <c r="AN165" s="59">
        <v>12</v>
      </c>
      <c r="AO165" s="59">
        <f>H165*0</f>
        <v>0</v>
      </c>
      <c r="AP165" s="59">
        <f>H165*(1-0)</f>
        <v>0</v>
      </c>
      <c r="AQ165" s="61" t="s">
        <v>137</v>
      </c>
      <c r="AV165" s="59">
        <f>ROUND(AW165+AX165,2)</f>
        <v>0</v>
      </c>
      <c r="AW165" s="59">
        <f>ROUND(G165*AO165,2)</f>
        <v>0</v>
      </c>
      <c r="AX165" s="59">
        <f>ROUND(G165*AP165,2)</f>
        <v>0</v>
      </c>
      <c r="AY165" s="61" t="s">
        <v>329</v>
      </c>
      <c r="AZ165" s="61" t="s">
        <v>480</v>
      </c>
      <c r="BA165" s="46" t="s">
        <v>474</v>
      </c>
      <c r="BC165" s="59">
        <f>AW165+AX165</f>
        <v>0</v>
      </c>
      <c r="BD165" s="59">
        <f>H165/(100-BE165)*100</f>
        <v>0</v>
      </c>
      <c r="BE165" s="59">
        <v>0</v>
      </c>
      <c r="BF165" s="59">
        <f>L165</f>
        <v>0</v>
      </c>
      <c r="BH165" s="59">
        <f>G165*AO165</f>
        <v>0</v>
      </c>
      <c r="BI165" s="59">
        <f>G165*AP165</f>
        <v>0</v>
      </c>
      <c r="BJ165" s="59">
        <f>G165*H165</f>
        <v>0</v>
      </c>
      <c r="BK165" s="59"/>
      <c r="BL165" s="59"/>
      <c r="BW165" s="59">
        <v>12</v>
      </c>
      <c r="BX165" s="16" t="s">
        <v>333</v>
      </c>
    </row>
    <row r="166" spans="1:76" x14ac:dyDescent="0.25">
      <c r="A166" s="62"/>
      <c r="D166" s="63" t="s">
        <v>458</v>
      </c>
      <c r="E166" s="63"/>
      <c r="G166" s="64">
        <v>9.3000000000000007</v>
      </c>
      <c r="M166" s="65"/>
    </row>
    <row r="167" spans="1:76" ht="15" customHeight="1" x14ac:dyDescent="0.25">
      <c r="A167" s="58" t="s">
        <v>460</v>
      </c>
      <c r="B167" s="18" t="s">
        <v>471</v>
      </c>
      <c r="C167" s="18" t="s">
        <v>336</v>
      </c>
      <c r="D167" s="8" t="s">
        <v>337</v>
      </c>
      <c r="E167" s="8"/>
      <c r="F167" s="18" t="s">
        <v>224</v>
      </c>
      <c r="G167" s="59">
        <f>'Stavební rozpočet'!G384</f>
        <v>9.3000000000000007</v>
      </c>
      <c r="H167" s="59">
        <f>'Stavební rozpočet'!H384</f>
        <v>0</v>
      </c>
      <c r="I167" s="59">
        <f>ROUND(G167*H167,2)</f>
        <v>0</v>
      </c>
      <c r="J167" s="59">
        <f>'Stavební rozpočet'!J384</f>
        <v>0</v>
      </c>
      <c r="K167" s="59">
        <f>'Stavební rozpočet'!K384</f>
        <v>0</v>
      </c>
      <c r="L167" s="59">
        <f>G167*K167</f>
        <v>0</v>
      </c>
      <c r="M167" s="60" t="s">
        <v>115</v>
      </c>
      <c r="Z167" s="59">
        <f>ROUND(IF(AQ167="5",BJ167,0),2)</f>
        <v>0</v>
      </c>
      <c r="AB167" s="59">
        <f>ROUND(IF(AQ167="1",BH167,0),2)</f>
        <v>0</v>
      </c>
      <c r="AC167" s="59">
        <f>ROUND(IF(AQ167="1",BI167,0),2)</f>
        <v>0</v>
      </c>
      <c r="AD167" s="59">
        <f>ROUND(IF(AQ167="7",BH167,0),2)</f>
        <v>0</v>
      </c>
      <c r="AE167" s="59">
        <f>ROUND(IF(AQ167="7",BI167,0),2)</f>
        <v>0</v>
      </c>
      <c r="AF167" s="59">
        <f>ROUND(IF(AQ167="2",BH167,0),2)</f>
        <v>0</v>
      </c>
      <c r="AG167" s="59">
        <f>ROUND(IF(AQ167="2",BI167,0),2)</f>
        <v>0</v>
      </c>
      <c r="AH167" s="59">
        <f>ROUND(IF(AQ167="0",BJ167,0),2)</f>
        <v>0</v>
      </c>
      <c r="AI167" s="46" t="s">
        <v>471</v>
      </c>
      <c r="AJ167" s="59">
        <f>IF(AN167=0,I167,0)</f>
        <v>0</v>
      </c>
      <c r="AK167" s="59">
        <f>IF(AN167=12,I167,0)</f>
        <v>0</v>
      </c>
      <c r="AL167" s="59">
        <f>IF(AN167=21,I167,0)</f>
        <v>0</v>
      </c>
      <c r="AN167" s="59">
        <v>12</v>
      </c>
      <c r="AO167" s="59">
        <f>H167*0</f>
        <v>0</v>
      </c>
      <c r="AP167" s="59">
        <f>H167*(1-0)</f>
        <v>0</v>
      </c>
      <c r="AQ167" s="61" t="s">
        <v>137</v>
      </c>
      <c r="AV167" s="59">
        <f>ROUND(AW167+AX167,2)</f>
        <v>0</v>
      </c>
      <c r="AW167" s="59">
        <f>ROUND(G167*AO167,2)</f>
        <v>0</v>
      </c>
      <c r="AX167" s="59">
        <f>ROUND(G167*AP167,2)</f>
        <v>0</v>
      </c>
      <c r="AY167" s="61" t="s">
        <v>329</v>
      </c>
      <c r="AZ167" s="61" t="s">
        <v>480</v>
      </c>
      <c r="BA167" s="46" t="s">
        <v>474</v>
      </c>
      <c r="BC167" s="59">
        <f>AW167+AX167</f>
        <v>0</v>
      </c>
      <c r="BD167" s="59">
        <f>H167/(100-BE167)*100</f>
        <v>0</v>
      </c>
      <c r="BE167" s="59">
        <v>0</v>
      </c>
      <c r="BF167" s="59">
        <f>L167</f>
        <v>0</v>
      </c>
      <c r="BH167" s="59">
        <f>G167*AO167</f>
        <v>0</v>
      </c>
      <c r="BI167" s="59">
        <f>G167*AP167</f>
        <v>0</v>
      </c>
      <c r="BJ167" s="59">
        <f>G167*H167</f>
        <v>0</v>
      </c>
      <c r="BK167" s="59"/>
      <c r="BL167" s="59"/>
      <c r="BW167" s="59">
        <v>12</v>
      </c>
      <c r="BX167" s="16" t="s">
        <v>337</v>
      </c>
    </row>
    <row r="168" spans="1:76" x14ac:dyDescent="0.25">
      <c r="A168" s="62"/>
      <c r="D168" s="63" t="s">
        <v>458</v>
      </c>
      <c r="E168" s="63"/>
      <c r="G168" s="64">
        <v>9.3000000000000007</v>
      </c>
      <c r="M168" s="65"/>
    </row>
    <row r="169" spans="1:76" ht="15" customHeight="1" x14ac:dyDescent="0.25">
      <c r="A169" s="58" t="s">
        <v>462</v>
      </c>
      <c r="B169" s="18" t="s">
        <v>471</v>
      </c>
      <c r="C169" s="18" t="s">
        <v>339</v>
      </c>
      <c r="D169" s="8" t="s">
        <v>340</v>
      </c>
      <c r="E169" s="8"/>
      <c r="F169" s="18" t="s">
        <v>224</v>
      </c>
      <c r="G169" s="59">
        <f>'Stavební rozpočet'!G386</f>
        <v>2.15</v>
      </c>
      <c r="H169" s="59">
        <f>'Stavební rozpočet'!H386</f>
        <v>0</v>
      </c>
      <c r="I169" s="59">
        <f>ROUND(G169*H169,2)</f>
        <v>0</v>
      </c>
      <c r="J169" s="59">
        <f>'Stavební rozpočet'!J386</f>
        <v>0</v>
      </c>
      <c r="K169" s="59">
        <f>'Stavební rozpočet'!K386</f>
        <v>0</v>
      </c>
      <c r="L169" s="59">
        <f>G169*K169</f>
        <v>0</v>
      </c>
      <c r="M169" s="60" t="s">
        <v>115</v>
      </c>
      <c r="Z169" s="59">
        <f>ROUND(IF(AQ169="5",BJ169,0),2)</f>
        <v>0</v>
      </c>
      <c r="AB169" s="59">
        <f>ROUND(IF(AQ169="1",BH169,0),2)</f>
        <v>0</v>
      </c>
      <c r="AC169" s="59">
        <f>ROUND(IF(AQ169="1",BI169,0),2)</f>
        <v>0</v>
      </c>
      <c r="AD169" s="59">
        <f>ROUND(IF(AQ169="7",BH169,0),2)</f>
        <v>0</v>
      </c>
      <c r="AE169" s="59">
        <f>ROUND(IF(AQ169="7",BI169,0),2)</f>
        <v>0</v>
      </c>
      <c r="AF169" s="59">
        <f>ROUND(IF(AQ169="2",BH169,0),2)</f>
        <v>0</v>
      </c>
      <c r="AG169" s="59">
        <f>ROUND(IF(AQ169="2",BI169,0),2)</f>
        <v>0</v>
      </c>
      <c r="AH169" s="59">
        <f>ROUND(IF(AQ169="0",BJ169,0),2)</f>
        <v>0</v>
      </c>
      <c r="AI169" s="46" t="s">
        <v>471</v>
      </c>
      <c r="AJ169" s="59">
        <f>IF(AN169=0,I169,0)</f>
        <v>0</v>
      </c>
      <c r="AK169" s="59">
        <f>IF(AN169=12,I169,0)</f>
        <v>0</v>
      </c>
      <c r="AL169" s="59">
        <f>IF(AN169=21,I169,0)</f>
        <v>0</v>
      </c>
      <c r="AN169" s="59">
        <v>12</v>
      </c>
      <c r="AO169" s="59">
        <f>H169*0</f>
        <v>0</v>
      </c>
      <c r="AP169" s="59">
        <f>H169*(1-0)</f>
        <v>0</v>
      </c>
      <c r="AQ169" s="61" t="s">
        <v>137</v>
      </c>
      <c r="AV169" s="59">
        <f>ROUND(AW169+AX169,2)</f>
        <v>0</v>
      </c>
      <c r="AW169" s="59">
        <f>ROUND(G169*AO169,2)</f>
        <v>0</v>
      </c>
      <c r="AX169" s="59">
        <f>ROUND(G169*AP169,2)</f>
        <v>0</v>
      </c>
      <c r="AY169" s="61" t="s">
        <v>329</v>
      </c>
      <c r="AZ169" s="61" t="s">
        <v>480</v>
      </c>
      <c r="BA169" s="46" t="s">
        <v>474</v>
      </c>
      <c r="BC169" s="59">
        <f>AW169+AX169</f>
        <v>0</v>
      </c>
      <c r="BD169" s="59">
        <f>H169/(100-BE169)*100</f>
        <v>0</v>
      </c>
      <c r="BE169" s="59">
        <v>0</v>
      </c>
      <c r="BF169" s="59">
        <f>L169</f>
        <v>0</v>
      </c>
      <c r="BH169" s="59">
        <f>G169*AO169</f>
        <v>0</v>
      </c>
      <c r="BI169" s="59">
        <f>G169*AP169</f>
        <v>0</v>
      </c>
      <c r="BJ169" s="59">
        <f>G169*H169</f>
        <v>0</v>
      </c>
      <c r="BK169" s="59"/>
      <c r="BL169" s="59"/>
      <c r="BW169" s="59">
        <v>12</v>
      </c>
      <c r="BX169" s="16" t="s">
        <v>340</v>
      </c>
    </row>
    <row r="170" spans="1:76" x14ac:dyDescent="0.25">
      <c r="A170" s="62"/>
      <c r="D170" s="63" t="s">
        <v>461</v>
      </c>
      <c r="E170" s="63"/>
      <c r="G170" s="64">
        <v>2.15</v>
      </c>
      <c r="M170" s="65"/>
    </row>
    <row r="171" spans="1:76" ht="24" customHeight="1" x14ac:dyDescent="0.25">
      <c r="A171" s="58" t="s">
        <v>464</v>
      </c>
      <c r="B171" s="18" t="s">
        <v>471</v>
      </c>
      <c r="C171" s="18" t="s">
        <v>343</v>
      </c>
      <c r="D171" s="8" t="s">
        <v>344</v>
      </c>
      <c r="E171" s="8"/>
      <c r="F171" s="18" t="s">
        <v>224</v>
      </c>
      <c r="G171" s="59">
        <f>'Stavební rozpočet'!G388</f>
        <v>6.93</v>
      </c>
      <c r="H171" s="59">
        <f>'Stavební rozpočet'!H388</f>
        <v>0</v>
      </c>
      <c r="I171" s="59">
        <f>ROUND(G171*H171,2)</f>
        <v>0</v>
      </c>
      <c r="J171" s="59">
        <f>'Stavební rozpočet'!J388</f>
        <v>0</v>
      </c>
      <c r="K171" s="59">
        <f>'Stavební rozpočet'!K388</f>
        <v>0</v>
      </c>
      <c r="L171" s="59">
        <f>G171*K171</f>
        <v>0</v>
      </c>
      <c r="M171" s="60" t="s">
        <v>115</v>
      </c>
      <c r="Z171" s="59">
        <f>ROUND(IF(AQ171="5",BJ171,0),2)</f>
        <v>0</v>
      </c>
      <c r="AB171" s="59">
        <f>ROUND(IF(AQ171="1",BH171,0),2)</f>
        <v>0</v>
      </c>
      <c r="AC171" s="59">
        <f>ROUND(IF(AQ171="1",BI171,0),2)</f>
        <v>0</v>
      </c>
      <c r="AD171" s="59">
        <f>ROUND(IF(AQ171="7",BH171,0),2)</f>
        <v>0</v>
      </c>
      <c r="AE171" s="59">
        <f>ROUND(IF(AQ171="7",BI171,0),2)</f>
        <v>0</v>
      </c>
      <c r="AF171" s="59">
        <f>ROUND(IF(AQ171="2",BH171,0),2)</f>
        <v>0</v>
      </c>
      <c r="AG171" s="59">
        <f>ROUND(IF(AQ171="2",BI171,0),2)</f>
        <v>0</v>
      </c>
      <c r="AH171" s="59">
        <f>ROUND(IF(AQ171="0",BJ171,0),2)</f>
        <v>0</v>
      </c>
      <c r="AI171" s="46" t="s">
        <v>471</v>
      </c>
      <c r="AJ171" s="59">
        <f>IF(AN171=0,I171,0)</f>
        <v>0</v>
      </c>
      <c r="AK171" s="59">
        <f>IF(AN171=12,I171,0)</f>
        <v>0</v>
      </c>
      <c r="AL171" s="59">
        <f>IF(AN171=21,I171,0)</f>
        <v>0</v>
      </c>
      <c r="AN171" s="59">
        <v>12</v>
      </c>
      <c r="AO171" s="59">
        <f>H171*0</f>
        <v>0</v>
      </c>
      <c r="AP171" s="59">
        <f>H171*(1-0)</f>
        <v>0</v>
      </c>
      <c r="AQ171" s="61" t="s">
        <v>137</v>
      </c>
      <c r="AV171" s="59">
        <f>ROUND(AW171+AX171,2)</f>
        <v>0</v>
      </c>
      <c r="AW171" s="59">
        <f>ROUND(G171*AO171,2)</f>
        <v>0</v>
      </c>
      <c r="AX171" s="59">
        <f>ROUND(G171*AP171,2)</f>
        <v>0</v>
      </c>
      <c r="AY171" s="61" t="s">
        <v>329</v>
      </c>
      <c r="AZ171" s="61" t="s">
        <v>480</v>
      </c>
      <c r="BA171" s="46" t="s">
        <v>474</v>
      </c>
      <c r="BC171" s="59">
        <f>AW171+AX171</f>
        <v>0</v>
      </c>
      <c r="BD171" s="59">
        <f>H171/(100-BE171)*100</f>
        <v>0</v>
      </c>
      <c r="BE171" s="59">
        <v>0</v>
      </c>
      <c r="BF171" s="59">
        <f>L171</f>
        <v>0</v>
      </c>
      <c r="BH171" s="59">
        <f>G171*AO171</f>
        <v>0</v>
      </c>
      <c r="BI171" s="59">
        <f>G171*AP171</f>
        <v>0</v>
      </c>
      <c r="BJ171" s="59">
        <f>G171*H171</f>
        <v>0</v>
      </c>
      <c r="BK171" s="59"/>
      <c r="BL171" s="59"/>
      <c r="BW171" s="59">
        <v>12</v>
      </c>
      <c r="BX171" s="16" t="s">
        <v>344</v>
      </c>
    </row>
    <row r="172" spans="1:76" x14ac:dyDescent="0.25">
      <c r="A172" s="62"/>
      <c r="D172" s="63" t="s">
        <v>463</v>
      </c>
      <c r="E172" s="63"/>
      <c r="G172" s="64">
        <v>6.93</v>
      </c>
      <c r="M172" s="65"/>
    </row>
    <row r="173" spans="1:76" ht="15" customHeight="1" x14ac:dyDescent="0.25">
      <c r="A173" s="58" t="s">
        <v>484</v>
      </c>
      <c r="B173" s="18" t="s">
        <v>471</v>
      </c>
      <c r="C173" s="18" t="s">
        <v>465</v>
      </c>
      <c r="D173" s="8" t="s">
        <v>466</v>
      </c>
      <c r="E173" s="8"/>
      <c r="F173" s="18" t="s">
        <v>224</v>
      </c>
      <c r="G173" s="59">
        <f>'Stavební rozpočet'!G390</f>
        <v>0.22</v>
      </c>
      <c r="H173" s="59">
        <f>'Stavební rozpočet'!H390</f>
        <v>0</v>
      </c>
      <c r="I173" s="59">
        <f>ROUND(G173*H173,2)</f>
        <v>0</v>
      </c>
      <c r="J173" s="59">
        <f>'Stavební rozpočet'!J390</f>
        <v>0</v>
      </c>
      <c r="K173" s="59">
        <f>'Stavební rozpočet'!K390</f>
        <v>0</v>
      </c>
      <c r="L173" s="59">
        <f>G173*K173</f>
        <v>0</v>
      </c>
      <c r="M173" s="60" t="s">
        <v>115</v>
      </c>
      <c r="Z173" s="59">
        <f>ROUND(IF(AQ173="5",BJ173,0),2)</f>
        <v>0</v>
      </c>
      <c r="AB173" s="59">
        <f>ROUND(IF(AQ173="1",BH173,0),2)</f>
        <v>0</v>
      </c>
      <c r="AC173" s="59">
        <f>ROUND(IF(AQ173="1",BI173,0),2)</f>
        <v>0</v>
      </c>
      <c r="AD173" s="59">
        <f>ROUND(IF(AQ173="7",BH173,0),2)</f>
        <v>0</v>
      </c>
      <c r="AE173" s="59">
        <f>ROUND(IF(AQ173="7",BI173,0),2)</f>
        <v>0</v>
      </c>
      <c r="AF173" s="59">
        <f>ROUND(IF(AQ173="2",BH173,0),2)</f>
        <v>0</v>
      </c>
      <c r="AG173" s="59">
        <f>ROUND(IF(AQ173="2",BI173,0),2)</f>
        <v>0</v>
      </c>
      <c r="AH173" s="59">
        <f>ROUND(IF(AQ173="0",BJ173,0),2)</f>
        <v>0</v>
      </c>
      <c r="AI173" s="46" t="s">
        <v>471</v>
      </c>
      <c r="AJ173" s="59">
        <f>IF(AN173=0,I173,0)</f>
        <v>0</v>
      </c>
      <c r="AK173" s="59">
        <f>IF(AN173=12,I173,0)</f>
        <v>0</v>
      </c>
      <c r="AL173" s="59">
        <f>IF(AN173=21,I173,0)</f>
        <v>0</v>
      </c>
      <c r="AN173" s="59">
        <v>12</v>
      </c>
      <c r="AO173" s="59">
        <f>H173*0</f>
        <v>0</v>
      </c>
      <c r="AP173" s="59">
        <f>H173*(1-0)</f>
        <v>0</v>
      </c>
      <c r="AQ173" s="61" t="s">
        <v>137</v>
      </c>
      <c r="AV173" s="59">
        <f>ROUND(AW173+AX173,2)</f>
        <v>0</v>
      </c>
      <c r="AW173" s="59">
        <f>ROUND(G173*AO173,2)</f>
        <v>0</v>
      </c>
      <c r="AX173" s="59">
        <f>ROUND(G173*AP173,2)</f>
        <v>0</v>
      </c>
      <c r="AY173" s="61" t="s">
        <v>329</v>
      </c>
      <c r="AZ173" s="61" t="s">
        <v>480</v>
      </c>
      <c r="BA173" s="46" t="s">
        <v>474</v>
      </c>
      <c r="BC173" s="59">
        <f>AW173+AX173</f>
        <v>0</v>
      </c>
      <c r="BD173" s="59">
        <f>H173/(100-BE173)*100</f>
        <v>0</v>
      </c>
      <c r="BE173" s="59">
        <v>0</v>
      </c>
      <c r="BF173" s="59">
        <f>L173</f>
        <v>0</v>
      </c>
      <c r="BH173" s="59">
        <f>G173*AO173</f>
        <v>0</v>
      </c>
      <c r="BI173" s="59">
        <f>G173*AP173</f>
        <v>0</v>
      </c>
      <c r="BJ173" s="59">
        <f>G173*H173</f>
        <v>0</v>
      </c>
      <c r="BK173" s="59"/>
      <c r="BL173" s="59"/>
      <c r="BW173" s="59">
        <v>12</v>
      </c>
      <c r="BX173" s="16" t="s">
        <v>466</v>
      </c>
    </row>
    <row r="174" spans="1:76" x14ac:dyDescent="0.25">
      <c r="A174" s="66"/>
      <c r="B174" s="67"/>
      <c r="C174" s="67"/>
      <c r="D174" s="68" t="s">
        <v>467</v>
      </c>
      <c r="E174" s="68"/>
      <c r="F174" s="67"/>
      <c r="G174" s="69">
        <v>0.22</v>
      </c>
      <c r="H174" s="67"/>
      <c r="I174" s="67"/>
      <c r="J174" s="67"/>
      <c r="K174" s="67"/>
      <c r="L174" s="67"/>
      <c r="M174" s="70"/>
    </row>
    <row r="175" spans="1:76" x14ac:dyDescent="0.25">
      <c r="I175" s="71">
        <f>ROUND(I13+I19+I28+I36+I45+I49+I56+I67+I85+I88+I104+I114+I118+I128+I133+I137+I153+I156+I158,0)</f>
        <v>0</v>
      </c>
    </row>
    <row r="176" spans="1:76" x14ac:dyDescent="0.25">
      <c r="A176" s="31" t="s">
        <v>52</v>
      </c>
    </row>
    <row r="177" spans="1:13" ht="12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</sheetData>
  <mergeCells count="131">
    <mergeCell ref="D163:E163"/>
    <mergeCell ref="D165:E165"/>
    <mergeCell ref="D167:E167"/>
    <mergeCell ref="D169:E169"/>
    <mergeCell ref="D171:E171"/>
    <mergeCell ref="D173:E173"/>
    <mergeCell ref="A177:M177"/>
    <mergeCell ref="D148:E148"/>
    <mergeCell ref="D150:E150"/>
    <mergeCell ref="D153:E153"/>
    <mergeCell ref="D154:E154"/>
    <mergeCell ref="D156:E156"/>
    <mergeCell ref="D157:E157"/>
    <mergeCell ref="D158:E158"/>
    <mergeCell ref="D159:E159"/>
    <mergeCell ref="D161:E161"/>
    <mergeCell ref="D133:E133"/>
    <mergeCell ref="D134:E134"/>
    <mergeCell ref="D135:M135"/>
    <mergeCell ref="D137:E137"/>
    <mergeCell ref="D138:E138"/>
    <mergeCell ref="D140:E140"/>
    <mergeCell ref="D142:E142"/>
    <mergeCell ref="D144:E144"/>
    <mergeCell ref="D146:E146"/>
    <mergeCell ref="D119:E119"/>
    <mergeCell ref="D120:M120"/>
    <mergeCell ref="D122:E122"/>
    <mergeCell ref="D123:M123"/>
    <mergeCell ref="D125:E125"/>
    <mergeCell ref="D126:M126"/>
    <mergeCell ref="D128:E128"/>
    <mergeCell ref="D129:E129"/>
    <mergeCell ref="D131:E131"/>
    <mergeCell ref="D106:M106"/>
    <mergeCell ref="D108:E108"/>
    <mergeCell ref="D109:M109"/>
    <mergeCell ref="D111:E111"/>
    <mergeCell ref="D112:M112"/>
    <mergeCell ref="D114:E114"/>
    <mergeCell ref="D115:E115"/>
    <mergeCell ref="D116:M116"/>
    <mergeCell ref="D118:E118"/>
    <mergeCell ref="D93:M93"/>
    <mergeCell ref="D95:E95"/>
    <mergeCell ref="D96:M96"/>
    <mergeCell ref="D98:E98"/>
    <mergeCell ref="D99:M99"/>
    <mergeCell ref="D101:E101"/>
    <mergeCell ref="D102:M102"/>
    <mergeCell ref="D104:E104"/>
    <mergeCell ref="D105:E105"/>
    <mergeCell ref="D81:E81"/>
    <mergeCell ref="D82:M82"/>
    <mergeCell ref="D84:E84"/>
    <mergeCell ref="D85:E85"/>
    <mergeCell ref="D86:E86"/>
    <mergeCell ref="D88:E88"/>
    <mergeCell ref="D89:E89"/>
    <mergeCell ref="D90:M90"/>
    <mergeCell ref="D92:E92"/>
    <mergeCell ref="D63:M63"/>
    <mergeCell ref="D65:E65"/>
    <mergeCell ref="D67:E67"/>
    <mergeCell ref="D68:E68"/>
    <mergeCell ref="D69:M69"/>
    <mergeCell ref="D75:E75"/>
    <mergeCell ref="D76:M76"/>
    <mergeCell ref="D78:E78"/>
    <mergeCell ref="D79:M79"/>
    <mergeCell ref="D49:E49"/>
    <mergeCell ref="D50:E50"/>
    <mergeCell ref="D52:E52"/>
    <mergeCell ref="D54:E54"/>
    <mergeCell ref="D56:E56"/>
    <mergeCell ref="D57:E57"/>
    <mergeCell ref="D59:E59"/>
    <mergeCell ref="D60:M60"/>
    <mergeCell ref="D62:E62"/>
    <mergeCell ref="D34:E34"/>
    <mergeCell ref="D36:E36"/>
    <mergeCell ref="D37:E37"/>
    <mergeCell ref="D39:E39"/>
    <mergeCell ref="D41:E41"/>
    <mergeCell ref="D43:E43"/>
    <mergeCell ref="D45:E45"/>
    <mergeCell ref="D46:E46"/>
    <mergeCell ref="D47:M47"/>
    <mergeCell ref="D20:E20"/>
    <mergeCell ref="D21:M21"/>
    <mergeCell ref="D23:E23"/>
    <mergeCell ref="D25:E25"/>
    <mergeCell ref="D26:M26"/>
    <mergeCell ref="D28:E28"/>
    <mergeCell ref="D29:E29"/>
    <mergeCell ref="D31:E31"/>
    <mergeCell ref="D32:M32"/>
    <mergeCell ref="D10:E10"/>
    <mergeCell ref="J10:L10"/>
    <mergeCell ref="D11:E11"/>
    <mergeCell ref="D12:E12"/>
    <mergeCell ref="D13:E13"/>
    <mergeCell ref="D14:E14"/>
    <mergeCell ref="D15:M15"/>
    <mergeCell ref="D17:E17"/>
    <mergeCell ref="D19:E19"/>
    <mergeCell ref="A6:C7"/>
    <mergeCell ref="D6:E7"/>
    <mergeCell ref="F6:G7"/>
    <mergeCell ref="H6:H7"/>
    <mergeCell ref="I6:J7"/>
    <mergeCell ref="K6:M7"/>
    <mergeCell ref="A8:C9"/>
    <mergeCell ref="D8:E9"/>
    <mergeCell ref="F8:G9"/>
    <mergeCell ref="H8:H9"/>
    <mergeCell ref="I8:J9"/>
    <mergeCell ref="K8:M9"/>
    <mergeCell ref="A1:M1"/>
    <mergeCell ref="A2:C3"/>
    <mergeCell ref="D2:E3"/>
    <mergeCell ref="F2:G3"/>
    <mergeCell ref="H2:H3"/>
    <mergeCell ref="I2:J3"/>
    <mergeCell ref="K2:M3"/>
    <mergeCell ref="A4:C5"/>
    <mergeCell ref="D4:E5"/>
    <mergeCell ref="F4:G5"/>
    <mergeCell ref="H4:H5"/>
    <mergeCell ref="I4:J5"/>
    <mergeCell ref="K4:M5"/>
  </mergeCells>
  <pageMargins left="0.39374999999999999" right="0.39374999999999999" top="0.59097222222222201" bottom="0.59097222222222201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Krycí list rozpočtu (01A)</vt:lpstr>
      <vt:lpstr>VORN objektu (01A)</vt:lpstr>
      <vt:lpstr>Stavební rozpočet (01A)</vt:lpstr>
      <vt:lpstr>Krycí list rozpočtu (01B)</vt:lpstr>
      <vt:lpstr>VORN objektu (01B)</vt:lpstr>
      <vt:lpstr>Stavební rozpočet (01B)</vt:lpstr>
      <vt:lpstr>Krycí list rozpočtu (01C)</vt:lpstr>
      <vt:lpstr>VORN objektu (01C)</vt:lpstr>
      <vt:lpstr>Stavební rozpočet (01C)</vt:lpstr>
      <vt:lpstr>Krycí list rozpočtu (01D)</vt:lpstr>
      <vt:lpstr>VORN objektu (01D)</vt:lpstr>
      <vt:lpstr>Stavební rozpočet (01D)</vt:lpstr>
      <vt:lpstr>Krycí list rozpočtu (01E)</vt:lpstr>
      <vt:lpstr>VORN objektu (01E)</vt:lpstr>
      <vt:lpstr>Stavební rozpočet (01E)</vt:lpstr>
      <vt:lpstr>Stavební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Kubes Pavel, Mesto Litomysl</cp:lastModifiedBy>
  <cp:revision>1</cp:revision>
  <dcterms:created xsi:type="dcterms:W3CDTF">2021-06-10T20:06:38Z</dcterms:created>
  <dcterms:modified xsi:type="dcterms:W3CDTF">2025-04-08T04:19:40Z</dcterms:modified>
  <dc:language>cs-CZ</dc:language>
</cp:coreProperties>
</file>