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defaultThemeVersion="166925"/>
  <bookViews>
    <workbookView xWindow="65416" yWindow="65416" windowWidth="29040" windowHeight="15840" firstSheet="5" activeTab="10"/>
  </bookViews>
  <sheets>
    <sheet name="Krycí list rozpočtu" sheetId="18" r:id="rId1"/>
    <sheet name="Rozpočet - objekty" sheetId="3" r:id="rId2"/>
    <sheet name="Stavební rozpočet (D.1.1)" sheetId="19" r:id="rId3"/>
    <sheet name="D.1.4.1 - ZTI a VZT" sheetId="4" r:id="rId4"/>
    <sheet name="D.1.4.2 Vytápěn a chalzení" sheetId="6" r:id="rId5"/>
    <sheet name="D.1.4.3 Silnoproud" sheetId="7" r:id="rId6"/>
    <sheet name="D.1.4.4 Slaboproud" sheetId="8" r:id="rId7"/>
    <sheet name="D.1.4.5 Sanace vlhkeho zdiva" sheetId="9" r:id="rId8"/>
    <sheet name="D.1.4.6. Prostorová akustika" sheetId="10" r:id="rId9"/>
    <sheet name="D.1.4.7 Osvětlení" sheetId="11" r:id="rId10"/>
    <sheet name="D1.1.4.9 - obklad stěn" sheetId="17" r:id="rId11"/>
    <sheet name="List5" sheetId="5" r:id="rId12"/>
  </sheets>
  <externalReferences>
    <externalReference r:id="rId15"/>
    <externalReference r:id="rId16"/>
  </externalReferences>
  <definedNames>
    <definedName name="CenaCelkem">#REF!</definedName>
    <definedName name="CenaCelkemBezDPH">#REF!</definedName>
    <definedName name="cisloobjektu">#REF!</definedName>
    <definedName name="CisloRozpoctu">'[1]Krycí list'!$C$2</definedName>
    <definedName name="cislostavby">'[1]Krycí list'!$A$7</definedName>
    <definedName name="CisloStavebnihoRozpoctu">#REF!</definedName>
    <definedName name="dadresa">#REF!</definedName>
    <definedName name="dmisto">#REF!</definedName>
    <definedName name="DPHSni">#REF!</definedName>
    <definedName name="DPHZakl">#REF!</definedName>
    <definedName name="Excel_BuiltIn_Print_Titles_1">#REF!</definedName>
    <definedName name="IS" localSheetId="8">#REF!</definedName>
    <definedName name="IS">#REF!</definedName>
    <definedName name="Mena">#REF!</definedName>
    <definedName name="MistoStavby">#REF!</definedName>
    <definedName name="NaVedomi" localSheetId="8">#REF!</definedName>
    <definedName name="NaVedomi">#REF!</definedName>
    <definedName name="nazevobjektu">#REF!</definedName>
    <definedName name="NazevRozpoctu">'[1]Krycí list'!$D$2</definedName>
    <definedName name="nazevstavby">'[1]Krycí list'!$C$7</definedName>
    <definedName name="NazevStavebnihoRozpoctu">#REF!</definedName>
    <definedName name="oadresa">#REF!</definedName>
    <definedName name="Objekty" localSheetId="8">#REF!</definedName>
    <definedName name="Objekty">#REF!</definedName>
    <definedName name="_xlnm.Print_Area" localSheetId="7">'D.1.4.5 Sanace vlhkeho zdiva'!$A$1:$X$125</definedName>
    <definedName name="_xlnm.Print_Area" localSheetId="8">'D.1.4.6. Prostorová akustika'!$A$1:$H$19</definedName>
    <definedName name="_xlnm.Print_Area" localSheetId="9">'D.1.4.7 Osvětlení'!$A$1:$J$184</definedName>
    <definedName name="OUD" localSheetId="8">#REF!</definedName>
    <definedName name="OUD">#REF!</definedName>
    <definedName name="padresa">#REF!</definedName>
    <definedName name="pdic">#REF!</definedName>
    <definedName name="pico">#REF!</definedName>
    <definedName name="pmisto">#REF!</definedName>
    <definedName name="PocetMJ">#REF!</definedName>
    <definedName name="PoptavkaID">#REF!</definedName>
    <definedName name="pPSC">#REF!</definedName>
    <definedName name="Predmet" localSheetId="8">#REF!</definedName>
    <definedName name="Predmet">#REF!</definedName>
    <definedName name="Prilohy" localSheetId="8">#REF!</definedName>
    <definedName name="Prilohy">#REF!</definedName>
    <definedName name="Print_Area_0" localSheetId="8">'D.1.4.6. Prostorová akustika'!$A$6:$H$18</definedName>
    <definedName name="Projektant">#REF!</definedName>
    <definedName name="PS" localSheetId="8">#REF!</definedName>
    <definedName name="PS">#REF!</definedName>
    <definedName name="SazbaDPH1">'[1]Krycí list'!$C$30</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#REF!</definedName>
    <definedName name="ZakladDPHSni">#REF!</definedName>
    <definedName name="ZakladDPHZakl">#REF!</definedName>
    <definedName name="ZaObjednatele">#REF!</definedName>
    <definedName name="Zaokrouhleni">#REF!</definedName>
    <definedName name="ZaZhotovitele">#REF!</definedName>
    <definedName name="Zhotovitel">#REF!</definedName>
    <definedName name="ZPRACOVATEL" localSheetId="8">#REF!</definedName>
    <definedName name="ZPRACOVATEL">#REF!</definedName>
    <definedName name="Zprava" localSheetId="8">#REF!</definedName>
    <definedName name="Zprava">#REF!</definedName>
    <definedName name="_xlnm.Print_Titles" localSheetId="7">'D.1.4.5 Sanace vlhkeho zdiva'!$1:$7</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comments8.xml><?xml version="1.0" encoding="utf-8"?>
<comments xmlns="http://schemas.openxmlformats.org/spreadsheetml/2006/main">
  <authors>
    <author>jelinkova</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<sst xmlns="http://schemas.openxmlformats.org/spreadsheetml/2006/main" count="3273" uniqueCount="1221">
  <si>
    <t>Poznámka:</t>
  </si>
  <si>
    <t>Celkem:</t>
  </si>
  <si>
    <t>1</t>
  </si>
  <si>
    <t>D.1.1_</t>
  </si>
  <si>
    <t>D.1.1_ _</t>
  </si>
  <si>
    <t>09VRN_</t>
  </si>
  <si>
    <t>99</t>
  </si>
  <si>
    <t>D.1.1</t>
  </si>
  <si>
    <t>Soubor</t>
  </si>
  <si>
    <t>Ostatní náklady- práce na památkách</t>
  </si>
  <si>
    <t>090001VRN</t>
  </si>
  <si>
    <t>112</t>
  </si>
  <si>
    <t xml:space="preserve"> </t>
  </si>
  <si>
    <t>Ostatní náklady</t>
  </si>
  <si>
    <t>09VRN</t>
  </si>
  <si>
    <t>04VRN_</t>
  </si>
  <si>
    <t>Inženýrské činnosti</t>
  </si>
  <si>
    <t>040001VRN</t>
  </si>
  <si>
    <t>110</t>
  </si>
  <si>
    <t>04VRN</t>
  </si>
  <si>
    <t>03VRN_</t>
  </si>
  <si>
    <t>Vybavení staveniště</t>
  </si>
  <si>
    <t>032002VRN</t>
  </si>
  <si>
    <t>109</t>
  </si>
  <si>
    <t>Odstranění zařízení staveniště</t>
  </si>
  <si>
    <t>039002VRN</t>
  </si>
  <si>
    <t>108</t>
  </si>
  <si>
    <t>Zařízení staveniště</t>
  </si>
  <si>
    <t>030001VRN</t>
  </si>
  <si>
    <t>107</t>
  </si>
  <si>
    <t>03VRN</t>
  </si>
  <si>
    <t>VORN - Vedlejší a ostatní rozpočtové náklady</t>
  </si>
  <si>
    <t>42,57</t>
  </si>
  <si>
    <t>D.1.1_9_</t>
  </si>
  <si>
    <t>S_</t>
  </si>
  <si>
    <t>5</t>
  </si>
  <si>
    <t>RTS I / 2023</t>
  </si>
  <si>
    <t>t</t>
  </si>
  <si>
    <t>Poplatek za recyklaci suť do 10 % příměsí (skup.170107)</t>
  </si>
  <si>
    <t>979999999R00</t>
  </si>
  <si>
    <t>106</t>
  </si>
  <si>
    <t>Nakládání nebo překládání vybourané suti</t>
  </si>
  <si>
    <t>979094211R00</t>
  </si>
  <si>
    <t>105</t>
  </si>
  <si>
    <t>Vodorovná doprava vybour. hmot po suchu do 5 km</t>
  </si>
  <si>
    <t>979084216R00</t>
  </si>
  <si>
    <t>104</t>
  </si>
  <si>
    <t>42,57*4</t>
  </si>
  <si>
    <t>Příplatek k vnitrost. dopravě suti za dalších 5 m</t>
  </si>
  <si>
    <t>979082121R00</t>
  </si>
  <si>
    <t>103</t>
  </si>
  <si>
    <t>22,31+16,25+4,01</t>
  </si>
  <si>
    <t>Vnitrostaveništní doprava suti do 10 m</t>
  </si>
  <si>
    <t>979082111R00</t>
  </si>
  <si>
    <t>102</t>
  </si>
  <si>
    <t>;suť z kanálu; 5,46+1,29+12,27</t>
  </si>
  <si>
    <t>Svislé přemístění suti nošením na H do 3,5 m</t>
  </si>
  <si>
    <t>979017111R00</t>
  </si>
  <si>
    <t>101</t>
  </si>
  <si>
    <t>Přesuny sutí</t>
  </si>
  <si>
    <t>S</t>
  </si>
  <si>
    <t>H99_</t>
  </si>
  <si>
    <t>Přesun hmot pro opravy a údržbu do výšky 25 m</t>
  </si>
  <si>
    <t>999281111R00</t>
  </si>
  <si>
    <t>100</t>
  </si>
  <si>
    <t>Ostatní přesuny hmot</t>
  </si>
  <si>
    <t>H99</t>
  </si>
  <si>
    <t>0,3+1,1+0,55+0,5+2,0</t>
  </si>
  <si>
    <t>97_</t>
  </si>
  <si>
    <t>m</t>
  </si>
  <si>
    <t>Vrtání jádrové do ŽB do D 160 mm</t>
  </si>
  <si>
    <t>970051160R00</t>
  </si>
  <si>
    <t>14</t>
  </si>
  <si>
    <t>kus</t>
  </si>
  <si>
    <t>Vybourání otv. stropy ŽB pl. 0,0225 m2, tl. 15 cm</t>
  </si>
  <si>
    <t>972054141R00</t>
  </si>
  <si>
    <t>98</t>
  </si>
  <si>
    <t>;dveře č. 10; 0,95*1,8*0,3</t>
  </si>
  <si>
    <t>;dveře č. 5; 1,05*2,1*0,3</t>
  </si>
  <si>
    <t>m3</t>
  </si>
  <si>
    <t>Vybourání otv. zeď cihel. pl.4 m2, tl.30 cm, MVC</t>
  </si>
  <si>
    <t>971033641R00</t>
  </si>
  <si>
    <t>97</t>
  </si>
  <si>
    <t>;průchod mezi 107 a 108; 1,36*0,6*2,6</t>
  </si>
  <si>
    <t>;dveře č. 6; 1,1*2,1*0,3</t>
  </si>
  <si>
    <t>Vybourání otv. zeď kam. pl. 4 m2, tl. 60 cm, MVC</t>
  </si>
  <si>
    <t>971024651R00</t>
  </si>
  <si>
    <t>96</t>
  </si>
  <si>
    <t>92,53</t>
  </si>
  <si>
    <t>m2</t>
  </si>
  <si>
    <t>Vysekání a úprava spár zdiva cihelného mimo komín.</t>
  </si>
  <si>
    <t>978023411R00</t>
  </si>
  <si>
    <t>95</t>
  </si>
  <si>
    <t>(1,2+2,6)/2*(33,7+15,0)</t>
  </si>
  <si>
    <t>Otlučení omítek vnějších MVC v složit.1-4 do 100 %</t>
  </si>
  <si>
    <t>978015291R00</t>
  </si>
  <si>
    <t>94</t>
  </si>
  <si>
    <t>0,09*(0,3*2+1,2*2)*165</t>
  </si>
  <si>
    <t>Očištění vybouraných dlaždic s výplní spár MC</t>
  </si>
  <si>
    <t>979054442R00</t>
  </si>
  <si>
    <t>93</t>
  </si>
  <si>
    <t>Prorážení otvorů a ostatní bourací práce</t>
  </si>
  <si>
    <t>5,78+12,69+4,31+13,46+1,44</t>
  </si>
  <si>
    <t>96_</t>
  </si>
  <si>
    <t>Bourání podlah z cihel naplocho, plochy nad 1 m2</t>
  </si>
  <si>
    <t>965031131R00</t>
  </si>
  <si>
    <t>92</t>
  </si>
  <si>
    <t>;odstranění lepidla po parketách; 160,46</t>
  </si>
  <si>
    <t>Broušení betonových povrchů do tl. 5 mm</t>
  </si>
  <si>
    <t>965048515R00</t>
  </si>
  <si>
    <t>91</t>
  </si>
  <si>
    <t>2,2*0,2</t>
  </si>
  <si>
    <t>;pod kachlová kamna ; 1,25*1,5*0,2</t>
  </si>
  <si>
    <t>Bourání ŽB stropů deskových tl. nad 8 cm</t>
  </si>
  <si>
    <t>963051113R00</t>
  </si>
  <si>
    <t>90</t>
  </si>
  <si>
    <t>;u dveří č. 10; 1,9*0,7*2</t>
  </si>
  <si>
    <t>Přisekání kamenných nebo jiných, ploch do 2 m2</t>
  </si>
  <si>
    <t>967023692R00</t>
  </si>
  <si>
    <t>89</t>
  </si>
  <si>
    <t>;nika u dveří č. 19; 1,4*2,3-1,05*2,05</t>
  </si>
  <si>
    <t>Bourání příček z cihel pálených plných tl. 140 mm</t>
  </si>
  <si>
    <t>962031116R00</t>
  </si>
  <si>
    <t>88</t>
  </si>
  <si>
    <t>;dveře č. 19; 1,05*2,05</t>
  </si>
  <si>
    <t>Vybourání dřevěných dveřních zárubní pl. do 2 m2</t>
  </si>
  <si>
    <t>968062455R00</t>
  </si>
  <si>
    <t>87</t>
  </si>
  <si>
    <t>;dveře č. 19; 2</t>
  </si>
  <si>
    <t>Vyvěšení dřevěných a plastových dveřních křídel pl. do 2 m2</t>
  </si>
  <si>
    <t>968061125R00</t>
  </si>
  <si>
    <t>86</t>
  </si>
  <si>
    <t>0,2*0,9*(33,7+15,0)</t>
  </si>
  <si>
    <t>Odstranění násypu tl. do 20 cm, plocha nad 2 m2</t>
  </si>
  <si>
    <t>965082933R00</t>
  </si>
  <si>
    <t>85</t>
  </si>
  <si>
    <t>;PZD na kanálu; 165</t>
  </si>
  <si>
    <t>Demontáž prefabrikovaných krycích desek 0,06 t</t>
  </si>
  <si>
    <t>963015111R00</t>
  </si>
  <si>
    <t>84</t>
  </si>
  <si>
    <t>Bourání konstrukcí</t>
  </si>
  <si>
    <t>Dle PD</t>
  </si>
  <si>
    <t>95_</t>
  </si>
  <si>
    <t>ks</t>
  </si>
  <si>
    <t>Masivní kamenný blok - lavice 2500/550/350 mm</t>
  </si>
  <si>
    <t>950000009VD</t>
  </si>
  <si>
    <t>83</t>
  </si>
  <si>
    <t>D+M, dle PD</t>
  </si>
  <si>
    <t>Pískovcový stupeň 1500/300/150mm</t>
  </si>
  <si>
    <t>950000006VD</t>
  </si>
  <si>
    <t>82</t>
  </si>
  <si>
    <t>2</t>
  </si>
  <si>
    <t>D+M větrací mřížky 200x200 s pož. odolností</t>
  </si>
  <si>
    <t>950000092VD</t>
  </si>
  <si>
    <t>81</t>
  </si>
  <si>
    <t>Různé dokončovací konstrukce a práce na pozemních stavbách</t>
  </si>
  <si>
    <t>40,0</t>
  </si>
  <si>
    <t>94_</t>
  </si>
  <si>
    <t>Demontáž lešení leh.řad.s podlahami,š.1,2 m,H 10 m</t>
  </si>
  <si>
    <t>941941841R00</t>
  </si>
  <si>
    <t>80</t>
  </si>
  <si>
    <t>40,0*3</t>
  </si>
  <si>
    <t>Příplatek za každý měsíc použití lešení k pol.1041</t>
  </si>
  <si>
    <t>941941291R00</t>
  </si>
  <si>
    <t>79</t>
  </si>
  <si>
    <t>;lešení na opravu vrat a váz; 4,0*10,0</t>
  </si>
  <si>
    <t>Montáž lešení leh.řad.s podlahami,š.1,2 m, H 10 m</t>
  </si>
  <si>
    <t>941941041R00</t>
  </si>
  <si>
    <t>78</t>
  </si>
  <si>
    <t>46,04+47,44+5,78+12,69+4,31+13,46+41,19+25,78+4,15+1,44</t>
  </si>
  <si>
    <t>Lešení lehké pomocné, výška podlahy do 1,2 m</t>
  </si>
  <si>
    <t>941955001R00</t>
  </si>
  <si>
    <t>77</t>
  </si>
  <si>
    <t>Lešení a stavební výtahy</t>
  </si>
  <si>
    <t>;ztratné 5%; 0,012</t>
  </si>
  <si>
    <t>0,4*0,6</t>
  </si>
  <si>
    <t>D.1.1_78_</t>
  </si>
  <si>
    <t>787_</t>
  </si>
  <si>
    <t>7</t>
  </si>
  <si>
    <t>Zrcadlo nemontované čiré tl. 4 mm</t>
  </si>
  <si>
    <t>63465124</t>
  </si>
  <si>
    <t>76</t>
  </si>
  <si>
    <t>0,6*0,4</t>
  </si>
  <si>
    <t>PSV, pol. č. 26</t>
  </si>
  <si>
    <t>Montáž zrcadla na stěnu, na lepidlo, pl. do 2 m2</t>
  </si>
  <si>
    <t>787911111R00</t>
  </si>
  <si>
    <t>75</t>
  </si>
  <si>
    <t>Zasklívání</t>
  </si>
  <si>
    <t>787</t>
  </si>
  <si>
    <t>3,3*5,49*2-(0,94*1,8)</t>
  </si>
  <si>
    <t>2,1*7,07-0,96*1,91</t>
  </si>
  <si>
    <t>;107; 4,5*7,07-(1,36*2,55+0,9*2,0)</t>
  </si>
  <si>
    <t>;102; 5,95*2,64*2+7,09*2,64*2-(1,05*2,0+0,88*1,9+0,9*2,0)</t>
  </si>
  <si>
    <t>785_</t>
  </si>
  <si>
    <t>Odstranění tapet lepených ostatních s podl. 3,8 m</t>
  </si>
  <si>
    <t>785412800R00</t>
  </si>
  <si>
    <t>74</t>
  </si>
  <si>
    <t>Tapetování</t>
  </si>
  <si>
    <t>785</t>
  </si>
  <si>
    <t>2,4*(2,19*2+1,39*2)-(0,6*1,97+0,93*1,6)</t>
  </si>
  <si>
    <t>2,4*(1,155*2+1,39*2)-0,6*1,97</t>
  </si>
  <si>
    <t>784_</t>
  </si>
  <si>
    <t>Malba latex. 2x, 1barevná+strop, místnost do 3,8 m</t>
  </si>
  <si>
    <t>784441110R00</t>
  </si>
  <si>
    <t>73</t>
  </si>
  <si>
    <t>;110 strop; 1,44*1,4</t>
  </si>
  <si>
    <t>;108 strop; 25,78*1,4</t>
  </si>
  <si>
    <t>;107 strop; 41,19*1,4</t>
  </si>
  <si>
    <t>;106 stěny; 2,0*(4,36*2+2,0)+3,3*(2,65*2+2,0)</t>
  </si>
  <si>
    <t>;106 strop; 13,46*1,4</t>
  </si>
  <si>
    <t>;105; 1,9*1,5*2+1,0*2,25+2,0*2,25-0,7*1,8</t>
  </si>
  <si>
    <t>;104 stěny; 2,0*(1,123+0,86+0,75+0,82+0,59+1,1+1,23+0,7)</t>
  </si>
  <si>
    <t>;104 strop; 12,69*1,4</t>
  </si>
  <si>
    <t>;103 stěny; 2,5*(2,0*2+2,25)</t>
  </si>
  <si>
    <t>;103 strop; 5,78*1,4</t>
  </si>
  <si>
    <t>;102 strop; 47,44*1,4</t>
  </si>
  <si>
    <t>;101 stěny; 2,9*6,06*2+7,09*2,9*2</t>
  </si>
  <si>
    <t>;101 strop; 46,04*1,4</t>
  </si>
  <si>
    <t>Malba váp.2x, 1bar+strop, pačok 2x, místn. do 3,8m</t>
  </si>
  <si>
    <t>784423271R00</t>
  </si>
  <si>
    <t>72</t>
  </si>
  <si>
    <t>Vyspravení defektů vápenným tmelem, celoplošné kletování vápnem</t>
  </si>
  <si>
    <t>R7840001</t>
  </si>
  <si>
    <t>71</t>
  </si>
  <si>
    <t>Povrchy stěn a kleneb  v celém bytě očistit od mladších vrstev - ponechat 19. stol. a starší, tzn. čištění a opravy realizovat pod dohledem restaurátora</t>
  </si>
  <si>
    <t>Odstranění malby oškrábáním v místnosti H do 3,8 m</t>
  </si>
  <si>
    <t>R78440002</t>
  </si>
  <si>
    <t>70</t>
  </si>
  <si>
    <t>Broušení štuků a nových omítek</t>
  </si>
  <si>
    <t>784011121R00</t>
  </si>
  <si>
    <t>69</t>
  </si>
  <si>
    <t>Malby</t>
  </si>
  <si>
    <t>784</t>
  </si>
  <si>
    <t>D.1.1_77_</t>
  </si>
  <si>
    <t>776_</t>
  </si>
  <si>
    <t>Odvodněný box  100x50cm s kokosovou rohoží</t>
  </si>
  <si>
    <t>776975123R00</t>
  </si>
  <si>
    <t>68</t>
  </si>
  <si>
    <t>Podlahy povlakové</t>
  </si>
  <si>
    <t>776</t>
  </si>
  <si>
    <t>775_</t>
  </si>
  <si>
    <t>Přesun hmot pro podlahy vlysové, výšky do 12 m</t>
  </si>
  <si>
    <t>998775102R00</t>
  </si>
  <si>
    <t>67</t>
  </si>
  <si>
    <t>17,0</t>
  </si>
  <si>
    <t>Osvětlení v m.č. 102</t>
  </si>
  <si>
    <t>bm</t>
  </si>
  <si>
    <t>Úprava  podlahy - přiříznutí, tmelení</t>
  </si>
  <si>
    <t>775000002VD</t>
  </si>
  <si>
    <t>66</t>
  </si>
  <si>
    <t>;ztratné 15%; 11,868</t>
  </si>
  <si>
    <t>79,12</t>
  </si>
  <si>
    <t>Lišta dřevěná atyp. dle PD</t>
  </si>
  <si>
    <t>61413716</t>
  </si>
  <si>
    <t>65</t>
  </si>
  <si>
    <t>7,09*8+6,06*2+5,95*2+5,49*2+2,98*2</t>
  </si>
  <si>
    <t>Montáž podlahové lišty připevněné vruty, výšky 60 mm</t>
  </si>
  <si>
    <t>775413021R00</t>
  </si>
  <si>
    <t>64</t>
  </si>
  <si>
    <t>160,67</t>
  </si>
  <si>
    <t>Lazura + vosk dřevěných podlah</t>
  </si>
  <si>
    <t>775599141R00</t>
  </si>
  <si>
    <t>63</t>
  </si>
  <si>
    <t>160,46</t>
  </si>
  <si>
    <t>Broušení dřevěných podlah hrubé + střední + jemné</t>
  </si>
  <si>
    <t>775592000R00</t>
  </si>
  <si>
    <t>62</t>
  </si>
  <si>
    <t>;ztratné 15%; 24,1005</t>
  </si>
  <si>
    <t>Palubka podlahová šířky min. 200 mm, tl. 25 mm, délky 4000 mm</t>
  </si>
  <si>
    <t>R61189990</t>
  </si>
  <si>
    <t>61</t>
  </si>
  <si>
    <t>Položení palubových podlah šroubováním/lepením</t>
  </si>
  <si>
    <t>775551200R00</t>
  </si>
  <si>
    <t>60</t>
  </si>
  <si>
    <t>46,04+47,44+41,2+25,78</t>
  </si>
  <si>
    <t>Demontáž podlah vlysových lepených včetně lišt</t>
  </si>
  <si>
    <t>775511800R00</t>
  </si>
  <si>
    <t>59</t>
  </si>
  <si>
    <t>Podlahy vlysové a parketové</t>
  </si>
  <si>
    <t>775</t>
  </si>
  <si>
    <t>Dle výpisu PSV, pol.č. 28, včetně materiálů</t>
  </si>
  <si>
    <t>D.1.1_76_</t>
  </si>
  <si>
    <t>767_</t>
  </si>
  <si>
    <t>kpl</t>
  </si>
  <si>
    <t>Výroba a montáž kov. atypických konstr. do 10 kg</t>
  </si>
  <si>
    <t>767995102R00</t>
  </si>
  <si>
    <t>58</t>
  </si>
  <si>
    <t>15</t>
  </si>
  <si>
    <t>Včetně materiálu, dle PD</t>
  </si>
  <si>
    <t>Výroba a montáž kov. atypických konstr. do 5 kg - elektro krabice do podlah</t>
  </si>
  <si>
    <t>767995101R00</t>
  </si>
  <si>
    <t>57</t>
  </si>
  <si>
    <t>Konstrukce doplňkové stavební (zámečnické)</t>
  </si>
  <si>
    <t>767</t>
  </si>
  <si>
    <t>766_</t>
  </si>
  <si>
    <t>Přesun hmot pro truhlářské konstr., výšky do 12 m</t>
  </si>
  <si>
    <t>998766102R00</t>
  </si>
  <si>
    <t>56</t>
  </si>
  <si>
    <t>2580x1900, skládací, na pantech, krycí nátěr, PSV pol. č. 29</t>
  </si>
  <si>
    <t>Vnitřní okenice</t>
  </si>
  <si>
    <t>766000140VD</t>
  </si>
  <si>
    <t>55</t>
  </si>
  <si>
    <t>Dle výkresu D.1.1.9</t>
  </si>
  <si>
    <t>Skříňky kuchyňské linky v místnosti 109</t>
  </si>
  <si>
    <t>766000057VD</t>
  </si>
  <si>
    <t>54</t>
  </si>
  <si>
    <t>Trojstranné deštění obou ostění otvorů mezi m.č.107 a 108 (historizující tvar dle ostatních nových deštění dveří).</t>
  </si>
  <si>
    <t>766000077VD</t>
  </si>
  <si>
    <t>53</t>
  </si>
  <si>
    <t>Výpis PSV, pol.č. 18</t>
  </si>
  <si>
    <t>Nové dřevěné vnitřní dveře plné hladké</t>
  </si>
  <si>
    <t>766000073VD</t>
  </si>
  <si>
    <t>52</t>
  </si>
  <si>
    <t>Výpis PSV, pol. č. 15</t>
  </si>
  <si>
    <t>Repase vnitřních kazetových dveří</t>
  </si>
  <si>
    <t>766000062VD</t>
  </si>
  <si>
    <t>51</t>
  </si>
  <si>
    <t>Výpis PSV, pol. č. 14</t>
  </si>
  <si>
    <t>Repase původních vstupních dveří</t>
  </si>
  <si>
    <t>50</t>
  </si>
  <si>
    <t>3</t>
  </si>
  <si>
    <t>Výpis PSV pol. č. 13,16,17</t>
  </si>
  <si>
    <t>766000052VD</t>
  </si>
  <si>
    <t>49</t>
  </si>
  <si>
    <t xml:space="preserve">Výpis PSV, pol. č. 12
</t>
  </si>
  <si>
    <t>Nové vnitřní dřevěné dveře skryté</t>
  </si>
  <si>
    <t>766000049VD</t>
  </si>
  <si>
    <t>48</t>
  </si>
  <si>
    <t xml:space="preserve"> Výpis PSV pol. č. 11</t>
  </si>
  <si>
    <t>Repase původních dveří + obložka</t>
  </si>
  <si>
    <t>766000045VD</t>
  </si>
  <si>
    <t>47</t>
  </si>
  <si>
    <t>Dle výpisu PSV, pol. č. 10</t>
  </si>
  <si>
    <t>Nové dřevěné vnitřní masivní dveře s EI2 30 DP3 C3</t>
  </si>
  <si>
    <t>766000044VD</t>
  </si>
  <si>
    <t>46</t>
  </si>
  <si>
    <t>Výkaz PSV pol. č. 8,9</t>
  </si>
  <si>
    <t>Nové dřevěné vnitřní kazetové dveře</t>
  </si>
  <si>
    <t>766000040VD</t>
  </si>
  <si>
    <t>45</t>
  </si>
  <si>
    <t>Dle výpisu PSV, pol. č. 7</t>
  </si>
  <si>
    <t>Nové dřevěné vnitřní kazetové dveře do klenutého otvoru</t>
  </si>
  <si>
    <t>766000037VD</t>
  </si>
  <si>
    <t>44</t>
  </si>
  <si>
    <t>Dle výpisi PSV, pol. č. 6</t>
  </si>
  <si>
    <t>Nové dřevěné vnitřní masivní dveře</t>
  </si>
  <si>
    <t>766000018VD</t>
  </si>
  <si>
    <t>43</t>
  </si>
  <si>
    <t>Dle výpisu PSV, pol. č. 5,  Konzervace vysazených vstupních dveří v historickém stavu a jejich instalace na nové železné kotvy na stěnu m.č. 101.</t>
  </si>
  <si>
    <t>Nové dřevěné venkovní zateplené vstupní dveře</t>
  </si>
  <si>
    <t>766000013VD</t>
  </si>
  <si>
    <t>42</t>
  </si>
  <si>
    <t>Dle PD, pol. č. 4 výpisu otvorových prvků</t>
  </si>
  <si>
    <t>Dřevěná prkenná vrata průjezdu - kompletní zrestaurování</t>
  </si>
  <si>
    <t>766000016VD</t>
  </si>
  <si>
    <t>41</t>
  </si>
  <si>
    <t>10</t>
  </si>
  <si>
    <t>Pol. 1,2,3 ve výpisu otvorových prvků. Řídit se popisem v PD</t>
  </si>
  <si>
    <t>Repase stv. oken - dle PD</t>
  </si>
  <si>
    <t>766000004VD</t>
  </si>
  <si>
    <t>40</t>
  </si>
  <si>
    <t>kotvící úhelníky, vruty,...</t>
  </si>
  <si>
    <t>Spojovací materiál pro obklad stěn</t>
  </si>
  <si>
    <t>766000111VD</t>
  </si>
  <si>
    <t>39</t>
  </si>
  <si>
    <t>4,15</t>
  </si>
  <si>
    <t>Obložení podhledů jednod.aglomer.deskami do 1,5 m2</t>
  </si>
  <si>
    <t>766422342R00</t>
  </si>
  <si>
    <t>38</t>
  </si>
  <si>
    <t>;ztratné 10%; 2,6762</t>
  </si>
  <si>
    <t>22,612+4,15</t>
  </si>
  <si>
    <t>Deska cementotřísková Cetris BASIC tl. 16 mm</t>
  </si>
  <si>
    <t>59590739</t>
  </si>
  <si>
    <t>37</t>
  </si>
  <si>
    <t>2,5*(3,42*2+1,4*2)-0,93*1,6</t>
  </si>
  <si>
    <t>Obložení stěn pl. do 5 m2, deskami do 1,5 m2</t>
  </si>
  <si>
    <t>766414142R00</t>
  </si>
  <si>
    <t>36</t>
  </si>
  <si>
    <t>;ztratné 15%; 0,018324</t>
  </si>
  <si>
    <t>(43,4+7,5)*0,04*0,06</t>
  </si>
  <si>
    <t>Hranol konstrukční KVH NSi, SM, C24, 40 x 60 mm, 5 m</t>
  </si>
  <si>
    <t>60515801</t>
  </si>
  <si>
    <t>35</t>
  </si>
  <si>
    <t>4,15*1,8</t>
  </si>
  <si>
    <t>Podkladový rošt pro obložení podhledů</t>
  </si>
  <si>
    <t>766427112R00</t>
  </si>
  <si>
    <t>34</t>
  </si>
  <si>
    <t>2,5*1,8*(3,42*2+1,4*2)</t>
  </si>
  <si>
    <t>Podkladový rošt pod obložení stěn</t>
  </si>
  <si>
    <t>766417111R00</t>
  </si>
  <si>
    <t>33</t>
  </si>
  <si>
    <t>;u dveří č. 5; 1,1*1,05*2</t>
  </si>
  <si>
    <t>;u dveří č. 2; 0,9*1,05*2</t>
  </si>
  <si>
    <t>Demontáž obložení stěn panely velikosti do 1,5 m2</t>
  </si>
  <si>
    <t>766411811R00</t>
  </si>
  <si>
    <t>32</t>
  </si>
  <si>
    <t>Konstrukce truhlářské</t>
  </si>
  <si>
    <t>766</t>
  </si>
  <si>
    <t>D.1.1_6_</t>
  </si>
  <si>
    <t>63_</t>
  </si>
  <si>
    <t>Zaplnění dilatačních spár mazanin ,š.20 mm</t>
  </si>
  <si>
    <t>634601121R00</t>
  </si>
  <si>
    <t>31</t>
  </si>
  <si>
    <t>4,15+0,95*0,9</t>
  </si>
  <si>
    <t>Podlaha Cetris POLYCET, desky 2x 12 mm</t>
  </si>
  <si>
    <t>635211312R00</t>
  </si>
  <si>
    <t>30</t>
  </si>
  <si>
    <t>Penetrace savých podkladů  0,25 l/m2</t>
  </si>
  <si>
    <t>632411904R00</t>
  </si>
  <si>
    <t>29</t>
  </si>
  <si>
    <t xml:space="preserve"> s rozptýlenou výztuží</t>
  </si>
  <si>
    <t>Potěr samonivelační ručně tl. 8 mm</t>
  </si>
  <si>
    <t>632415108RT4</t>
  </si>
  <si>
    <t>28</t>
  </si>
  <si>
    <t>;ztratné 5%; 1,884</t>
  </si>
  <si>
    <t>37,68</t>
  </si>
  <si>
    <t>Dlažba cihelná ruční čtvercová I. jakost, 200 x 200 x 30 mm</t>
  </si>
  <si>
    <t>59694150</t>
  </si>
  <si>
    <t>27</t>
  </si>
  <si>
    <t>Dlažba z cihel dl. 290 mm, do MVC 2,5, naplocho</t>
  </si>
  <si>
    <t>632244311R00</t>
  </si>
  <si>
    <t>26</t>
  </si>
  <si>
    <t>296,6*0,02*0,1</t>
  </si>
  <si>
    <t>Zabetonování podélných spár mezi nosníky</t>
  </si>
  <si>
    <t>423321111R00</t>
  </si>
  <si>
    <t>25</t>
  </si>
  <si>
    <t>9,74</t>
  </si>
  <si>
    <t>Bednění stěn, rýh a otvorů v podlahách -odstranění</t>
  </si>
  <si>
    <t>631351102R00</t>
  </si>
  <si>
    <t>24</t>
  </si>
  <si>
    <t>(0,05*2+0,1)*(33,7+15,0)</t>
  </si>
  <si>
    <t>Bednění stěn, rýh a otvorů v podlahách - zřízení</t>
  </si>
  <si>
    <t>631351101R00</t>
  </si>
  <si>
    <t>23</t>
  </si>
  <si>
    <t>;betonové dno v kanálu; 0,9*0,1*(33,7+15,0)</t>
  </si>
  <si>
    <t>Mazanina betonová tl. 8 - 12 cm C 12/15</t>
  </si>
  <si>
    <t>631313511R00</t>
  </si>
  <si>
    <t>22</t>
  </si>
  <si>
    <t>4,383</t>
  </si>
  <si>
    <t>Příplatek za konečnou úpravu mazanin tl. 8 cm</t>
  </si>
  <si>
    <t>631319161R00</t>
  </si>
  <si>
    <t>21</t>
  </si>
  <si>
    <t>;drážka pro osvětlení v m.č. 102; 17,0</t>
  </si>
  <si>
    <t>;proříznutí spáry mezi deskami PZD; 166*1,2+33,7*2+15,0*2</t>
  </si>
  <si>
    <t>Řezání dilatační spáry hl. 0-50 mm, beton prostý</t>
  </si>
  <si>
    <t>631317105R00</t>
  </si>
  <si>
    <t>20</t>
  </si>
  <si>
    <t>Podlahy a podlahové konstrukce</t>
  </si>
  <si>
    <t>62_</t>
  </si>
  <si>
    <t>Nátěr nebo nástřik stěn vnějších, složitost 3 - 4</t>
  </si>
  <si>
    <t>622471318R00</t>
  </si>
  <si>
    <t>19</t>
  </si>
  <si>
    <t>Očištění fasád tlakovou vodou složitost 3 - 5</t>
  </si>
  <si>
    <t>622904115R00</t>
  </si>
  <si>
    <t>18</t>
  </si>
  <si>
    <t>Dle výkresu D.1.1.8, oprava a nátěr fasád</t>
  </si>
  <si>
    <t>Obnova a restaurování dekorativních váz nad vraty</t>
  </si>
  <si>
    <t>620000008VD</t>
  </si>
  <si>
    <t>17</t>
  </si>
  <si>
    <t>Oprava vněj.om.vápenné štuk.stěn,sl.III,do 30%,SMS</t>
  </si>
  <si>
    <t>622421733R00</t>
  </si>
  <si>
    <t>16</t>
  </si>
  <si>
    <t>Úprava povrchů vnější</t>
  </si>
  <si>
    <t>;110; 2,25*(1,8*2+0,8*2)-1,0*1,8</t>
  </si>
  <si>
    <t>penetrace, stěrka, broušení, tonování, lak PU</t>
  </si>
  <si>
    <t>61_</t>
  </si>
  <si>
    <t>Omyvatelná cementová stěrka</t>
  </si>
  <si>
    <t>612000012VD</t>
  </si>
  <si>
    <t>0,3*3,5*5</t>
  </si>
  <si>
    <t>Omítka rýh stěn vápenná šířky do 30 cm, štuková</t>
  </si>
  <si>
    <t>612423631R00</t>
  </si>
  <si>
    <t>0,9*2,0*2</t>
  </si>
  <si>
    <t>;110; 2,25*1,8-1,0*1,8+2,75*2,25-1,0*1,8</t>
  </si>
  <si>
    <t>Omítka vnitřní zdiva, MVC, štuková</t>
  </si>
  <si>
    <t>612421637R00</t>
  </si>
  <si>
    <t>13</t>
  </si>
  <si>
    <t>Oprava vápen.omítek stěn do 30 % pl. - štukových</t>
  </si>
  <si>
    <t>612421331R00</t>
  </si>
  <si>
    <t>12</t>
  </si>
  <si>
    <t>Úprava povrchů vnitřní</t>
  </si>
  <si>
    <t>;dobetonávka okolo základu pod kamna;1,25*0,5*0,2</t>
  </si>
  <si>
    <t>D.1.1_4_</t>
  </si>
  <si>
    <t>41_</t>
  </si>
  <si>
    <t>Zabetonování otvorů o ploše do 1 m2 ve stropech</t>
  </si>
  <si>
    <t>411388531R00</t>
  </si>
  <si>
    <t>11</t>
  </si>
  <si>
    <t>;třetina nových; 165/3</t>
  </si>
  <si>
    <t>včetně dodávky PZD 119x29x9</t>
  </si>
  <si>
    <t>Osazování stropních desek š. do 60, dl. do 180 cm</t>
  </si>
  <si>
    <t>411121232RT2</t>
  </si>
  <si>
    <t>165/3*2</t>
  </si>
  <si>
    <t>411121232R00</t>
  </si>
  <si>
    <t>9</t>
  </si>
  <si>
    <t>Stropy a stropní konstrukce (pro pozemní stavby)</t>
  </si>
  <si>
    <t>;za dveřmi č. 13; 2,0*0,85</t>
  </si>
  <si>
    <t>;zazdívka niky; 1,43*1,2</t>
  </si>
  <si>
    <t>;příčka mezi 104 a 110;  2,25*(2,75+0,2)-1,0*1,8</t>
  </si>
  <si>
    <t>D.1.1_3_</t>
  </si>
  <si>
    <t>34_</t>
  </si>
  <si>
    <t>Příčky z cihel HELUZ P12,5 na maltu vápenocementovou 5 MPa, tl. 80 mm</t>
  </si>
  <si>
    <t>342247119R00</t>
  </si>
  <si>
    <t>8</t>
  </si>
  <si>
    <t>2,5*1,4-0,6*1,97</t>
  </si>
  <si>
    <t>Příčka Cetris tl. 95 mm, 1x CW 75, 1x opláštěná deskou tl. 10 mm</t>
  </si>
  <si>
    <t>342211111R00</t>
  </si>
  <si>
    <t>Stěny a příčky</t>
  </si>
  <si>
    <t>D.1.1_2_</t>
  </si>
  <si>
    <t>27_</t>
  </si>
  <si>
    <t>Bednění stěn základových patek - odstranění</t>
  </si>
  <si>
    <t>275351216R00</t>
  </si>
  <si>
    <t>6</t>
  </si>
  <si>
    <t>1,0*1,0*3</t>
  </si>
  <si>
    <t>Bednění stěn základových patek - zřízení</t>
  </si>
  <si>
    <t>275351215R00</t>
  </si>
  <si>
    <t>;pod kachlová kamna; 1,0*1,0*1,0</t>
  </si>
  <si>
    <t>Beton základových patek prostý C 16/20</t>
  </si>
  <si>
    <t>275313611R00</t>
  </si>
  <si>
    <t>4</t>
  </si>
  <si>
    <t>Základy</t>
  </si>
  <si>
    <t>D.1.1_1_</t>
  </si>
  <si>
    <t>11_</t>
  </si>
  <si>
    <t>Vyvěšení a zpětné ukotvení sítí</t>
  </si>
  <si>
    <t>110000022VD</t>
  </si>
  <si>
    <t>5,35</t>
  </si>
  <si>
    <t>Srovnání lom. kamene do figur na vzdálenost do 10m</t>
  </si>
  <si>
    <t>114203401R00</t>
  </si>
  <si>
    <t>0,09*1,2*0,3*165</t>
  </si>
  <si>
    <t>Třídění lomového kamene nebo betonových tvárnic</t>
  </si>
  <si>
    <t>114203301R00</t>
  </si>
  <si>
    <t>Přípravné a přidružené práce</t>
  </si>
  <si>
    <t>STAVEBNÍ ČÁST</t>
  </si>
  <si>
    <t>CELK</t>
  </si>
  <si>
    <t>WORK</t>
  </si>
  <si>
    <t>MAT</t>
  </si>
  <si>
    <t>Ostatní mat.</t>
  </si>
  <si>
    <t>Mont prac</t>
  </si>
  <si>
    <t>Mont mat</t>
  </si>
  <si>
    <t>PSV prac</t>
  </si>
  <si>
    <t>PSV mat</t>
  </si>
  <si>
    <t>HSV prac</t>
  </si>
  <si>
    <t>HSV mat</t>
  </si>
  <si>
    <t>Typ skupiny</t>
  </si>
  <si>
    <t>Přesuny</t>
  </si>
  <si>
    <t>soustava</t>
  </si>
  <si>
    <t>Celkem</t>
  </si>
  <si>
    <t>Jednot.</t>
  </si>
  <si>
    <t>Montáž</t>
  </si>
  <si>
    <t>Dodávka</t>
  </si>
  <si>
    <t>(Kč)</t>
  </si>
  <si>
    <t>Rozměry</t>
  </si>
  <si>
    <t>GROUPCODE</t>
  </si>
  <si>
    <t>ISWORK</t>
  </si>
  <si>
    <t>Cenová</t>
  </si>
  <si>
    <t>Hmotnost (t)</t>
  </si>
  <si>
    <t>Náklady (Kč)</t>
  </si>
  <si>
    <t>Cena/MJ</t>
  </si>
  <si>
    <t>Množství</t>
  </si>
  <si>
    <t>MJ</t>
  </si>
  <si>
    <t>Zkrácený popis</t>
  </si>
  <si>
    <t>Kód</t>
  </si>
  <si>
    <t>Objekt</t>
  </si>
  <si>
    <t>Č</t>
  </si>
  <si>
    <t>Zpracoval:</t>
  </si>
  <si>
    <t>Zpracováno dne:</t>
  </si>
  <si>
    <t>JKSO:</t>
  </si>
  <si>
    <t>Zhotovitel:</t>
  </si>
  <si>
    <t>Konec výstavby:</t>
  </si>
  <si>
    <t>Lokalita:</t>
  </si>
  <si>
    <t>Projektant:</t>
  </si>
  <si>
    <t>Začátek výstavby:</t>
  </si>
  <si>
    <t>Druh stavby:</t>
  </si>
  <si>
    <t>Objednatel:</t>
  </si>
  <si>
    <t>Doba výstavby:</t>
  </si>
  <si>
    <t>Název stavby:</t>
  </si>
  <si>
    <t>Stavební rozpočet (D.1.1 - STAVEBNÍ ČÁST)</t>
  </si>
  <si>
    <t>D.1.4.9</t>
  </si>
  <si>
    <t>F</t>
  </si>
  <si>
    <t>OBLOŽENÍ STĚN</t>
  </si>
  <si>
    <t>D.1.4.7</t>
  </si>
  <si>
    <t>OSVĚTLENÍ</t>
  </si>
  <si>
    <t>D.1.4.6</t>
  </si>
  <si>
    <t>PROSTOROVÁ AKUSTIKA</t>
  </si>
  <si>
    <t>D.1.4.5</t>
  </si>
  <si>
    <t>PROJEKT SANACE VLHKÉHO ZDIVA</t>
  </si>
  <si>
    <t>D.1.4.4</t>
  </si>
  <si>
    <t>SLABOPROUDÉ INSTALACE</t>
  </si>
  <si>
    <t>D.1.4.3</t>
  </si>
  <si>
    <t>SILNOPROUDÉ INSTALACE</t>
  </si>
  <si>
    <t>D.1.4.2</t>
  </si>
  <si>
    <t>ZAŘÍZENÍ PRO VYTÁPĚNÍ / CHLAZENÍ STAVEB</t>
  </si>
  <si>
    <t>D.1.4.1</t>
  </si>
  <si>
    <t>ZDRAVOTNĚTECHNICKÉ INSTALACE</t>
  </si>
  <si>
    <t>Stavební rozpočet - Jen objekty celkem</t>
  </si>
  <si>
    <t>hod</t>
  </si>
  <si>
    <t>Stavební přípomoce</t>
  </si>
  <si>
    <t>Jádrový vrt DN160 – délky do 2m</t>
  </si>
  <si>
    <t>Jádrový vrt DN160 – délky do 0,5m</t>
  </si>
  <si>
    <t>Jádrový vrt DN125 – délky do 1,25m</t>
  </si>
  <si>
    <t>Izolace potrubí tl.10mm, D125</t>
  </si>
  <si>
    <t>Potrubí VZT DN 125</t>
  </si>
  <si>
    <t>Čidlo teploty</t>
  </si>
  <si>
    <t>V3 – Ventilátor radiální potrubní 80m3/hod při 100Pa ovládání na teplotní čidlo</t>
  </si>
  <si>
    <t>Revizní dvířka do sádrokartonu 200X200mm</t>
  </si>
  <si>
    <t>V2 – Ventilátor axiální nástěnný – 80m3/hod s vývodem přes stěnu, včetně výfukové mřížky</t>
  </si>
  <si>
    <t>V1 – Ventilátor radiální potrubní 80m3/hod při 200Pa – s časovým doběhem</t>
  </si>
  <si>
    <t>Nasávací/výfuková mřížka DN 125 kovová</t>
  </si>
  <si>
    <t>Vzduchotechnika</t>
  </si>
  <si>
    <t>Tlaková zkouška potrubí</t>
  </si>
  <si>
    <t>Jádrový vrt DN50 cihelnou stěnou délky 1,25m</t>
  </si>
  <si>
    <t>Jádrový vrt  DN150 cihelnou stěnou délky 0,25m</t>
  </si>
  <si>
    <t>Jádrový vrt  DN70 cihelnou stěnou délky 1,25m</t>
  </si>
  <si>
    <t xml:space="preserve">Zapravení otvoru 300x300mm po vysekání otvoru </t>
  </si>
  <si>
    <t>Stavební přípomoce, obnažení stávajících stoupacích potrubí kanalizace / vody. Ruční sekání otvoru 300x300 hl. 250Mm</t>
  </si>
  <si>
    <t>Sifon kondenzační s kuličkou</t>
  </si>
  <si>
    <t>Napojení na stávající rozvody kanalizace ve stěně, vsazení odbočky DN110</t>
  </si>
  <si>
    <t>Potrubí kanalizace HT DN 32</t>
  </si>
  <si>
    <t>Potrubí kanalizace HT DN 40</t>
  </si>
  <si>
    <t>Potrubí kanalizace HT DN 70</t>
  </si>
  <si>
    <t>Potrubí kanalizace HT DN 110</t>
  </si>
  <si>
    <t xml:space="preserve">Uzavírací ventil KK ½“ </t>
  </si>
  <si>
    <t>Tepelná izolace návleková d20, tl. 9Mm</t>
  </si>
  <si>
    <t>Potrubí voda Ppr D20 dodávka + motnáž</t>
  </si>
  <si>
    <t>Napojení na stávající rozvody vody ve stěně, vysazení odbočky 25/20</t>
  </si>
  <si>
    <t>Montáž dřezu, včetně baterie</t>
  </si>
  <si>
    <t>Dřez nerezový samostatný pro zavěšení na stěnu 900x600mm</t>
  </si>
  <si>
    <t>Umyvadlo standard, včetně baterie pákové, el. Hřívač</t>
  </si>
  <si>
    <t>Montáž umyvadla, včetně baterie</t>
  </si>
  <si>
    <t>Zásobníkový el. Ohřívač pod umyvadlo 5l, včetně baterie</t>
  </si>
  <si>
    <t>Umyvadlo keramické 400mm, včetně sifonu</t>
  </si>
  <si>
    <t>Montáž WC, včetně předstěnového systému</t>
  </si>
  <si>
    <t>Prkénko standard s antibakteriální úpravou</t>
  </si>
  <si>
    <t>Ovládací tlačítko</t>
  </si>
  <si>
    <t>Závěsný předstěnový systém pro montáž do sádrokartonu</t>
  </si>
  <si>
    <t>WC závěsné keramické, zadní vodorovný odpad</t>
  </si>
  <si>
    <t>Zdravotně technická zařízení</t>
  </si>
  <si>
    <t xml:space="preserve">Práce a dodávky PSV   </t>
  </si>
  <si>
    <t>PSV</t>
  </si>
  <si>
    <t>Použitá cenová soustava</t>
  </si>
  <si>
    <t>Hmotnost celkem</t>
  </si>
  <si>
    <t>Cena celkem</t>
  </si>
  <si>
    <t>Cena jednotková</t>
  </si>
  <si>
    <t>Množství celkem</t>
  </si>
  <si>
    <t>Popis</t>
  </si>
  <si>
    <t>Kód položky</t>
  </si>
  <si>
    <t>Č.</t>
  </si>
  <si>
    <t xml:space="preserve">Datum: </t>
  </si>
  <si>
    <t xml:space="preserve">Místo:   </t>
  </si>
  <si>
    <t xml:space="preserve">Zpracoval:   </t>
  </si>
  <si>
    <t>Ing. Sommer Michal</t>
  </si>
  <si>
    <t xml:space="preserve">Zhotovitel:   </t>
  </si>
  <si>
    <t xml:space="preserve">Objednatel:   </t>
  </si>
  <si>
    <t xml:space="preserve">Stavba:  </t>
  </si>
  <si>
    <t>Rozpočet nákladů rekonstrukce rodného bytu Bedřicha Smetany</t>
  </si>
  <si>
    <t>kg</t>
  </si>
  <si>
    <t>Kotvící technika pro potrubí</t>
  </si>
  <si>
    <t xml:space="preserve">Svedení kondenzátu od jednotky </t>
  </si>
  <si>
    <t>soub</t>
  </si>
  <si>
    <t>Dodávka + montáž konzole pro zavěšení chladící jednotky</t>
  </si>
  <si>
    <t>Zprovoznění a uvedení do provozu</t>
  </si>
  <si>
    <t>Dodávka + montáž – propojovací potrubí s chladivem</t>
  </si>
  <si>
    <t>Splitová chladící jednotka – vnitřní parapetní výkon 5kW , Venkovní nástěnná – osazená na obvodové stěně. Dodávka + montáž, Ovládání dálkově z recepce (dálkový ovladač)</t>
  </si>
  <si>
    <t>Chlazení</t>
  </si>
  <si>
    <t>Topná zkouška systému</t>
  </si>
  <si>
    <t>Stavební přípomoce – vrtání otvor DN40, délky do 1,2m</t>
  </si>
  <si>
    <r>
      <rPr>
        <sz val="8"/>
        <rFont val="MS Sans Serif"/>
        <family val="2"/>
      </rPr>
      <t>Dodávka + montáž f</t>
    </r>
    <r>
      <rPr>
        <sz val="8"/>
        <rFont val="MS Sans Serif"/>
        <family val="2"/>
      </rPr>
      <t>iltr ¾“</t>
    </r>
  </si>
  <si>
    <t xml:space="preserve">Dodávka + montáž uzavírací ventil KK ¾“ </t>
  </si>
  <si>
    <t>Nátěr potrubí 2x základní + Antracit</t>
  </si>
  <si>
    <t xml:space="preserve">Nátěr potrubí 2x základní </t>
  </si>
  <si>
    <t>Izolace D27, tl.20mm</t>
  </si>
  <si>
    <t>Izolace D20, tl.20mm</t>
  </si>
  <si>
    <t>Potrubí ocelové DN20 – svařované</t>
  </si>
  <si>
    <t>Potrubí ocelové DN15 – svařované</t>
  </si>
  <si>
    <t>Prostorový termostat s možností nastavení časových programů</t>
  </si>
  <si>
    <t>Elektrokotel 24 kW, včetně montáže a uvedení do provozu</t>
  </si>
  <si>
    <t>Montáž litinových těles do 2,5m</t>
  </si>
  <si>
    <t>Montáž litinových těles do 1,5m</t>
  </si>
  <si>
    <t>Kotva do stěny – 11 ks – designová – barva antracit</t>
  </si>
  <si>
    <t>Termostatická hlavice Historický design - odstín: staroanglický cín,</t>
  </si>
  <si>
    <t>Litinové otopné těleso článkové 12 článků, výška 760mm, barva antracit, včetně nožiček</t>
  </si>
  <si>
    <t>Litinové otopné těleso článkové 7 článků, výška 760mm, barva antracit, včetně nožiček</t>
  </si>
  <si>
    <t>Litinové otopné těleso článkové 26 článků, výška 760mm, barva antracit, včetně nožiček</t>
  </si>
  <si>
    <t>Litinové otopné těleso článkové 10 článků, výška 760mm, barva antracit, včetně nožiček</t>
  </si>
  <si>
    <t>Vypuštění a zpětné napuštění stávajícího systému</t>
  </si>
  <si>
    <t>Vysekáni drážky 150x300mm, hl.100mm do stěny, včetně zapravení</t>
  </si>
  <si>
    <t>Napojení nového tělesa na stávající rozvody UT – koleno ocel DN15</t>
  </si>
  <si>
    <t>Montáž litinového tělesa délky 1,5m</t>
  </si>
  <si>
    <t xml:space="preserve">Zkrácení demontovaného tělesa na 1,5m </t>
  </si>
  <si>
    <t>Demontáž otopného tělesa litinového délky do 2,5m</t>
  </si>
  <si>
    <t>Vytápění</t>
  </si>
  <si>
    <t>Výchozí revizní zpráva elektroinstalace</t>
  </si>
  <si>
    <t>EL</t>
  </si>
  <si>
    <t>Projektová dokumentace skříně OSO, systému DALI</t>
  </si>
  <si>
    <t>Projektová dokumentace skutečného stavu elektroinstalace po relizaci k revizní zprávě</t>
  </si>
  <si>
    <t>CENA CELKEM</t>
  </si>
  <si>
    <t>J.CENA</t>
  </si>
  <si>
    <t>MNOŽSTVÍ</t>
  </si>
  <si>
    <t>PROJEKTOVÁ DOKUMENTACE K REVIZI A REVIZNÍ ZPRÁVA</t>
  </si>
  <si>
    <t>ČÍSLO</t>
  </si>
  <si>
    <t>KÓD</t>
  </si>
  <si>
    <t>sada</t>
  </si>
  <si>
    <t>drobný spotřební materiál (svorky, šroubky, hmoždinky, sádra…)</t>
  </si>
  <si>
    <t>krabice odbočná, kruhová, 68mm, do duté, cih.stěny IP20</t>
  </si>
  <si>
    <t xml:space="preserve">m </t>
  </si>
  <si>
    <t>kabel CYSY 2x2,5</t>
  </si>
  <si>
    <t>repro kabel 2x2,5mm2</t>
  </si>
  <si>
    <t>trubka ohebná 1425 pr.25mm PE, střední mech.odolnost, ochrana kabelů v podlaze</t>
  </si>
  <si>
    <t>MATERIÁLY KABELÁŽE A TRUBEK PRO AV TECHNIKU 1.NP</t>
  </si>
  <si>
    <t>kabel CYSY 2x2,5 PU</t>
  </si>
  <si>
    <t>repro kabel 2x2,5mm2 PU</t>
  </si>
  <si>
    <t>MONTÁŽE KABELÁŽE A TRUBEK PRO AV TECHNIKU 1.NP</t>
  </si>
  <si>
    <t>VC 21-M</t>
  </si>
  <si>
    <t>ochranná přípojnice POP 7-16</t>
  </si>
  <si>
    <t>RMS10</t>
  </si>
  <si>
    <t>pomocná sběrnice N 15</t>
  </si>
  <si>
    <t>zapojená svorka RS16</t>
  </si>
  <si>
    <t>zapojená svorka RS2,5</t>
  </si>
  <si>
    <t xml:space="preserve">stykač 230V/40A </t>
  </si>
  <si>
    <t xml:space="preserve">stykač 400V/63A </t>
  </si>
  <si>
    <t>soumrakový spínač 230V/10A s venkovním čidlem</t>
  </si>
  <si>
    <t>vypínač 32A/1 10kA</t>
  </si>
  <si>
    <t>jistič B50/3 10kA</t>
  </si>
  <si>
    <t>jistič B25/3 10kA</t>
  </si>
  <si>
    <t>jistič B16/1 10kA</t>
  </si>
  <si>
    <t>jistič B6/1 10kA</t>
  </si>
  <si>
    <t>jistič B10/1 10kA</t>
  </si>
  <si>
    <t>chránič 40-4-030AC/10kA</t>
  </si>
  <si>
    <t>přep.ochrana B+C/3 12,5kA</t>
  </si>
  <si>
    <t>hl.vypínač 63/3 10kA</t>
  </si>
  <si>
    <t>propojovací systém 63A/3L 10kA</t>
  </si>
  <si>
    <t>velkoobsahový nástěnný rozvaděč 245TE, IP30/IP20 vč.N,PE š.800xv.1260xhl.262mm</t>
  </si>
  <si>
    <t>MATERIÁLY RMS10</t>
  </si>
  <si>
    <t>POP ochranná přípojnice PAS 7-16</t>
  </si>
  <si>
    <t>propojení ovládacích obvodů</t>
  </si>
  <si>
    <t>MONTÁŽE RMS10</t>
  </si>
  <si>
    <t>VC 7-32</t>
  </si>
  <si>
    <t>svorka pružinová 5x2,5mm2 s páčkou</t>
  </si>
  <si>
    <t>svorka pružinová 3x2,5mm2 s páčkou</t>
  </si>
  <si>
    <t>krabice přístrojová, kruhová 68mm, do duté, cih.stěny IP20</t>
  </si>
  <si>
    <t xml:space="preserve">kabel CYKY 19Jx1,5 </t>
  </si>
  <si>
    <t>kabel CYKY 5Jx10</t>
  </si>
  <si>
    <t>kabel CYKY 3Jx2,5</t>
  </si>
  <si>
    <t xml:space="preserve">kabel CYKY 5Jx1,5 </t>
  </si>
  <si>
    <t xml:space="preserve">kabel CYKY 3Ox1,5 </t>
  </si>
  <si>
    <t>kabel CYKY 3Jx1,5</t>
  </si>
  <si>
    <t>kompletní systém DALI v RMS10, propojení se svítidly, AV technikou</t>
  </si>
  <si>
    <t>ovládací skříň OSO pro obvody 4.1,6.1,7.1,8.1,9.1,10.1 silové a DALI spínání</t>
  </si>
  <si>
    <t>čas.spínač SMR-T pro VE u RACKu</t>
  </si>
  <si>
    <t>zásuvka 10/16A/250V 2P+Z komplet s přep.ochranou v podlahové krabici SZ, AV</t>
  </si>
  <si>
    <t>zásuvka 10/16A/250V 2P+Z komplet v podlahové krabici SZ, AV</t>
  </si>
  <si>
    <t>zásuvka poloz. 10/16A/250V 2P+Z IP20 komplet PO silové zás. SZ, AV s vloženou přep.ochranou, bílá, plast</t>
  </si>
  <si>
    <t>zásuvka poloz. 10/16A/250V 2P+Z IP20 komplet PO silové zás. SZ, AV bílá, plast</t>
  </si>
  <si>
    <t>zásuvka poloz. 10/16A/250V 2P+Z IP20 komplet PO silové zás. SZ, AV s vloženou přep.ochranou porcelánová, retro</t>
  </si>
  <si>
    <t>zásuvka poloz. 10/16A/250V 2P+Z IP20 komplet PO silové zás. SZ, AV porcelánová, retro</t>
  </si>
  <si>
    <t>spínač řaz.6 IP20 komplet PO porcelánový, klička, retro</t>
  </si>
  <si>
    <t>spínač řaz.5 IP20 komplet PO bílý, plast</t>
  </si>
  <si>
    <t>spínač řaz.1 IP20 komplet PO bílý, plast</t>
  </si>
  <si>
    <t xml:space="preserve">spínač řaz.1 IP20 komplet PO porcelánový, klička, retro, niklové šrouby </t>
  </si>
  <si>
    <t>vodič CYA 16žl.zel.</t>
  </si>
  <si>
    <t xml:space="preserve">kabel CYKY 4Jx10 </t>
  </si>
  <si>
    <t>MATERIÁLY ELEKTROINSTALACE 1.NP</t>
  </si>
  <si>
    <t>(zednické za pravení je v rozpočtu stavby)</t>
  </si>
  <si>
    <t>vyřezání spáry ve zdi cihla/tvár.do hl.30mm š.do 70mm, složitá práce, max.ochrana původní omítky</t>
  </si>
  <si>
    <t>vyřezání spáry ve zdi cihla/tvár.do hl.30mm š.do 30mm, složitá práce, max.ochrana původní omítky</t>
  </si>
  <si>
    <t>vyřezání otvoru pro krabice 68mm</t>
  </si>
  <si>
    <t>vyvrtání otvoru do R=60mm tl.do 600mm v cih.zdi</t>
  </si>
  <si>
    <t>STAVEBNÍ PRÁCE ELEKTROINSTALACE 1.NP</t>
  </si>
  <si>
    <t>VC C801-3</t>
  </si>
  <si>
    <t>ukonč.kab.smršt.zákl.do 19x4 mm2</t>
  </si>
  <si>
    <t>ukonč.kab.smršt.zákl.do 5x10 mm2</t>
  </si>
  <si>
    <t>ukonč.kab.smršt.zákl.do 5x4 mm2</t>
  </si>
  <si>
    <t>svorka pružinová 5x2,5mm2</t>
  </si>
  <si>
    <t>svorka pružinová 3x2,5mm2</t>
  </si>
  <si>
    <t>kabel CYKY 19Jx1,5 PU</t>
  </si>
  <si>
    <t>kabel CYKY 5Jx10 PU</t>
  </si>
  <si>
    <t>kabel CYKY 3Jx2,5 PU</t>
  </si>
  <si>
    <t>kabel CYKY 5Jx1,5 PU</t>
  </si>
  <si>
    <t>kabel CYKY 3Ox1,5 PU</t>
  </si>
  <si>
    <t>kabel CYKY 3Jx1,5 PU</t>
  </si>
  <si>
    <t>montáž kompletního systému DALI v RMS10, propojení se svítidly, AV technikou</t>
  </si>
  <si>
    <t>D-doplňkové svítidlo 230V IP20 (materiál v rozpočtu architekta)</t>
  </si>
  <si>
    <t>C-doplňkové svítidlo 230V IP20 (materiál v rozpočtu architekta)</t>
  </si>
  <si>
    <t>B-hlavní svítidlo 230V IP20 (materiál v rozpočtu architekta)</t>
  </si>
  <si>
    <t>A-venk.svítidlo 230V ovládané soumrakovým spínačem IP44 (materiál v rozpočtu architekta)</t>
  </si>
  <si>
    <t>montáž podlahová krabice pro silové zásuvky SZ, AV (materiál je v rozpočtu stavby)</t>
  </si>
  <si>
    <t>zásuvka poloz. 10/16A/250V 2P+Z IP20 komplet PO silové zás. SZ, AV s vloženou přep.ochranou</t>
  </si>
  <si>
    <t xml:space="preserve">zásuvka poloz. 10/16A/250V 2P+Z IP20 komplet PO silové zás. SZ, AV </t>
  </si>
  <si>
    <t xml:space="preserve">spínač řaz.6 IP20 komplet PO </t>
  </si>
  <si>
    <t>spínač řaz.5 IP20 komplet PO</t>
  </si>
  <si>
    <t xml:space="preserve">spínač řaz.1 IP20 komplet PO </t>
  </si>
  <si>
    <t>vodič CYA 16žl.zel. PU</t>
  </si>
  <si>
    <t>kabel CYKY 4Jx10 PU</t>
  </si>
  <si>
    <t>úprava RE, osazení jističe 63A/3/B na místo jističe 25A/3/B</t>
  </si>
  <si>
    <t xml:space="preserve">demontáž stávajících el.zařízení, odvoz, rozebrání, likvidace </t>
  </si>
  <si>
    <t>MONTÁŽE ELEKTROINSTALACE 1.NP</t>
  </si>
  <si>
    <t>Rozpočet je orientační v cenách platných k 5/2023. Neobsahuje přístupový systém, prvky AV techniky, podlahové krabice ani napájení 230V pro datové rozvaděče.</t>
  </si>
  <si>
    <t>CELKEM BEZ DPH</t>
  </si>
  <si>
    <t>kpl.</t>
  </si>
  <si>
    <t>Rozpočtová rezerva</t>
  </si>
  <si>
    <t>Režie - doprava</t>
  </si>
  <si>
    <t>Základní změření kabelových tras</t>
  </si>
  <si>
    <t>Dokumentace skutečného provedení</t>
  </si>
  <si>
    <t>Průraz, průvrt zdivem beton, cihla</t>
  </si>
  <si>
    <t>Drobný spotřební materiál</t>
  </si>
  <si>
    <t>Sekání (řezání)drážky pro trubku 80-150mm</t>
  </si>
  <si>
    <t>Sekání drážky pro trubku do 30-90mm</t>
  </si>
  <si>
    <t>Sekání KAPSY PRO KRABICI</t>
  </si>
  <si>
    <t>Krabice odbočná, protahovací KO 125</t>
  </si>
  <si>
    <t>Krabice instalační KO68</t>
  </si>
  <si>
    <t>Trubka instalační 29-32mm ohebná pod omítku</t>
  </si>
  <si>
    <t>Trubka instalační 23mm ohebná pod omítku</t>
  </si>
  <si>
    <t>Trubka instalační 19mm ohebná pod omítku</t>
  </si>
  <si>
    <t>Přístupový systém pouze příprava kabelizací, rozpočet případně nacení dodavatel přístupového systému EVVA</t>
  </si>
  <si>
    <t>samostatně jištěný přívod 230V do datového rozvaděče ( 3x) včetně uzemnění NACENÍ A DODÁ PROFESE ELEKTRO</t>
  </si>
  <si>
    <t>Podlahová krabice zapuštěná prázdná     NACENÍ A DODÁ PROFESE ELEKTRO</t>
  </si>
  <si>
    <t>Lišta vkládací 20/20 pro přívod datového propojení k muzeu</t>
  </si>
  <si>
    <t>UPS pro PC síť muzea 1200 W / 2.2 kVA. Line-interaktivní</t>
  </si>
  <si>
    <t>Ubiquiti UniFi Switch 16 (150W) PoE</t>
  </si>
  <si>
    <t xml:space="preserve"> WiFi Access Point </t>
  </si>
  <si>
    <t>Montáž kabeláže do patchpanelu 24p</t>
  </si>
  <si>
    <t>Patch panel  24 portů Cat 6 UTP černý 1U</t>
  </si>
  <si>
    <t xml:space="preserve">Rozvodný panel do 19" 8x230V s PO </t>
  </si>
  <si>
    <t>Instalační kabel reproduktorový Dvojlinka nestíněná 2x2,5mm průhledná</t>
  </si>
  <si>
    <t xml:space="preserve">Instalační kabel Solarix CAT6 UTP </t>
  </si>
  <si>
    <t xml:space="preserve">
Krabice/box na omítku pro zásuvky SX9-x-y-z-WH</t>
  </si>
  <si>
    <t>Datová zásuvka dvojitá modular. 1xRJ45 Cat 6 UTP</t>
  </si>
  <si>
    <t>Datová zásuvka dvojitá modular. 2xRJ45 Cat 6 UTP</t>
  </si>
  <si>
    <t>Instalační krabice  FONTINI GARBY</t>
  </si>
  <si>
    <t>Rámeček  FONTINI GARBY černá jednoduchý</t>
  </si>
  <si>
    <t>Datová zásuvka FONTINI GARBY černá dvojitá  2xRJ45 Cat 6 UTP</t>
  </si>
  <si>
    <t>Patchcord UTP Cat.6    1m</t>
  </si>
  <si>
    <t xml:space="preserve">Vyvazovací panel do 19" rozvaděče </t>
  </si>
  <si>
    <t>Montážní sada do rozvaděče</t>
  </si>
  <si>
    <t xml:space="preserve">Police do 19" rozv. h=450mm </t>
  </si>
  <si>
    <t>Rozvaděč stojanový, 42U, 600x600 RAL 7035, skleněné dveře</t>
  </si>
  <si>
    <t>Datové rozvody</t>
  </si>
  <si>
    <t>Montáž a zprovoznění systému, režie</t>
  </si>
  <si>
    <t xml:space="preserve">
UPS, 230V, AVR, French Sockets</t>
  </si>
  <si>
    <t>APC Back-UPS 750VA</t>
  </si>
  <si>
    <t xml:space="preserve">pokladní systém včetně skladu                              </t>
  </si>
  <si>
    <t xml:space="preserve">SW FINTA vstupenky       </t>
  </si>
  <si>
    <t>termo-transférová tiskárna</t>
  </si>
  <si>
    <t>TSC ME-240 588/USB2</t>
  </si>
  <si>
    <t xml:space="preserve">
 operační systém pro terminál</t>
  </si>
  <si>
    <t xml:space="preserve">SW Windows 10 </t>
  </si>
  <si>
    <t xml:space="preserve">pokladní zásuvka na peníze                        </t>
  </si>
  <si>
    <t xml:space="preserve">PARTNER 5E415              </t>
  </si>
  <si>
    <t>termotískárna účtenek</t>
  </si>
  <si>
    <t xml:space="preserve">PARTNER RP-330 L         </t>
  </si>
  <si>
    <t>dotykový LCD terminál 15“ All In One</t>
  </si>
  <si>
    <t xml:space="preserve">PARTNER SP-635 BZ       </t>
  </si>
  <si>
    <t>VSTUPENKOVÝ SYSTÉM - kompatibilní se stávajícím systémem RML</t>
  </si>
  <si>
    <t>Režijní a vedlejší výdaje</t>
  </si>
  <si>
    <t>Aktualizace projektu skutečného provedení</t>
  </si>
  <si>
    <t>Demontáž a dočasné vyřazení části systému EZS ze střežení</t>
  </si>
  <si>
    <t>Legislativa, zkušební provoz, funkční zkoušky</t>
  </si>
  <si>
    <t>Kabelizace, spotřební materiál</t>
  </si>
  <si>
    <t>Magnetický kontakt závrtný</t>
  </si>
  <si>
    <t xml:space="preserve">
Kombinovaný PIR + MW detektor pohybu, dosah 15m, včetně držáku</t>
  </si>
  <si>
    <t xml:space="preserve">
 LCD klávesnice s vestavěnou čtečkou EM karet </t>
  </si>
  <si>
    <t>Akumulátor zálohovací 18Ah</t>
  </si>
  <si>
    <t>Siréna vnitřní nezálohovaná</t>
  </si>
  <si>
    <r>
      <t>Modul posilovacího zdroje 2,75A</t>
    </r>
    <r>
      <rPr>
        <sz val="8"/>
        <rFont val="Arial"/>
        <family val="2"/>
      </rPr>
      <t xml:space="preserve"> v krytu s vestavěným koncentrátorem kompatibilní se stávajícím systémem</t>
    </r>
  </si>
  <si>
    <r>
      <t xml:space="preserve">Koncentrátor v plastovém krytu pro 8 zón se 4 PGM výstupy </t>
    </r>
    <r>
      <rPr>
        <sz val="8"/>
        <rFont val="Arial CE"/>
        <family val="2"/>
      </rPr>
      <t>kompatibilní se stávajícím systémem</t>
    </r>
  </si>
  <si>
    <t>EZS - zabezpečovací signalizace</t>
  </si>
  <si>
    <t>Demontáž a dočasné vyřazení části systému EPS ze střežení</t>
  </si>
  <si>
    <t>Programování systému EPS</t>
  </si>
  <si>
    <t>Sekání drážky pro trubku do 30mm</t>
  </si>
  <si>
    <t>Hnědý stíněný kabel 2x2x0,8 PH120-R B2ca s1d1a1</t>
  </si>
  <si>
    <t>EN54-3 požární siréna bílá, 32 tónů, 2 úrovně hlasitosti, povrchová/zápustná montáž</t>
  </si>
  <si>
    <t>Hlásič tlačítkový adresný a konvenční kompatibilní se stávajícím systémem</t>
  </si>
  <si>
    <t>Zásuvka pro adresovatelné a interaktivní hlásiče</t>
  </si>
  <si>
    <t>Hlásič kouře ionizační interaktivní adresný  kompatibilní se stávajícím systémem do prostoru RACKU</t>
  </si>
  <si>
    <t>Hlásič multisenzorový interaktivní kompatibilní se stávajícím systémem</t>
  </si>
  <si>
    <t>EPS - požární signalizace</t>
  </si>
  <si>
    <t>Základní zprovoznění kamerového systému, zaškolení obsluhy</t>
  </si>
  <si>
    <t>Spotřební materiál pro kamerový systém, propojovací kabely,( kabelizace pro kamery je součástí datových rozvodů)</t>
  </si>
  <si>
    <t>UPS pro kamerový systém 1200 W / 2.2 kVA. Line-interaktivní</t>
  </si>
  <si>
    <t>Monitor 27" HDMI VESA, umístění na stůl</t>
  </si>
  <si>
    <t>USB Extender, USB 2.0, pro použití s Cat5 / 5e / 6 (UTP, STP nebo SFT) kabelu až 50 mprodloužení dosahu myši kamerového systému</t>
  </si>
  <si>
    <t>Převodník HDMI na UTP kabel Cat5e nebo Cat6; délka přenosu po UTP kabelu do 60m; HDCP1.2, podpora 3D, včetně IR</t>
  </si>
  <si>
    <r>
      <t xml:space="preserve">IP kamera </t>
    </r>
    <r>
      <rPr>
        <sz val="10"/>
        <color rgb="FFFF0000"/>
        <rFont val="Arial"/>
        <family val="2"/>
      </rPr>
      <t>Provedení: Cube kamery</t>
    </r>
    <r>
      <rPr>
        <sz val="11"/>
        <color theme="1"/>
        <rFont val="Calibri"/>
        <family val="2"/>
        <scheme val="minor"/>
      </rPr>
      <t xml:space="preserve">; Počet megapixelů: </t>
    </r>
    <r>
      <rPr>
        <sz val="10"/>
        <color rgb="FFFF0000"/>
        <rFont val="Arial"/>
        <family val="2"/>
      </rPr>
      <t>4 megapixely;</t>
    </r>
    <r>
      <rPr>
        <sz val="11"/>
        <color theme="1"/>
        <rFont val="Calibri"/>
        <family val="2"/>
        <scheme val="minor"/>
      </rPr>
      <t xml:space="preserve"> Vnitřní / Venkovní: Vnitřní provedení; Délka přísvitu max.: 10 metrů; Typ objektivu: monofokální; WDR: 120dB reálné; Citlivost: standardní</t>
    </r>
  </si>
  <si>
    <t>4T HDD pevný disk pro kamerové systémy</t>
  </si>
  <si>
    <t xml:space="preserve">
Záznamové zařízení
Počet kamer IP: do 8 kamer; Max. rozlišení záznamu: 12 Megapixel; Počet HDD slotů: 2x; Video výstup: HDMI / VGA; Alarmy In / Out: 4 / 1; Audio In / Out: 1 / 1; Datová propustnost (In / Out): 80 / 256 Mbps</t>
  </si>
  <si>
    <t>Kamerový systém</t>
  </si>
  <si>
    <t>8.</t>
  </si>
  <si>
    <t>7.</t>
  </si>
  <si>
    <t>6.</t>
  </si>
  <si>
    <t>5.</t>
  </si>
  <si>
    <t>4.</t>
  </si>
  <si>
    <t>3.</t>
  </si>
  <si>
    <t>2.</t>
  </si>
  <si>
    <t>Dodávky</t>
  </si>
  <si>
    <t>Měr. jed.</t>
  </si>
  <si>
    <r>
      <t>ZAŘÍZENÍ SLABOPROUDÉ ELEKTROTECHNIKY -</t>
    </r>
    <r>
      <rPr>
        <b/>
        <sz val="11"/>
        <color indexed="10"/>
        <rFont val="Arial"/>
        <family val="2"/>
      </rPr>
      <t xml:space="preserve"> </t>
    </r>
    <r>
      <rPr>
        <b/>
        <sz val="11"/>
        <color rgb="FFFF0000"/>
        <rFont val="Arial"/>
        <family val="2"/>
      </rPr>
      <t>STRUKTUROVANÁ KABELÁŽ, AP WiFi, příprava pro AV techniku, EZS, EPS, KAMERY</t>
    </r>
  </si>
  <si>
    <t>ROZPOČET V CENÁCH PLATNÝCH PRO 5/2023</t>
  </si>
  <si>
    <t>Rekonstrukce rodného bytu B.Smetany, Zámecký pivovar Litomyšl</t>
  </si>
  <si>
    <t>AKCE:</t>
  </si>
  <si>
    <t xml:space="preserve"> POLOŽKOVÝ ROZPOČET </t>
  </si>
  <si>
    <t>END</t>
  </si>
  <si>
    <t>DPH</t>
  </si>
  <si>
    <t>POL99_2</t>
  </si>
  <si>
    <t>VRN</t>
  </si>
  <si>
    <t>Indiv</t>
  </si>
  <si>
    <t>Vlastní</t>
  </si>
  <si>
    <t>%</t>
  </si>
  <si>
    <t>Přesun kapacit vč. souvisejících režijních nákladů</t>
  </si>
  <si>
    <t>R 101.12</t>
  </si>
  <si>
    <t>POP</t>
  </si>
  <si>
    <t>Náklady na vyhotovení dokumentace skutečného provedení stavby a její předání objednateli v požadované formě a požadovaném počtu.</t>
  </si>
  <si>
    <t>POL99_8</t>
  </si>
  <si>
    <t>RTS 23/ I</t>
  </si>
  <si>
    <t xml:space="preserve">Dokumentace skutečného provedení </t>
  </si>
  <si>
    <t>005241010R</t>
  </si>
  <si>
    <t>Veškeré náklady spojené s vybudováním, provozem a odstraněním zařízení staveniště.</t>
  </si>
  <si>
    <t>kompl</t>
  </si>
  <si>
    <t>005121 R</t>
  </si>
  <si>
    <t>Náklady spojené s vypracováním projektové dokumentace, většinou v obsahu a rozsahu projektové dokumentace pro provádění stavby, ale mohou zde být obsaženy i náklady na jiné stupně projektové dokumentace, pokud jsou součástí požadavků objednatele.</t>
  </si>
  <si>
    <t xml:space="preserve">Vypracování projektové dodavatelské dokumentace </t>
  </si>
  <si>
    <t>004111020R</t>
  </si>
  <si>
    <t>DIL</t>
  </si>
  <si>
    <t>ON</t>
  </si>
  <si>
    <t>Díl:</t>
  </si>
  <si>
    <t>VV</t>
  </si>
  <si>
    <t>odsolovací omítky : 31,24*0,02*1,8</t>
  </si>
  <si>
    <t>stávající omítky : 31,24*0,04*1,8</t>
  </si>
  <si>
    <t>POL1_</t>
  </si>
  <si>
    <t>Práce</t>
  </si>
  <si>
    <t>Poplatek za skládku suti - směs betonu,cihel,omítek</t>
  </si>
  <si>
    <t>979990107R00</t>
  </si>
  <si>
    <t>odsolovací omítky : 31,24*0,02*1,8*4</t>
  </si>
  <si>
    <t>stávající omítky : 31,24*0,04*1,8*4</t>
  </si>
  <si>
    <t>odsolovací omítky : 31,24*0,02*1,8*9</t>
  </si>
  <si>
    <t>stávající omítky : 31,24*0,04*1,8*9</t>
  </si>
  <si>
    <t>skládka do 15 km</t>
  </si>
  <si>
    <t>Příplatek k odvozu za každý další 1 km</t>
  </si>
  <si>
    <t>979081121R00</t>
  </si>
  <si>
    <t>Odvoz suti a vybour. hmot na skládku do 1 km</t>
  </si>
  <si>
    <t>979081111R00</t>
  </si>
  <si>
    <t>Přesuny suti a vybouraných hmot</t>
  </si>
  <si>
    <t>D96</t>
  </si>
  <si>
    <t>Cena za 1 pozici ve 3 výškových úrovních, součástí zhotovení je provedení zaměření výchozí vlhkosti se záznamem v protokolu.</t>
  </si>
  <si>
    <t>Kontrolní bod pevné sítě měřičských bodů pro sledování vývoje a změn vlhkosti zdiva, při odvlhčování , systémem mírné (drátové) elektroosmózy</t>
  </si>
  <si>
    <t>R - EL. 1006</t>
  </si>
  <si>
    <t>6,3</t>
  </si>
  <si>
    <t>vč. dodávky systémových vodičů a těsněných spojů</t>
  </si>
  <si>
    <t xml:space="preserve">D+M mírné drátové elektroosmózy - propojovací vedení systému </t>
  </si>
  <si>
    <t>R - EL. 1004</t>
  </si>
  <si>
    <t>Zemní elektroda (katoda -pól) - tyčové elektrody na bázi grafitu v délce 450-650mm  průměru min 20mm, osová rozteč do 4,5m ( není li projektem stanoveno jinak ), provozované napětí 1,4V. Položka zahrnuje, instalaci katody do vývrtu a její zalití kontaktním lakem na bázi grafitu, vč. dodávky laku. Vývrt ( hl.1,0m/1ks ) není součástí položky a je oceněn v oddíle prorážení otvorů.</t>
  </si>
  <si>
    <t>D+M mírné drátové elektroosmózy - provedení  záporné tyčové elektrody ( KATODY )</t>
  </si>
  <si>
    <t>R - EL. 1003</t>
  </si>
  <si>
    <t>7,5+4,6+9,8</t>
  </si>
  <si>
    <t>Síťová elektroda (anoda + pól) -  pás ze skelných vláken potažených vodivým plastem vysoký 25-30cm, kontaktní vodič titan stříbro (3:4). Instalace na zdivo zbavené stávajících omítek vč. spárování, po předchozím podrovnáním maltou vápenné báze ( standard Knauf MV 1 ), krytí kontaktní maltou s vodivou příměsí.</t>
  </si>
  <si>
    <t>D+M mírné drátové elektroosmózy - provedení  kladné pásové elektrody ( ANODY )</t>
  </si>
  <si>
    <t>R - EL. 1002a</t>
  </si>
  <si>
    <t>Dodávka, montáž a uvedení do provozu řídící jednotky systému mírné drátové elektroosmózy. Výstupní hodnoty ŘJ -  napětí max. 6V s účinnou efektivní hodnotou 2,8V, záznam údajů (průtok proudu v mA, počítadlo provozních hodin), napojení na síťový rozvod 230V/50Hz ( zřízení přívodního kabelu napájení není součástí dodávky )</t>
  </si>
  <si>
    <t>D+M mírné drátové elektroosmózy - řídící jednotka systému elektroosmózy</t>
  </si>
  <si>
    <t>R - EL. 1001</t>
  </si>
  <si>
    <t>Snížení vnitřní relativní vlhkosti vzduchu kondenzačními vysoušeči - vlhkost zdiva a vlhkost technologická</t>
  </si>
  <si>
    <t xml:space="preserve">den   </t>
  </si>
  <si>
    <t>Provoz kondenzačního vysoušeče vč. manipulace</t>
  </si>
  <si>
    <t>R - 2102</t>
  </si>
  <si>
    <t>Včetně souvisejících nákladů a úkonů</t>
  </si>
  <si>
    <t xml:space="preserve">m2    </t>
  </si>
  <si>
    <t>Mikrovlnné vysoušení, alt. vysoušení sálavými panely</t>
  </si>
  <si>
    <t>R - 2101</t>
  </si>
  <si>
    <t>Standardní provedení je hloubka 1,0m pro instalaci 1ks katody, hlubší vývrty viz. výkaz výměr</t>
  </si>
  <si>
    <t>Vrtání jádrové do zdiva cihelného d 35-39 mm , pro katody systému elektroosmózy ( 1ks / 1,0bm )</t>
  </si>
  <si>
    <t>970031035R00</t>
  </si>
  <si>
    <t>Elektromontáže</t>
  </si>
  <si>
    <t>M21</t>
  </si>
  <si>
    <t>dořešení sanačních detailů : 18</t>
  </si>
  <si>
    <t>neměřitelné práce : 18</t>
  </si>
  <si>
    <t>zakrývání otvorů : 36</t>
  </si>
  <si>
    <t>Pomocné práce - práce nezahrnuté v položkách</t>
  </si>
  <si>
    <t>h</t>
  </si>
  <si>
    <t>HZS - pomocné práce při sanacích stavební dělník v tarifní třídě 4</t>
  </si>
  <si>
    <t>900      R01</t>
  </si>
  <si>
    <t>Ostatní</t>
  </si>
  <si>
    <t>799</t>
  </si>
  <si>
    <t>9,8*2</t>
  </si>
  <si>
    <t>4,6*0,9</t>
  </si>
  <si>
    <t>7,5*1</t>
  </si>
  <si>
    <t>Otlučení omítek vnitřních vápenných - odsolovacích</t>
  </si>
  <si>
    <t>978011191R00</t>
  </si>
  <si>
    <t>- shrabání a smetení otlučené suti.</t>
  </si>
  <si>
    <t>- odstranění zbytků malty z líce zdiva ocelovým kartáčem,</t>
  </si>
  <si>
    <t>- otlučení staré malty ze zdiva a vyčištění spár,</t>
  </si>
  <si>
    <t>Včetně:</t>
  </si>
  <si>
    <t>Otlučení nebo odsekání omítek stěn</t>
  </si>
  <si>
    <t>289902111R00</t>
  </si>
  <si>
    <t>Příplatek za ruční dočištění ocelovými kartáči</t>
  </si>
  <si>
    <t>216904391R00</t>
  </si>
  <si>
    <t>- Zednícké zapravení</t>
  </si>
  <si>
    <t>- Dodávka a usazení nerez skříně</t>
  </si>
  <si>
    <t>- Vysekání a zednická úprava niky</t>
  </si>
  <si>
    <t>Obsaženo :</t>
  </si>
  <si>
    <t>Dodávka a osazení podomítkové nerez skříně pro umístění řídící jednotku elektroosmózy</t>
  </si>
  <si>
    <t>95394.R001</t>
  </si>
  <si>
    <t>Dokončovací konstrukce na pozemních stavbách</t>
  </si>
  <si>
    <t>Snížení salinity zdiva propařováním</t>
  </si>
  <si>
    <t>San. odsol.2</t>
  </si>
  <si>
    <t>Omítka odsolovací nanášená ručně, jednovrstvá tl. 20-30mm, zatřená, hubená vápenná omítka v poměru 1:3:8 (vápno: nastavený přírod. Materiál:písek), zpětné očištění zdiva, včetně zvlhčování</t>
  </si>
  <si>
    <t>Odsolení zdiva vápennou omítkovou úpravou</t>
  </si>
  <si>
    <t>R - 61243</t>
  </si>
  <si>
    <t>Odkaz na mn. položky pořadí 1 : 31,24000</t>
  </si>
  <si>
    <t>druhá vrstva</t>
  </si>
  <si>
    <t>Nástřik protisolným roztokem</t>
  </si>
  <si>
    <t>610411129R00</t>
  </si>
  <si>
    <t>první vrstva</t>
  </si>
  <si>
    <t>Štuk vnější i vnitřní štuk trass, ručně, tl.3 mm</t>
  </si>
  <si>
    <t>602015173R00</t>
  </si>
  <si>
    <t>Omítka stěn jádrová trass ručně tloušťka vrstvy 30 mm</t>
  </si>
  <si>
    <t>602015122RT7</t>
  </si>
  <si>
    <t>Příplatek k omítce trass ručně, tl. 1,0 cm</t>
  </si>
  <si>
    <t>602015122R00</t>
  </si>
  <si>
    <t>Podhoz stěn vápenný trass ručně</t>
  </si>
  <si>
    <t>602015103R00</t>
  </si>
  <si>
    <t>Postřik stěn vápenný trass ručně</t>
  </si>
  <si>
    <t>601015103R00</t>
  </si>
  <si>
    <t>Úpravy povrchu, podlahy</t>
  </si>
  <si>
    <t>Typ položky</t>
  </si>
  <si>
    <t>Dodavatel</t>
  </si>
  <si>
    <t>Nhod celk.</t>
  </si>
  <si>
    <t>Nhod / MJ</t>
  </si>
  <si>
    <t>Cenová úroveň</t>
  </si>
  <si>
    <t>Cen. soustava / platnost</t>
  </si>
  <si>
    <t>Ceník</t>
  </si>
  <si>
    <t>Dem. hmotnost celk.(t)</t>
  </si>
  <si>
    <t>Dem. hmotnost / MJ</t>
  </si>
  <si>
    <t>Hmotnost celk.(t)</t>
  </si>
  <si>
    <t>Hmotnost / MJ</t>
  </si>
  <si>
    <t>Cena s DPH</t>
  </si>
  <si>
    <t>Montáž celk.</t>
  </si>
  <si>
    <t>Dodávka celk.</t>
  </si>
  <si>
    <t>Cena / MJ</t>
  </si>
  <si>
    <t>Název položky</t>
  </si>
  <si>
    <t>Číslo položky</t>
  </si>
  <si>
    <t>P.č.</t>
  </si>
  <si>
    <t>ROZ</t>
  </si>
  <si>
    <t>Sanace vlhkého zdiva</t>
  </si>
  <si>
    <t>R:</t>
  </si>
  <si>
    <t>OBJ</t>
  </si>
  <si>
    <t>STA</t>
  </si>
  <si>
    <t>Litomyšl</t>
  </si>
  <si>
    <t>O:</t>
  </si>
  <si>
    <t>Rodný byt Bedřicha Smetany</t>
  </si>
  <si>
    <t>24706</t>
  </si>
  <si>
    <t>S:</t>
  </si>
  <si>
    <t>#TypZaznamu#</t>
  </si>
  <si>
    <t xml:space="preserve">Položkový rozpočet </t>
  </si>
  <si>
    <t>celková cena bez DPH</t>
  </si>
  <si>
    <t xml:space="preserve">jedná se o závěrečné měření doby dozvuku místnosti dle normy ČSN EN ISO 3382-1; součástí měření je také vyhodnocení a protokolární zpracování výsledků </t>
  </si>
  <si>
    <t xml:space="preserve">měření doby dozvuku - závěrečné </t>
  </si>
  <si>
    <t>MDD-Z</t>
  </si>
  <si>
    <t xml:space="preserve">jedná se o etapové měření doby dozvuku místnosti dle normy ČSN EN ISO 3382-1; součástí měření je také vyhodnocení a zpracování výsledků s příslušnými závěry v komplexní vazbě na akustiku prostoru jako celku </t>
  </si>
  <si>
    <t xml:space="preserve">měření doby dozvuku - etapové </t>
  </si>
  <si>
    <r>
      <t xml:space="preserve">jedná se o měření činitele zvukové pohltivosti v dozvukové místnosti; měřeny budou následující vzorky: čalouněný akustický obklad - širokopásmový </t>
    </r>
    <r>
      <rPr>
        <b/>
        <sz val="11"/>
        <rFont val="Calibri"/>
        <family val="2"/>
        <scheme val="minor"/>
      </rPr>
      <t>C</t>
    </r>
    <r>
      <rPr>
        <b/>
        <sz val="11"/>
        <rFont val="Calibri"/>
        <family val="2"/>
      </rPr>
      <t xml:space="preserve">AO-S </t>
    </r>
    <r>
      <rPr>
        <sz val="11"/>
        <rFont val="Calibri"/>
        <family val="2"/>
      </rPr>
      <t xml:space="preserve">a to ve dvou funkčních konfiguracích a dále obklad </t>
    </r>
    <r>
      <rPr>
        <b/>
        <sz val="11"/>
        <rFont val="Calibri"/>
        <family val="2"/>
      </rPr>
      <t>CAO-V</t>
    </r>
    <r>
      <rPr>
        <sz val="11"/>
        <rFont val="Calibri"/>
        <family val="2"/>
      </rPr>
      <t>; součástí měření je také vyhodnocení a protokolární zpracování výsledků s příslušnými závěry v komplexní vazně na akustiku prostoru; v ceně nejsou obsaženy  náklady na výrobu, dopravu a manipulaci vzorků</t>
    </r>
  </si>
  <si>
    <t xml:space="preserve">měření činitele zvukové pohltivosti v dozvukové místnosti </t>
  </si>
  <si>
    <t>M-DM</t>
  </si>
  <si>
    <t xml:space="preserve">jedná se jak o vzorky určené pro vzorování estetického provedení akustických obkladů, tak o vzorky pro měření v dozvukové mítnosti </t>
  </si>
  <si>
    <t xml:space="preserve">vzorky </t>
  </si>
  <si>
    <t>VZ</t>
  </si>
  <si>
    <t>dílenská dokumentace prvků prostorové akustiky</t>
  </si>
  <si>
    <t xml:space="preserve">dílenská dokumentace </t>
  </si>
  <si>
    <t>DD</t>
  </si>
  <si>
    <t>doprava a přesun hmot</t>
  </si>
  <si>
    <t>PH</t>
  </si>
  <si>
    <t xml:space="preserve">Akustická měření a projekční činnost </t>
  </si>
  <si>
    <t>jedná se o čalouněný akustický obklad, jehož lícovou plochu tvoří speciální průzvučná akustická vícevrstvá textilie  s pohledovou vrstvou ze zlatého hedvábí dle výběru autorského a akustického dozoru; je uvažováno s přečalouněním celé stěny v jednom kuse, kdy je textilii nutno sešívat s ohledem na navazující design tkaní; textilie bude mít minimum spár, které budou pouze svislé a provedené skrytými švy; obklad pohledově přesně kopírovat tvary kleneb a výklenků apod. (viz výkresová dokumnetace); součástí položky je celoobvodová subtilní ohýbaná lišta z lakovaného dřevěného masivu (10x10 mm s rádiusem, u podlahy zvýšená na 30x10 mm, lak polyuretanový „klavírový“ vrstvený s vysokým leskem); celková skladebná tloušťka obkladu je uvažována cca 20-30 mm; přečalouněná dutina je uvažována prázdná; požadovaný činitel zvukové pohltivosti v oktávových pásmech je: 125 Hz α ÷ 0,05; 250 Hz α ÷ 0,10; 500 Hz α ÷ 0,20; 1 kHz α ÷ 0,25; 2 kHz α ÷ 0,30; 4 kHz α ÷ 0,35; provedení bez zvláštních požadavků PBŘ</t>
  </si>
  <si>
    <r>
      <t>m</t>
    </r>
    <r>
      <rPr>
        <vertAlign val="superscript"/>
        <sz val="11"/>
        <rFont val="Calibri"/>
        <family val="2"/>
      </rPr>
      <t>2</t>
    </r>
  </si>
  <si>
    <t>D+M - čalouněný akustický obklad - vykrývací</t>
  </si>
  <si>
    <t>CAO-V</t>
  </si>
  <si>
    <t>jedná se o čalouněný akustický obklad, jehož lícovou plochu tvoří speciální průzvučná akustická vícevrstvá textilie  s pohledovou vrstvou ze zlatého hedvábí dle výběru autorského a akustického dozoru; je uvažováno s přečalouněním celé stěny v jednom kuse, kdy je textilii nutno sešívat s ohledem na navazující design tkaní; textilie bude mít minimum spár, které budou pouze svislé a provedené skrytými švy; obklad pohledově přesně kopírovat tvary kleneb a výklenků apod. (viz výkresová dokumnetace); součástí položky je celoobvodová subtilní ohýbaná lišta z lakovaného dřevěného masivu (10x10 mm s rádiusem, u podlahy zvýšená na 30x10 mm, lak polyuretanový „klavírový“ vrstvený s vysokým leskem); celková skladebná tloušťka obkladu je uvažována cca 70 mm; přečalouněná dutina je celoplošně vyplněna kombinací kmitajícíh a perforovaných akust. panelů; provedení bez zvláštních požadavků PBŘ
Kmitající panely:
jedná se o akustický prvek s maximem zvukové pohltivosti na nízkých kmitočtech; lícová plocha prvku je tvořena tenkou deskou na bázi dřeva  tl. 4-6 mm; kmitající deska je po obvodu přilepena k podkladní konstrukci přes elastický akustický spoj tl. 2-3 mm;  vnitřní objem panelu bude zatlumený absorpční vložkou o tloušťce, objemové hmotnosti a s umístěním nutným pro dosažení požadovaných hodnot činitele zvukové pohltivosti; požadovaný činitel zvukové pohltivosti v oktávových pásmech je: 125 Hz α ÷ 0,50; 250 Hz α ÷ 0,20; 500 Hz α ÷ 0,15; 1 kHz α ÷ 0,15; 2 kHz α ÷ 0,17; 4 kHz α ÷ 0,25; nepohledové provedení
Perforované panely:
jedná se o akustický prvek s maximem zvukové pohltivosti na středních kmitočtech; lícová plocha prvku je tvořena přečalouněnou perforovanou deskou na bázi dřeva tl. 16 mm; uvažované procento perforace je cca 18%; vnitřní objem panelu bude zatlumený absorpční vložkou o tloušťce, objemové hmotnosti a s umístěním nutným pro dosažení požadovaných hodnot činitele zvukové pohltivosti; požadovaný činitel zvukové pohltivosti v oktávových pásmech je: 125 Hz α ÷ 0,35; 250 Hz α ÷ 0,80; 500 Hz α ÷ 0,90; 1 kHz α ÷ 0,70; 2 kHz α ÷ 0,60; 4 kHz α ÷ 0,50; nepohledové provedení</t>
  </si>
  <si>
    <t>D+M - čalouněný akustický obklad - širokopásmový</t>
  </si>
  <si>
    <t>CAO-S</t>
  </si>
  <si>
    <t>jedná se o nízkofrekvenční rezonátor z materiálu na bázi dřeva vsazený do dutiny v podlaze v okenní nice; prvek bude vyroben z materiálu na bázi dřeva tl. 18 mm; návrhová rezonanční frekvence je frez = 100 - 130 Hz; rezonanční štěrbina bude orientována směrem nahoru a bude na rubové straně přečalouněna akustickou textilií; šířka a hloubka štěrbiny dle požadovaných akustických parametrů; vnitřní objem nízkofrekvenčního rezonátoru bude zatlumený absorpční vložkou o tloušťce, objemové hmotnosti a s umístěním nutným pro dosažení požadovaných hodnot činitele zvukové pohltivosti; požadovaný činitel zvukové pohltivosti v oktávových pásmech je: 125 Hz α ÷ 0,55; 250 Hz α ÷ 0,30; 500 Hz α ÷ 0,25; 1 kHz α ÷ 0,22; 2 kHz α ÷ 0,20; 4 kHz α ÷ 0,15; rezonanční štěrbina bude dále překryta ochrannou mřížkou, která bude demontovatelná pro možnost pravidelného čištění (vysávání) rezonanční štěrbiny; plocha rezonátoru bude mimo vlastní plochy rezonanční štěrbiny překryta podlahovou krytinou (podlahová krytina není součástí ceny této položky); provedení bez zvláštních požadavků PBŘ</t>
  </si>
  <si>
    <t>D+M - nízkofrekvenční rezonátor - podlaha</t>
  </si>
  <si>
    <t>NFR-P</t>
  </si>
  <si>
    <r>
      <t>jedná se o nízkofrekvenční rezonátor z materiálu na bázi dřeva vsazený do volné niky na stěně B; prvek bude vyroben z materiálu na bázi dřeva tl. 18 mm; návrhová rezonanční frekvence je f</t>
    </r>
    <r>
      <rPr>
        <vertAlign val="subscript"/>
        <sz val="11"/>
        <rFont val="Calibri"/>
        <family val="2"/>
        <scheme val="minor"/>
      </rPr>
      <t>rez</t>
    </r>
    <r>
      <rPr>
        <sz val="11"/>
        <rFont val="Calibri"/>
        <family val="2"/>
        <scheme val="minor"/>
      </rPr>
      <t xml:space="preserve"> = 100 - 130 Hz; rezonanční štěrbina bude orientována směrem dopředu a bude na rubové straně přečalouněna akustickou textilií; šířka a hloubka štěrbiny dle požadovaných akustických parametrů; vnitřní objem nízkofrekvenčního rezonátoru bude zatlumený absorpční vložkou o tloušťce, objemové hmotnosti a s umístěním nutným pro dosažení požadovaných hodnot činitele zvukové pohltivosti; požadovaný činitel zvukové pohltivosti v oktávových pásmech je: 125 Hz α ÷ 0,55; 250 Hz α ÷ 0,30; 500 Hz α ÷ 0,25; 1 kHz α ÷ 0,22; 2 kHz α ÷ 0,20; 4 kHz α ÷ 0,15; provedení rezonátoru bude nepohledové, bude překryt CAO-S a bude tedy jeho skrytou součástí; provedení bez zvláštních požadavků PBŘ</t>
    </r>
  </si>
  <si>
    <t>D+M - nízkofrekvenční rezonátor - stěna</t>
  </si>
  <si>
    <t>NFR-S</t>
  </si>
  <si>
    <t>Akustické úpravy</t>
  </si>
  <si>
    <t>Technické specifikace, technické a uživatelské standardy stavby, podrobný popis položky</t>
  </si>
  <si>
    <t>Celková              cena v Kč</t>
  </si>
  <si>
    <t>Jednotková cena v Kč</t>
  </si>
  <si>
    <t>Měrná jednotka</t>
  </si>
  <si>
    <t>Počet měr. jednotek</t>
  </si>
  <si>
    <t>kód položky</t>
  </si>
  <si>
    <t>Čís. položky</t>
  </si>
  <si>
    <t>Prostorová akustika</t>
  </si>
  <si>
    <t>Profese:</t>
  </si>
  <si>
    <t>oceněný výkaz výměr</t>
  </si>
  <si>
    <t>Dokument:</t>
  </si>
  <si>
    <t>Rodný byt Bedřicha Smetany - zlatý pokoj</t>
  </si>
  <si>
    <t>Název akce:</t>
  </si>
  <si>
    <t>1 měsíc od vystavení, pro uvedené počty kusů</t>
  </si>
  <si>
    <t>:</t>
  </si>
  <si>
    <t>Platnost</t>
  </si>
  <si>
    <t>2023-06-08</t>
  </si>
  <si>
    <t>V Brně dne</t>
  </si>
  <si>
    <t>Ing. arch. Miloš Zimula</t>
  </si>
  <si>
    <t>Vypracoval</t>
  </si>
  <si>
    <t>Ceny svítidel a dílů jsou uvedeny bez DPH. V cenové nabídce jsou zahrnuty recyklační příspěvky  za svítidla a světelné zdroje podle platné novely Zákona o odpadech č. 542/2020 Sb. Uvedené ceny nezahrnují dopravu na stavbu, montáž a montážní materiál.                                                                                                                                                                                                                                                                   Dodací lhůta cca 6-8 týdnů nebo dle dohody.                                                                                                                                                                                                                                                     Na svítidla je poskytována záruka 24 měsíců nebo dle dohody.
Na výměnné světelné zdroje je poskytována záruka 6 měsíců.</t>
  </si>
  <si>
    <t>Pozn.:</t>
  </si>
  <si>
    <t xml:space="preserve">CENA CELKEM BEZ DPH </t>
  </si>
  <si>
    <t>- recyklační příspěvek</t>
  </si>
  <si>
    <t>- LED zdroj, E27, 13W, 2700 K, 1521 lm</t>
  </si>
  <si>
    <t>Ø 125 mm, 1x E27, 60W max</t>
  </si>
  <si>
    <t xml:space="preserve">Svítidlo přisazené, korpus bílá keramika, difuzer sklo opál, </t>
  </si>
  <si>
    <t>C5.2</t>
  </si>
  <si>
    <t>C5.1</t>
  </si>
  <si>
    <t>lištu</t>
  </si>
  <si>
    <t>LED 14W/m, 3000 K, 2070 lm/m, 24V, transformátor umístěn mimo</t>
  </si>
  <si>
    <t xml:space="preserve">eloxovaný, difuzer opál, š. 22 mm, v=12 mm, délka 1200 mm, </t>
  </si>
  <si>
    <t>spodní desky horní kuchyňské linky, Al profil, vestavný, černě</t>
  </si>
  <si>
    <t>Osvětlovací lišta, pro osvětlení pracovní plochy, umístěna v nutě</t>
  </si>
  <si>
    <t>C3.2</t>
  </si>
  <si>
    <t>C3.1</t>
  </si>
  <si>
    <t>celková výška 1650 mm, LED 2x6,5W, 2x339 lm</t>
  </si>
  <si>
    <t xml:space="preserve">Svítidlo stojanové, Al korpus, černá barva, základna Ø 300 mm, </t>
  </si>
  <si>
    <t>E17.2</t>
  </si>
  <si>
    <t>celková výška 480 mm, LED 6,5W, 339 lm</t>
  </si>
  <si>
    <t xml:space="preserve">Svítidlo stolní, Al korpus, černá barva, základna Ø 104 mm, </t>
  </si>
  <si>
    <t>E17.1</t>
  </si>
  <si>
    <t>do zásuvky, přívodní kabel - černě opletený, design dle historického svícnu</t>
  </si>
  <si>
    <t>Svítidlo stolní, čiré sklo, v=250 mm, sv. zdroj LED, transformátor</t>
  </si>
  <si>
    <t>E16.1</t>
  </si>
  <si>
    <t>- driver, společný pro 6 ks svítidel</t>
  </si>
  <si>
    <t>350 mA, úhel vyzařování 40°, driver uložen mimo svítidla</t>
  </si>
  <si>
    <t xml:space="preserve">pro postavení svítidla na povrch, LED 1W, 3000 K, 100 lm, </t>
  </si>
  <si>
    <t>velikost svítidla Ø 18 mm, l=36 mm, směrovatelné, vč. podstavy</t>
  </si>
  <si>
    <t xml:space="preserve">skříni, Al korpus, černá barva, stavitelná výška (300 mm max), </t>
  </si>
  <si>
    <t>- Svítidlo drobné stojanové, pro osvětlení exponátu v historické</t>
  </si>
  <si>
    <t>350 mA, úhel vyzařování 25°, driver uložen mimo svítidla</t>
  </si>
  <si>
    <t>E15.1</t>
  </si>
  <si>
    <t>vč. integrovaného stmívače</t>
  </si>
  <si>
    <t xml:space="preserve">3000 K, 2070 lm/m, 24V, driver DALI umístěn mimo lišty, </t>
  </si>
  <si>
    <t xml:space="preserve">Al profil, difuzer opál, celková délka 4x1200 mm, LED 14W/m, </t>
  </si>
  <si>
    <t xml:space="preserve">Osvětlovací lišty - 4 ks, instalovány v šikmých nutách polic vitriny, </t>
  </si>
  <si>
    <t>D14.1</t>
  </si>
  <si>
    <t xml:space="preserve">Al profil, difuzer opál, celková délka 4x2000 mm, LED 14W/m, </t>
  </si>
  <si>
    <t>D13.1</t>
  </si>
  <si>
    <t>driver DALI, umístěn mimo lišty</t>
  </si>
  <si>
    <t xml:space="preserve">700 mm (9 ks), 1100 mm (2 ks), LED COB 4W/m, 3000 K, 24V, </t>
  </si>
  <si>
    <t xml:space="preserve">200 mm (2 ks), 350 mm, (2 ks), 500 mm (4 ks), 550 mm (2 ks), </t>
  </si>
  <si>
    <t xml:space="preserve">neodymových magnetů, Al profil, difuzer opál, délky 150 mm (2 ks), </t>
  </si>
  <si>
    <t>jsou vestaveny v nutě dřevěného obkladu stěny, uchyceny pomocí</t>
  </si>
  <si>
    <t>Sada osvětlovacích lišt, pro osvětlení obrazů a fotografií, lišty</t>
  </si>
  <si>
    <t>D12.1</t>
  </si>
  <si>
    <t>drivery DALI (2 ks) umístěny mimo lištu</t>
  </si>
  <si>
    <r>
      <t>LED 14W/m (</t>
    </r>
    <r>
      <rPr>
        <sz val="9"/>
        <rFont val="Arial"/>
        <family val="2"/>
      </rPr>
      <t>Ʃ</t>
    </r>
    <r>
      <rPr>
        <sz val="9"/>
        <rFont val="Roboto"/>
        <family val="2"/>
      </rPr>
      <t xml:space="preserve"> 335 W), 3000 K, 2070 lm/m (</t>
    </r>
    <r>
      <rPr>
        <sz val="9"/>
        <rFont val="Arial"/>
        <family val="2"/>
      </rPr>
      <t>Ʃ</t>
    </r>
    <r>
      <rPr>
        <sz val="9"/>
        <rFont val="Roboto"/>
        <family val="2"/>
      </rPr>
      <t xml:space="preserve"> 49500 lm), 24V, </t>
    </r>
  </si>
  <si>
    <t xml:space="preserve">atypický instalační šikmý profil, difuzer čiré bezpečnostní sklo, </t>
  </si>
  <si>
    <t xml:space="preserve">spodní části stěny, tvar obdélník, velikost cca 5450x6500 mm, </t>
  </si>
  <si>
    <t>Osvětlovací lišta, vestavná v konstrukci podlahy, nepřímé osvětlení</t>
  </si>
  <si>
    <t>D11.1</t>
  </si>
  <si>
    <t>šikmá, 1x G9, 40W max (včetně)</t>
  </si>
  <si>
    <t xml:space="preserve">Ø 100 mm, přívodní kabel černě opletený, stropní rozeta mosaz, </t>
  </si>
  <si>
    <t xml:space="preserve">Svítilo stropní závěsné, korpus přírodní mosaz, stínidlo koule opál, </t>
  </si>
  <si>
    <t>B8.1</t>
  </si>
  <si>
    <t>rovná, 1x G9, 40W max (včetně)</t>
  </si>
  <si>
    <t>B5.3</t>
  </si>
  <si>
    <t>v=37 mm, LED 6W, 3000 K, 480 lm, IP65</t>
  </si>
  <si>
    <t>B7.1</t>
  </si>
  <si>
    <t xml:space="preserve">Svítidlo přisazené stropní, Al korpus, bílá barva, Ø 107 mm, </t>
  </si>
  <si>
    <t>B6.1.,</t>
  </si>
  <si>
    <t>3000 K, 11000 lm, 24V, transformátor DALI umístěn mimo svítidlo</t>
  </si>
  <si>
    <t xml:space="preserve">Ø 70 mm, v=25 mm, povrchová úprava - stará mosaz, LED 77W, </t>
  </si>
  <si>
    <t>3x lankový závěs, přívodní kabel s čirou izolací, svorkovací rozeta</t>
  </si>
  <si>
    <t xml:space="preserve">stará mosaz, difuzer opál, Ø 1200 mm, svícení ven z kruhu,  </t>
  </si>
  <si>
    <t xml:space="preserve">Svítidlo stropní závěsné, tvar prsten, korpus Al, povrchová úprava - </t>
  </si>
  <si>
    <t>3000 K, 5300 lm, 24V, transformátor DALI umístěn mimo svítidlo</t>
  </si>
  <si>
    <t xml:space="preserve">Ø 70 mm, v=25 mm, povrchová úprava - stará mosaz, LED 37W, </t>
  </si>
  <si>
    <t xml:space="preserve">stará mosaz, difuzer opál, Ø 600 mm, svícení dovnitř kruhu, </t>
  </si>
  <si>
    <t>B4.1</t>
  </si>
  <si>
    <t>- sv. zdroj LED 13W, E27, 2700 K, 1521 lm</t>
  </si>
  <si>
    <t>krystalové sklo opál, Ø 360 mm, v=600-1600 mm, 1x E27, 100W max</t>
  </si>
  <si>
    <t xml:space="preserve">Svítidlo stropní závěsné, korpus chrom, stínidlo - benátské </t>
  </si>
  <si>
    <t>B2.1</t>
  </si>
  <si>
    <t>2700 K, 199 lm, IP66</t>
  </si>
  <si>
    <t xml:space="preserve">vyložení ze stěny 190 mm, svícení zpět na základnu, LED 2,1W, </t>
  </si>
  <si>
    <t xml:space="preserve">Svítidlo nástěnné, venkovní, korpus bílá barva, Ø 60 mm, </t>
  </si>
  <si>
    <t>A1.1</t>
  </si>
  <si>
    <t>Celkem bez DPH</t>
  </si>
  <si>
    <t>Cena/ks</t>
  </si>
  <si>
    <t xml:space="preserve">Jedn. </t>
  </si>
  <si>
    <t>Popis produktu</t>
  </si>
  <si>
    <t>Pol.</t>
  </si>
  <si>
    <t>Ateh spol. s r.o., Trtílkova 22, 612 00 Brno, ateh@ateh.eu</t>
  </si>
  <si>
    <t>ing. arch. Petr Všetečka</t>
  </si>
  <si>
    <t>Projektant</t>
  </si>
  <si>
    <t>Investor</t>
  </si>
  <si>
    <t>Místo</t>
  </si>
  <si>
    <t>osvětlení rodného bytu Bedřicha Smetany - 2. varianta</t>
  </si>
  <si>
    <t>Název akce</t>
  </si>
  <si>
    <t>67/2023</t>
  </si>
  <si>
    <t>Číslo</t>
  </si>
  <si>
    <t>SPECIFIKACE SVÍTIDEL A PŘÍSLUŠENSTVÍ</t>
  </si>
  <si>
    <t>Součástí je nosný vyrovnávací rošt z latí tl. 30 mm na podložkách, kotvený do zdi. Tapeta bude mít minimum spár, ty budou pouze svislé, provedené skrytými švy. Bude pohledově přesně kopírovat tvary kleneb, výklenků apod. (viz výkres). Součástí bude celoobvodová subtilní ohýbaná lišta z lakovaného dřevěného masivu (10x10 mm s rádiusem, u podlahy zvýšená na 30x10 mm, lak polyuretanový „klavírový“ vrstvený s vysokým leskem). 
Celková plocha: 53,6m2 + 62,8m2 = 116,4m2</t>
  </si>
  <si>
    <t>m²</t>
  </si>
  <si>
    <t xml:space="preserve">Textilní tapeta vícevrstvá – replika historické tapety z pohledovou vrstvou z modrého hedvábí. </t>
  </si>
  <si>
    <t>Obklad bude proveden z celoplošné laťovky tl 19mm celoplošně dýhované světlou ušlechtilou dýhou z dřeviny dle výběru AD (cenový standard: třešňová dýha). Spáry á 1m, a ve druhém směru á 2m, přesný spárořez bude upřesněn ve výrobní dokumentaci autorským dozorem (předpoklad vyšší prořez). Součástí je nosný vyrovnávací rošt z latí tl. 30mm na podložkách, kotvený do zdi. Všechny hrany, nároží apod. jsou tvořené nákližky z masivu stejného materiálu jako dýha. Celoplošně lakováno šelakovou politurou. Součástí stěn bude celkem 25-30 ks výklenků různých formátů (orientačně viz výkres) pro umístění grafik, tvořených stejným materiálem jako stěna, vč. povrchové úpravy. Výklenky budou mít zapuštěnou horní skrytou prohlubeň pro LED osvětlení (viz samostatná položka projektu osvětlení) a budou zaskleny ručním čirým sklem v tloušťce min.3mm pomocí zapuštěných ostrohranných lišt z masivu, ze stejného materiálu jako stěna vč. povrchové úpravy (sklo i lišty jsou součástí obložení stěny). Součástí stěny je podlahová lišta z totožného masivu, profilu 30x10 mm, s lakem polyuretanovým „klavírovým“ vrstveným, s vysokým leskem). 
Celková plocha: (7 x 4,4 x 2) + (0,7 x 5 x 2) = 68,6m2</t>
  </si>
  <si>
    <t xml:space="preserve">Dřevěný obklad stěny mezi místnostmi 106 a 107, oboustranný vč. obložení 2 průchodů mezi místnostmi. </t>
  </si>
  <si>
    <t>Ing. Petr Všetečka</t>
  </si>
  <si>
    <t>Stavba:  OBLOŽENÍ STĚN</t>
  </si>
  <si>
    <t>Datum, razítko a podpis</t>
  </si>
  <si>
    <t>Zhotovitel</t>
  </si>
  <si>
    <t>Objednatel</t>
  </si>
  <si>
    <t>Celkem včetně DPH</t>
  </si>
  <si>
    <t>DPH 21%</t>
  </si>
  <si>
    <t>Základ 21%</t>
  </si>
  <si>
    <t>DPH 15%</t>
  </si>
  <si>
    <t>Základ 15%</t>
  </si>
  <si>
    <t>Základ 0%</t>
  </si>
  <si>
    <t>Rozpočtové náklady v Kč</t>
  </si>
  <si>
    <t>Datum:</t>
  </si>
  <si>
    <t>Položek:</t>
  </si>
  <si>
    <t>IČO/DIČ:</t>
  </si>
  <si>
    <t>Krycí list rozpočtu</t>
  </si>
  <si>
    <t>PŘEDÁVACÍ PROTOKOL, POUČENÍ O OBSLUZE EL.ZAŘÍZENÍ</t>
  </si>
  <si>
    <t>DOPRAVA NA STAVBU</t>
  </si>
  <si>
    <t>REKAPITULACE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</si>
</sst>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000"/>
    <numFmt numFmtId="165" formatCode="#,##0.00\ _K_č;\-#,##0.00\ _K_č"/>
    <numFmt numFmtId="166" formatCode="#,##0\ _K_č;\-#,##0\ _K_č"/>
    <numFmt numFmtId="167" formatCode="dd/mm/yyyy"/>
    <numFmt numFmtId="168" formatCode="#,##0\ &quot;Kč&quot;"/>
    <numFmt numFmtId="169" formatCode="#,##0.00000"/>
    <numFmt numFmtId="170" formatCode="#,##0.\-"/>
    <numFmt numFmtId="171" formatCode="#,##0.00\ &quot;Kč&quot;"/>
    <numFmt numFmtId="172" formatCode="000\ 00"/>
    <numFmt numFmtId="174" formatCode="_(&quot;Kč&quot;* #,##0.00_);_(&quot;Kč&quot;* \(#,##0.00\);_(&quot;Kč&quot;* &quot;-&quot;??_);_(@_)"/>
  </numFmts>
  <fonts count="80">
    <font>
      <sz val="11"/>
      <color theme="1"/>
      <name val="Calibri"/>
      <family val="2"/>
      <scheme val="minor"/>
    </font>
    <font>
      <sz val="10"/>
      <name val="Arial"/>
      <family val="2"/>
    </font>
    <font>
      <sz val="8"/>
      <name val="Arial"/>
      <family val="2"/>
    </font>
    <font>
      <sz val="11"/>
      <name val="Calibri"/>
      <family val="2"/>
    </font>
    <font>
      <sz val="8"/>
      <name val="Calibri"/>
      <family val="2"/>
    </font>
    <font>
      <i/>
      <sz val="8"/>
      <name val="Calibri"/>
      <family val="2"/>
    </font>
    <font>
      <b/>
      <sz val="10"/>
      <name val="Calibri"/>
      <family val="2"/>
    </font>
    <font>
      <i/>
      <sz val="10"/>
      <color indexed="12"/>
      <name val="Calibri"/>
      <family val="2"/>
    </font>
    <font>
      <i/>
      <sz val="10"/>
      <name val="Calibri"/>
      <family val="2"/>
    </font>
    <font>
      <sz val="10"/>
      <name val="Calibri"/>
      <family val="2"/>
    </font>
    <font>
      <i/>
      <sz val="10"/>
      <color indexed="16"/>
      <name val="Calibri"/>
      <family val="2"/>
    </font>
    <font>
      <sz val="18"/>
      <name val="Calibri"/>
      <family val="2"/>
    </font>
    <font>
      <sz val="10"/>
      <color rgb="FF000000"/>
      <name val="Arial"/>
      <family val="2"/>
    </font>
    <font>
      <sz val="8"/>
      <name val="MS Sans Serif"/>
      <family val="2"/>
    </font>
    <font>
      <sz val="8"/>
      <name val="Arial CE"/>
      <family val="2"/>
    </font>
    <font>
      <b/>
      <sz val="10"/>
      <color rgb="FF000080"/>
      <name val="Arial CE"/>
      <family val="2"/>
    </font>
    <font>
      <b/>
      <sz val="11"/>
      <color rgb="FF000080"/>
      <name val="Arial CE"/>
      <family val="2"/>
    </font>
    <font>
      <sz val="7"/>
      <name val="Arial CE"/>
      <family val="2"/>
    </font>
    <font>
      <sz val="8"/>
      <name val="Arial CYR"/>
      <family val="2"/>
    </font>
    <font>
      <sz val="9"/>
      <name val="Arial CE"/>
      <family val="2"/>
    </font>
    <font>
      <b/>
      <sz val="8"/>
      <name val="Arial CE"/>
      <family val="2"/>
    </font>
    <font>
      <b/>
      <sz val="9"/>
      <name val="Arial CE"/>
      <family val="2"/>
    </font>
    <font>
      <b/>
      <sz val="14"/>
      <name val="Arial CE"/>
      <family val="2"/>
    </font>
    <font>
      <sz val="10"/>
      <color rgb="FF000000"/>
      <name val="Calibri"/>
      <family val="2"/>
    </font>
    <font>
      <b/>
      <sz val="8"/>
      <color indexed="8"/>
      <name val="Arial"/>
      <family val="2"/>
    </font>
    <font>
      <sz val="8"/>
      <color indexed="8"/>
      <name val="Arial"/>
      <family val="2"/>
    </font>
    <font>
      <b/>
      <sz val="8"/>
      <name val="Arial"/>
      <family val="2"/>
    </font>
    <font>
      <sz val="11"/>
      <color indexed="8"/>
      <name val="Calibri"/>
      <family val="2"/>
    </font>
    <font>
      <sz val="14"/>
      <color indexed="8"/>
      <name val="Calibri"/>
      <family val="2"/>
    </font>
    <font>
      <b/>
      <sz val="14"/>
      <name val="Arial"/>
      <family val="2"/>
    </font>
    <font>
      <b/>
      <sz val="12"/>
      <color rgb="FFFF0000"/>
      <name val="Arial"/>
      <family val="2"/>
    </font>
    <font>
      <b/>
      <sz val="14"/>
      <color rgb="FFFF0000"/>
      <name val="Arial"/>
      <family val="2"/>
    </font>
    <font>
      <b/>
      <sz val="10"/>
      <name val="Arial"/>
      <family val="2"/>
    </font>
    <font>
      <sz val="10"/>
      <color indexed="8"/>
      <name val="Arial"/>
      <family val="2"/>
    </font>
    <font>
      <sz val="10"/>
      <name val="Arial CE"/>
      <family val="2"/>
    </font>
    <font>
      <sz val="10"/>
      <color rgb="FFFF0000"/>
      <name val="Arial"/>
      <family val="2"/>
    </font>
    <font>
      <sz val="14"/>
      <name val="Arial"/>
      <family val="2"/>
    </font>
    <font>
      <sz val="11"/>
      <name val="Arial"/>
      <family val="2"/>
    </font>
    <font>
      <b/>
      <sz val="11"/>
      <name val="Arial"/>
      <family val="2"/>
    </font>
    <font>
      <b/>
      <sz val="11"/>
      <color indexed="10"/>
      <name val="Arial"/>
      <family val="2"/>
    </font>
    <font>
      <b/>
      <sz val="11"/>
      <color rgb="FFFF0000"/>
      <name val="Arial"/>
      <family val="2"/>
    </font>
    <font>
      <sz val="18"/>
      <name val="Arial"/>
      <family val="2"/>
    </font>
    <font>
      <sz val="9"/>
      <name val="Arial"/>
      <family val="2"/>
    </font>
    <font>
      <b/>
      <sz val="11"/>
      <name val="Arial CE"/>
      <family val="2"/>
    </font>
    <font>
      <b/>
      <sz val="20"/>
      <color indexed="8"/>
      <name val="Arial Black"/>
      <family val="2"/>
    </font>
    <font>
      <b/>
      <sz val="16"/>
      <color rgb="FF002060"/>
      <name val="Arial Black"/>
      <family val="2"/>
    </font>
    <font>
      <sz val="8"/>
      <color indexed="9"/>
      <name val="Arial CE"/>
      <family val="2"/>
    </font>
    <font>
      <sz val="8"/>
      <color indexed="17"/>
      <name val="Arial CE"/>
      <family val="2"/>
    </font>
    <font>
      <b/>
      <sz val="10"/>
      <name val="Arial CE"/>
      <family val="2"/>
    </font>
    <font>
      <sz val="8"/>
      <color indexed="12"/>
      <name val="Arial CE"/>
      <family val="2"/>
    </font>
    <font>
      <b/>
      <sz val="12"/>
      <name val="Arial CE"/>
      <family val="2"/>
    </font>
    <font>
      <sz val="9"/>
      <name val="Tahoma"/>
      <family val="2"/>
    </font>
    <font>
      <sz val="12"/>
      <name val="Times New Roman CE"/>
      <family val="1"/>
    </font>
    <font>
      <i/>
      <sz val="16"/>
      <color rgb="FFFF0000"/>
      <name val="Calibri"/>
      <family val="2"/>
    </font>
    <font>
      <b/>
      <i/>
      <sz val="16"/>
      <color rgb="FFFF0000"/>
      <name val="Calibri"/>
      <family val="2"/>
    </font>
    <font>
      <sz val="11"/>
      <name val="Calibri"/>
      <family val="2"/>
      <scheme val="minor"/>
    </font>
    <font>
      <sz val="12"/>
      <name val="Calibri"/>
      <family val="2"/>
      <scheme val="minor"/>
    </font>
    <font>
      <b/>
      <sz val="11"/>
      <name val="Calibri"/>
      <family val="2"/>
      <scheme val="minor"/>
    </font>
    <font>
      <sz val="12"/>
      <name val="Times New Roman"/>
      <family val="1"/>
    </font>
    <font>
      <b/>
      <sz val="11"/>
      <name val="Calibri"/>
      <family val="2"/>
    </font>
    <font>
      <vertAlign val="superscript"/>
      <sz val="11"/>
      <name val="Calibri"/>
      <family val="2"/>
    </font>
    <font>
      <vertAlign val="subscript"/>
      <sz val="11"/>
      <name val="Calibri"/>
      <family val="2"/>
      <scheme val="minor"/>
    </font>
    <font>
      <sz val="14"/>
      <name val="Calibri"/>
      <family val="2"/>
      <scheme val="minor"/>
    </font>
    <font>
      <b/>
      <sz val="14"/>
      <name val="Calibri"/>
      <family val="2"/>
      <scheme val="minor"/>
    </font>
    <font>
      <sz val="9"/>
      <name val="Roboto"/>
      <family val="2"/>
    </font>
    <font>
      <sz val="8"/>
      <color rgb="FF231F20"/>
      <name val="Roboto"/>
      <family val="2"/>
    </font>
    <font>
      <sz val="3"/>
      <name val="Roboto"/>
      <family val="2"/>
    </font>
    <font>
      <b/>
      <sz val="9"/>
      <name val="Roboto"/>
      <family val="2"/>
    </font>
    <font>
      <u val="single"/>
      <sz val="10"/>
      <color indexed="12"/>
      <name val="Arial CE"/>
      <family val="2"/>
    </font>
    <font>
      <sz val="8"/>
      <name val="Calibri"/>
      <family val="2"/>
      <scheme val="minor"/>
    </font>
    <font>
      <sz val="9"/>
      <name val="Calibri"/>
      <family val="2"/>
      <scheme val="minor"/>
    </font>
    <font>
      <b/>
      <sz val="10"/>
      <name val="Calibri"/>
      <family val="2"/>
      <scheme val="minor"/>
    </font>
    <font>
      <b/>
      <sz val="10"/>
      <color rgb="FF000080"/>
      <name val="Calibri"/>
      <family val="2"/>
      <scheme val="minor"/>
    </font>
    <font>
      <sz val="12"/>
      <name val="Calibri"/>
      <family val="2"/>
    </font>
    <font>
      <b/>
      <sz val="12"/>
      <name val="Calibri"/>
      <family val="2"/>
    </font>
    <font>
      <b/>
      <sz val="18"/>
      <name val="Calibri"/>
      <family val="2"/>
    </font>
    <font>
      <sz val="9"/>
      <color theme="1"/>
      <name val="Roboto"/>
      <family val="2"/>
    </font>
    <font>
      <b/>
      <sz val="8"/>
      <name val="Calibri"/>
      <family val="2"/>
    </font>
    <font>
      <b/>
      <sz val="9"/>
      <color theme="1"/>
      <name val="Roboto"/>
      <family val="2"/>
    </font>
    <font>
      <sz val="9"/>
      <color rgb="FF000000"/>
      <name val="Roboto"/>
      <family val="2"/>
    </font>
  </fonts>
  <fills count="17">
    <fill>
      <patternFill/>
    </fill>
    <fill>
      <patternFill patternType="gray125"/>
    </fill>
    <fill>
      <patternFill patternType="solid">
        <fgColor rgb="FFFFFFFF"/>
        <bgColor indexed="64"/>
      </patternFill>
    </fill>
    <fill>
      <patternFill patternType="solid">
        <fgColor rgb="FFD6E1EE"/>
        <bgColor indexed="64"/>
      </patternFill>
    </fill>
    <fill>
      <patternFill patternType="solid">
        <fgColor rgb="FFDBDBDB"/>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00B050"/>
        <bgColor indexed="64"/>
      </patternFill>
    </fill>
    <fill>
      <patternFill patternType="solid">
        <fgColor theme="9" tint="0.7999799847602844"/>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theme="5" tint="0.5999900102615356"/>
        <bgColor indexed="64"/>
      </patternFill>
    </fill>
    <fill>
      <patternFill patternType="solid">
        <fgColor theme="9" tint="0.39998000860214233"/>
        <bgColor indexed="64"/>
      </patternFill>
    </fill>
  </fills>
  <borders count="65">
    <border>
      <left/>
      <right/>
      <top/>
      <bottom/>
      <diagonal/>
    </border>
    <border>
      <left style="thin">
        <color indexed="8"/>
      </left>
      <right/>
      <top/>
      <bottom/>
    </border>
    <border>
      <left style="medium">
        <color indexed="8"/>
      </left>
      <right style="thin">
        <color indexed="8"/>
      </right>
      <top/>
      <bottom style="medium">
        <color indexed="8"/>
      </bottom>
    </border>
    <border>
      <left/>
      <right style="thin">
        <color indexed="8"/>
      </right>
      <top/>
      <bottom style="medium">
        <color indexed="8"/>
      </bottom>
    </border>
    <border>
      <left/>
      <right style="medium">
        <color indexed="8"/>
      </right>
      <top/>
      <bottom style="medium">
        <color indexed="8"/>
      </bottom>
    </border>
    <border>
      <left style="thin">
        <color indexed="8"/>
      </left>
      <right/>
      <top/>
      <bottom style="thin">
        <color indexed="8"/>
      </bottom>
    </border>
    <border>
      <left/>
      <right style="thin">
        <color indexed="8"/>
      </right>
      <top/>
      <bottom/>
    </border>
    <border>
      <left/>
      <right style="medium">
        <color indexed="8"/>
      </right>
      <top style="medium">
        <color indexed="8"/>
      </top>
      <bottom style="thin">
        <color indexed="8"/>
      </bottom>
    </border>
    <border>
      <left style="medium">
        <color indexed="8"/>
      </left>
      <right style="thin">
        <color indexed="8"/>
      </right>
      <top style="medium">
        <color indexed="8"/>
      </top>
      <bottom/>
    </border>
    <border>
      <left style="thin"/>
      <right style="thin"/>
      <top style="thin"/>
      <bottom style="thin"/>
    </border>
    <border>
      <left/>
      <right style="thin"/>
      <top style="thin"/>
      <bottom style="thin"/>
    </border>
    <border>
      <left style="thin"/>
      <right/>
      <top style="thin"/>
      <bottom style="thin"/>
    </border>
    <border>
      <left style="thin">
        <color indexed="23"/>
      </left>
      <right style="thin"/>
      <top style="thin"/>
      <bottom style="thin"/>
    </border>
    <border>
      <left style="thin">
        <color indexed="23"/>
      </left>
      <right style="thin">
        <color indexed="23"/>
      </right>
      <top style="thin"/>
      <bottom style="thin"/>
    </border>
    <border>
      <left style="thin"/>
      <right style="thin">
        <color indexed="23"/>
      </right>
      <top style="thin"/>
      <bottom style="thin"/>
    </border>
    <border>
      <left/>
      <right style="thin"/>
      <top style="thin"/>
      <bottom/>
    </border>
    <border>
      <left/>
      <right/>
      <top style="thin"/>
      <bottom/>
    </border>
    <border>
      <left style="thin"/>
      <right/>
      <top style="thin"/>
      <bottom/>
    </border>
    <border>
      <left/>
      <right/>
      <top style="thin"/>
      <bottom style="thin"/>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top/>
      <bottom/>
    </border>
    <border>
      <left style="thin"/>
      <right style="thin"/>
      <top style="thin"/>
      <bottom/>
    </border>
    <border>
      <left/>
      <right/>
      <top/>
      <bottom style="thin"/>
    </border>
    <border>
      <left/>
      <right style="thin">
        <color indexed="8"/>
      </right>
      <top/>
      <bottom style="thin"/>
    </border>
    <border>
      <left/>
      <right/>
      <top/>
      <bottom style="thin">
        <color indexed="8"/>
      </bottom>
    </border>
    <border>
      <left style="thin">
        <color indexed="8"/>
      </left>
      <right/>
      <top style="thin">
        <color indexed="8"/>
      </top>
      <bottom/>
    </border>
    <border>
      <left/>
      <right/>
      <top style="thin">
        <color indexed="8"/>
      </top>
      <bottom/>
    </border>
    <border>
      <left/>
      <right/>
      <top style="medium">
        <color indexed="8"/>
      </top>
      <bottom/>
    </border>
    <border>
      <left style="medium">
        <color indexed="8"/>
      </left>
      <right style="medium">
        <color indexed="8"/>
      </right>
      <top style="medium">
        <color indexed="8"/>
      </top>
      <bottom style="thin">
        <color indexed="8"/>
      </bottom>
    </border>
    <border>
      <left/>
      <right/>
      <top/>
      <bottom style="medium">
        <color indexed="8"/>
      </bottom>
    </border>
    <border>
      <left/>
      <right style="thin">
        <color indexed="8"/>
      </right>
      <top style="thin">
        <color indexed="8"/>
      </top>
      <bottom/>
    </border>
    <border>
      <left/>
      <right style="thin"/>
      <top/>
      <bottom/>
    </border>
    <border>
      <left/>
      <right style="thin">
        <color indexed="8"/>
      </right>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medium">
        <color indexed="8"/>
      </left>
      <right style="medium">
        <color indexed="8"/>
      </right>
      <top style="medium">
        <color indexed="8"/>
      </top>
      <bottom/>
    </border>
    <border>
      <left/>
      <right style="medium">
        <color indexed="8"/>
      </right>
      <top style="medium">
        <color indexed="8"/>
      </top>
      <bottom/>
    </border>
    <border>
      <left style="medium">
        <color indexed="8"/>
      </left>
      <right style="medium">
        <color indexed="8"/>
      </right>
      <top/>
      <bottom/>
    </border>
    <border>
      <left/>
      <right style="medium">
        <color indexed="8"/>
      </right>
      <top/>
      <bottom/>
    </border>
    <border>
      <left style="medium">
        <color indexed="8"/>
      </left>
      <right style="medium">
        <color indexed="8"/>
      </right>
      <top/>
      <bottom style="medium">
        <color indexed="8"/>
      </bottom>
    </border>
    <border>
      <left style="thin">
        <color indexed="8"/>
      </left>
      <right style="thin">
        <color indexed="8"/>
      </right>
      <top style="medium">
        <color indexed="8"/>
      </top>
      <bottom/>
    </border>
    <border>
      <left/>
      <right style="thin">
        <color indexed="8"/>
      </right>
      <top style="medium">
        <color indexed="8"/>
      </top>
      <bottom/>
    </border>
    <border>
      <left/>
      <right/>
      <top style="medium">
        <color indexed="8"/>
      </top>
      <bottom style="thin">
        <color indexed="8"/>
      </bottom>
    </border>
    <border>
      <left style="thin">
        <color indexed="8"/>
      </left>
      <right style="thin">
        <color indexed="8"/>
      </right>
      <top/>
      <bottom style="medium">
        <color indexed="8"/>
      </bottom>
    </border>
    <border>
      <left style="medium"/>
      <right style="thin"/>
      <top style="medium"/>
      <bottom style="medium"/>
    </border>
    <border>
      <left/>
      <right/>
      <top style="medium"/>
      <bottom style="medium"/>
    </border>
    <border>
      <left/>
      <right style="medium"/>
      <top style="medium"/>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thin">
        <color indexed="8"/>
      </bottom>
    </border>
    <border>
      <left style="medium">
        <color indexed="8"/>
      </left>
      <right/>
      <top style="thin">
        <color indexed="8"/>
      </top>
      <bottom style="medium">
        <color indexed="8"/>
      </bottom>
    </border>
    <border>
      <left/>
      <right/>
      <top style="thin">
        <color indexed="8"/>
      </top>
      <bottom style="medium">
        <color indexed="8"/>
      </bottom>
    </border>
    <border>
      <left/>
      <right style="medium">
        <color indexed="8"/>
      </right>
      <top style="thin">
        <color indexed="8"/>
      </top>
      <bottom/>
    </border>
    <border>
      <left style="medium">
        <color indexed="8"/>
      </left>
      <right style="thin">
        <color indexed="8"/>
      </right>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style="thin"/>
      <right style="thin"/>
      <top style="thin"/>
      <bottom style="medium"/>
    </border>
    <border>
      <left style="medium">
        <color indexed="8"/>
      </left>
      <right style="medium">
        <color indexed="8"/>
      </right>
      <top/>
      <bottom style="thin">
        <color indexed="8"/>
      </bottom>
    </border>
    <border>
      <left/>
      <right style="medium">
        <color indexed="8"/>
      </right>
      <top/>
      <bottom style="thin">
        <color indexed="8"/>
      </bottom>
    </border>
    <border>
      <left style="thin">
        <color rgb="FF000000"/>
      </left>
      <right style="thin">
        <color rgb="FF000000"/>
      </right>
      <top style="thin">
        <color rgb="FF000000"/>
      </top>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2" fillId="0" borderId="0">
      <alignment/>
      <protection/>
    </xf>
    <xf numFmtId="0" fontId="13" fillId="0" borderId="0">
      <alignment/>
      <protection locked="0"/>
    </xf>
    <xf numFmtId="0" fontId="13" fillId="0" borderId="0">
      <alignment/>
      <protection locked="0"/>
    </xf>
    <xf numFmtId="0" fontId="1" fillId="0" borderId="0">
      <alignment/>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52" fillId="0" borderId="0">
      <alignment/>
      <protection/>
    </xf>
    <xf numFmtId="0" fontId="1" fillId="0" borderId="0">
      <alignment/>
      <protection/>
    </xf>
    <xf numFmtId="0" fontId="34" fillId="0" borderId="0">
      <alignment/>
      <protection/>
    </xf>
    <xf numFmtId="0" fontId="52" fillId="0" borderId="0">
      <alignment/>
      <protection/>
    </xf>
    <xf numFmtId="0" fontId="0" fillId="0" borderId="0">
      <alignment/>
      <protection/>
    </xf>
    <xf numFmtId="0" fontId="34" fillId="0" borderId="0">
      <alignment/>
      <protection/>
    </xf>
    <xf numFmtId="174" fontId="34" fillId="0" borderId="0" applyFont="0" applyFill="0" applyBorder="0" applyAlignment="0" applyProtection="0"/>
    <xf numFmtId="0" fontId="0" fillId="0" borderId="0">
      <alignment/>
      <protection/>
    </xf>
    <xf numFmtId="174" fontId="34" fillId="0" borderId="0" applyFont="0" applyFill="0" applyBorder="0" applyAlignment="0" applyProtection="0"/>
    <xf numFmtId="0" fontId="0" fillId="0" borderId="0">
      <alignment/>
      <protection/>
    </xf>
    <xf numFmtId="0" fontId="68" fillId="0" borderId="0" applyNumberFormat="0" applyFill="0" applyBorder="0">
      <alignment/>
      <protection locked="0"/>
    </xf>
  </cellStyleXfs>
  <cellXfs count="524">
    <xf numFmtId="0" fontId="0" fillId="0" borderId="0" xfId="0"/>
    <xf numFmtId="0" fontId="2" fillId="0" borderId="0" xfId="20">
      <alignment/>
      <protection/>
    </xf>
    <xf numFmtId="0" fontId="3" fillId="0" borderId="0" xfId="20" applyFont="1">
      <alignment/>
      <protection/>
    </xf>
    <xf numFmtId="0" fontId="3" fillId="0" borderId="0" xfId="20" applyFont="1">
      <alignment/>
      <protection/>
    </xf>
    <xf numFmtId="0" fontId="5" fillId="0" borderId="0" xfId="20" applyFont="1" applyAlignment="1">
      <alignment horizontal="left" vertical="center"/>
      <protection/>
    </xf>
    <xf numFmtId="4" fontId="6" fillId="0" borderId="0" xfId="20" applyNumberFormat="1" applyFont="1" applyAlignment="1">
      <alignment horizontal="right" vertical="center"/>
      <protection/>
    </xf>
    <xf numFmtId="4" fontId="9" fillId="0" borderId="0" xfId="20" applyNumberFormat="1" applyFont="1" applyAlignment="1">
      <alignment horizontal="right" vertical="center"/>
      <protection/>
    </xf>
    <xf numFmtId="0" fontId="9" fillId="0" borderId="0" xfId="20" applyFont="1" applyAlignment="1">
      <alignment horizontal="right" vertical="center"/>
      <protection/>
    </xf>
    <xf numFmtId="0" fontId="9" fillId="0" borderId="0" xfId="20" applyFont="1" applyAlignment="1">
      <alignment horizontal="left" vertical="center"/>
      <protection/>
    </xf>
    <xf numFmtId="0" fontId="9" fillId="0" borderId="1" xfId="20" applyFont="1" applyBorder="1" applyAlignment="1">
      <alignment horizontal="left" vertical="center"/>
      <protection/>
    </xf>
    <xf numFmtId="0" fontId="6" fillId="0" borderId="2" xfId="20" applyFont="1" applyBorder="1" applyAlignment="1">
      <alignment horizontal="center" vertical="center"/>
      <protection/>
    </xf>
    <xf numFmtId="0" fontId="6" fillId="0" borderId="3" xfId="20" applyFont="1" applyBorder="1" applyAlignment="1">
      <alignment horizontal="center" vertical="center"/>
      <protection/>
    </xf>
    <xf numFmtId="0" fontId="6" fillId="0" borderId="4" xfId="20" applyFont="1" applyBorder="1" applyAlignment="1">
      <alignment horizontal="center" vertical="center"/>
      <protection/>
    </xf>
    <xf numFmtId="0" fontId="9" fillId="0" borderId="5" xfId="20" applyFont="1" applyBorder="1" applyAlignment="1">
      <alignment horizontal="left" vertical="center"/>
      <protection/>
    </xf>
    <xf numFmtId="4" fontId="9" fillId="0" borderId="6" xfId="20" applyNumberFormat="1" applyFont="1" applyBorder="1" applyAlignment="1">
      <alignment horizontal="right" vertical="center"/>
      <protection/>
    </xf>
    <xf numFmtId="0" fontId="6" fillId="0" borderId="2" xfId="20" applyFont="1" applyBorder="1" applyAlignment="1">
      <alignment horizontal="left" vertical="center"/>
      <protection/>
    </xf>
    <xf numFmtId="0" fontId="6" fillId="0" borderId="7" xfId="20" applyFont="1" applyBorder="1" applyAlignment="1">
      <alignment horizontal="center" vertical="center"/>
      <protection/>
    </xf>
    <xf numFmtId="0" fontId="9" fillId="0" borderId="8" xfId="20" applyFont="1" applyBorder="1" applyAlignment="1">
      <alignment horizontal="left" vertical="center"/>
      <protection/>
    </xf>
    <xf numFmtId="0" fontId="12" fillId="0" borderId="0" xfId="21">
      <alignment/>
      <protection/>
    </xf>
    <xf numFmtId="0" fontId="13" fillId="0" borderId="0" xfId="22" applyAlignment="1" applyProtection="1">
      <alignment horizontal="left" vertical="top"/>
      <protection locked="0"/>
    </xf>
    <xf numFmtId="164" fontId="13" fillId="0" borderId="0" xfId="22" applyNumberFormat="1" applyAlignment="1" applyProtection="1">
      <alignment horizontal="right" vertical="top"/>
      <protection locked="0"/>
    </xf>
    <xf numFmtId="165" fontId="13" fillId="0" borderId="0" xfId="22" applyNumberFormat="1" applyAlignment="1" applyProtection="1">
      <alignment horizontal="right" vertical="top"/>
      <protection locked="0"/>
    </xf>
    <xf numFmtId="0" fontId="13" fillId="0" borderId="0" xfId="22" applyAlignment="1" applyProtection="1">
      <alignment horizontal="left" vertical="top" wrapText="1"/>
      <protection locked="0"/>
    </xf>
    <xf numFmtId="166" fontId="13" fillId="0" borderId="0" xfId="22" applyNumberFormat="1" applyAlignment="1" applyProtection="1">
      <alignment horizontal="center" vertical="top"/>
      <protection locked="0"/>
    </xf>
    <xf numFmtId="0" fontId="13" fillId="0" borderId="9" xfId="23" applyBorder="1" applyAlignment="1" applyProtection="1">
      <alignment horizontal="center" vertical="center"/>
      <protection locked="0"/>
    </xf>
    <xf numFmtId="164" fontId="14" fillId="0" borderId="10" xfId="22" applyNumberFormat="1" applyFont="1" applyBorder="1" applyAlignment="1" applyProtection="1">
      <alignment horizontal="right"/>
      <protection locked="0"/>
    </xf>
    <xf numFmtId="3" fontId="13" fillId="0" borderId="9" xfId="22" applyNumberFormat="1" applyBorder="1" applyProtection="1">
      <alignment/>
      <protection/>
    </xf>
    <xf numFmtId="0" fontId="13" fillId="0" borderId="9" xfId="22" applyBorder="1" applyAlignment="1" applyProtection="1">
      <alignment horizontal="center"/>
      <protection/>
    </xf>
    <xf numFmtId="0" fontId="13" fillId="0" borderId="9" xfId="22" applyBorder="1" applyProtection="1">
      <alignment/>
      <protection/>
    </xf>
    <xf numFmtId="0" fontId="14" fillId="0" borderId="11" xfId="22" applyFont="1" applyBorder="1" applyAlignment="1" applyProtection="1">
      <alignment horizontal="left" wrapText="1"/>
      <protection locked="0"/>
    </xf>
    <xf numFmtId="166" fontId="14" fillId="0" borderId="9" xfId="22" applyNumberFormat="1" applyFont="1" applyBorder="1" applyAlignment="1" applyProtection="1">
      <alignment horizontal="center"/>
      <protection locked="0"/>
    </xf>
    <xf numFmtId="0" fontId="13" fillId="0" borderId="9" xfId="22" applyFont="1" applyBorder="1" applyAlignment="1" applyProtection="1">
      <alignment wrapText="1"/>
      <protection/>
    </xf>
    <xf numFmtId="0" fontId="13" fillId="0" borderId="9" xfId="22" applyBorder="1" applyAlignment="1" applyProtection="1">
      <alignment wrapText="1"/>
      <protection/>
    </xf>
    <xf numFmtId="164" fontId="15" fillId="0" borderId="0" xfId="22" applyNumberFormat="1" applyFont="1" applyAlignment="1" applyProtection="1">
      <alignment horizontal="right"/>
      <protection locked="0"/>
    </xf>
    <xf numFmtId="165" fontId="15" fillId="0" borderId="0" xfId="22" applyNumberFormat="1" applyFont="1" applyAlignment="1" applyProtection="1">
      <alignment horizontal="right"/>
      <protection locked="0"/>
    </xf>
    <xf numFmtId="0" fontId="15" fillId="0" borderId="0" xfId="22" applyFont="1" applyAlignment="1" applyProtection="1">
      <alignment horizontal="left" wrapText="1"/>
      <protection locked="0"/>
    </xf>
    <xf numFmtId="166" fontId="15" fillId="0" borderId="0" xfId="22" applyNumberFormat="1" applyFont="1" applyAlignment="1" applyProtection="1">
      <alignment horizontal="center"/>
      <protection locked="0"/>
    </xf>
    <xf numFmtId="0" fontId="13" fillId="0" borderId="0" xfId="23" applyAlignment="1" applyProtection="1">
      <alignment horizontal="center" vertical="center"/>
      <protection locked="0"/>
    </xf>
    <xf numFmtId="0" fontId="13" fillId="0" borderId="0" xfId="22" applyAlignment="1" applyProtection="1">
      <alignment horizontal="right"/>
      <protection/>
    </xf>
    <xf numFmtId="0" fontId="13" fillId="0" borderId="0" xfId="22" applyAlignment="1" applyProtection="1">
      <alignment horizontal="center"/>
      <protection/>
    </xf>
    <xf numFmtId="0" fontId="13" fillId="0" borderId="0" xfId="22" applyProtection="1">
      <alignment/>
      <protection/>
    </xf>
    <xf numFmtId="0" fontId="14" fillId="0" borderId="0" xfId="22" applyFont="1" applyAlignment="1" applyProtection="1">
      <alignment horizontal="left" wrapText="1"/>
      <protection locked="0"/>
    </xf>
    <xf numFmtId="166" fontId="14" fillId="0" borderId="0" xfId="22" applyNumberFormat="1" applyFont="1" applyAlignment="1" applyProtection="1">
      <alignment horizontal="center"/>
      <protection locked="0"/>
    </xf>
    <xf numFmtId="0" fontId="13" fillId="0" borderId="9" xfId="22" applyFont="1" applyBorder="1" applyProtection="1">
      <alignment/>
      <protection/>
    </xf>
    <xf numFmtId="0" fontId="13" fillId="0" borderId="0" xfId="23" applyAlignment="1" applyProtection="1">
      <alignment horizontal="left" vertical="top"/>
      <protection locked="0"/>
    </xf>
    <xf numFmtId="164" fontId="16" fillId="0" borderId="0" xfId="22" applyNumberFormat="1" applyFont="1" applyAlignment="1" applyProtection="1">
      <alignment horizontal="right"/>
      <protection locked="0"/>
    </xf>
    <xf numFmtId="165" fontId="16" fillId="0" borderId="0" xfId="22" applyNumberFormat="1" applyFont="1" applyAlignment="1" applyProtection="1">
      <alignment horizontal="right"/>
      <protection locked="0"/>
    </xf>
    <xf numFmtId="0" fontId="16" fillId="0" borderId="0" xfId="22" applyFont="1" applyAlignment="1" applyProtection="1">
      <alignment horizontal="left" wrapText="1"/>
      <protection locked="0"/>
    </xf>
    <xf numFmtId="166" fontId="16" fillId="0" borderId="0" xfId="22" applyNumberFormat="1" applyFont="1" applyAlignment="1" applyProtection="1">
      <alignment horizontal="center"/>
      <protection locked="0"/>
    </xf>
    <xf numFmtId="0" fontId="17" fillId="0" borderId="0" xfId="22" applyFont="1" applyAlignment="1" applyProtection="1">
      <alignment horizontal="left"/>
      <protection/>
    </xf>
    <xf numFmtId="0" fontId="18" fillId="2" borderId="9" xfId="22" applyFont="1" applyFill="1" applyBorder="1" applyAlignment="1" applyProtection="1">
      <alignment horizontal="center" vertical="center" wrapText="1"/>
      <protection/>
    </xf>
    <xf numFmtId="0" fontId="18" fillId="2" borderId="9" xfId="23" applyFont="1" applyFill="1" applyBorder="1" applyAlignment="1" applyProtection="1">
      <alignment horizontal="center" vertical="center" wrapText="1"/>
      <protection/>
    </xf>
    <xf numFmtId="167" fontId="19" fillId="0" borderId="0" xfId="22" applyNumberFormat="1" applyFont="1" applyAlignment="1" applyProtection="1">
      <alignment horizontal="right" vertical="top"/>
      <protection/>
    </xf>
    <xf numFmtId="0" fontId="19" fillId="0" borderId="0" xfId="22" applyFont="1" applyAlignment="1" applyProtection="1">
      <alignment horizontal="left"/>
      <protection/>
    </xf>
    <xf numFmtId="165" fontId="19" fillId="0" borderId="0" xfId="22" applyNumberFormat="1" applyFont="1" applyAlignment="1" applyProtection="1">
      <alignment horizontal="right" vertical="top"/>
      <protection/>
    </xf>
    <xf numFmtId="164" fontId="19" fillId="0" borderId="0" xfId="22" applyNumberFormat="1" applyFont="1" applyAlignment="1" applyProtection="1">
      <alignment horizontal="right" vertical="top"/>
      <protection/>
    </xf>
    <xf numFmtId="0" fontId="19" fillId="0" borderId="0" xfId="22" applyFont="1" applyAlignment="1" applyProtection="1">
      <alignment horizontal="left" vertical="top" wrapText="1"/>
      <protection/>
    </xf>
    <xf numFmtId="164" fontId="17" fillId="0" borderId="0" xfId="22" applyNumberFormat="1" applyFont="1" applyAlignment="1" applyProtection="1">
      <alignment horizontal="right" vertical="top"/>
      <protection/>
    </xf>
    <xf numFmtId="165" fontId="17" fillId="0" borderId="0" xfId="22" applyNumberFormat="1" applyFont="1" applyAlignment="1" applyProtection="1">
      <alignment horizontal="right" vertical="top"/>
      <protection/>
    </xf>
    <xf numFmtId="164" fontId="14" fillId="0" borderId="0" xfId="22" applyNumberFormat="1" applyFont="1" applyAlignment="1" applyProtection="1">
      <alignment horizontal="right" vertical="top"/>
      <protection/>
    </xf>
    <xf numFmtId="0" fontId="17" fillId="0" borderId="0" xfId="22" applyFont="1" applyAlignment="1" applyProtection="1">
      <alignment horizontal="left" vertical="top" wrapText="1"/>
      <protection/>
    </xf>
    <xf numFmtId="0" fontId="20" fillId="0" borderId="0" xfId="22" applyFont="1" applyAlignment="1" applyProtection="1">
      <alignment horizontal="left" vertical="top" wrapText="1"/>
      <protection/>
    </xf>
    <xf numFmtId="166" fontId="20" fillId="0" borderId="0" xfId="22" applyNumberFormat="1" applyFont="1" applyAlignment="1" applyProtection="1">
      <alignment horizontal="center" vertical="top"/>
      <protection/>
    </xf>
    <xf numFmtId="0" fontId="21" fillId="0" borderId="0" xfId="22" applyFont="1" applyAlignment="1" applyProtection="1">
      <alignment horizontal="left"/>
      <protection/>
    </xf>
    <xf numFmtId="0" fontId="21" fillId="0" borderId="0" xfId="22" applyFont="1" applyAlignment="1" applyProtection="1">
      <alignment horizontal="left" vertical="center"/>
      <protection/>
    </xf>
    <xf numFmtId="0" fontId="23" fillId="0" borderId="9" xfId="22" applyFont="1" applyBorder="1" applyProtection="1">
      <alignment/>
      <protection/>
    </xf>
    <xf numFmtId="0" fontId="2" fillId="0" borderId="0" xfId="24" applyFont="1" applyAlignment="1" applyProtection="1">
      <alignment vertical="center"/>
      <protection locked="0"/>
    </xf>
    <xf numFmtId="2" fontId="2" fillId="0" borderId="0" xfId="24" applyNumberFormat="1" applyFont="1" applyAlignment="1" applyProtection="1">
      <alignment vertical="center"/>
      <protection locked="0"/>
    </xf>
    <xf numFmtId="4" fontId="25" fillId="0" borderId="9" xfId="24" applyNumberFormat="1" applyFont="1" applyBorder="1" applyAlignment="1" applyProtection="1">
      <alignment vertical="center"/>
      <protection locked="0"/>
    </xf>
    <xf numFmtId="0" fontId="34" fillId="0" borderId="0" xfId="30">
      <alignment/>
      <protection/>
    </xf>
    <xf numFmtId="49" fontId="34" fillId="0" borderId="0" xfId="30" applyNumberFormat="1">
      <alignment/>
      <protection/>
    </xf>
    <xf numFmtId="0" fontId="34" fillId="0" borderId="0" xfId="30" applyAlignment="1">
      <alignment horizontal="center"/>
      <protection/>
    </xf>
    <xf numFmtId="49" fontId="34" fillId="0" borderId="0" xfId="30" applyNumberFormat="1" applyAlignment="1">
      <alignment horizontal="left" wrapText="1"/>
      <protection/>
    </xf>
    <xf numFmtId="0" fontId="34" fillId="0" borderId="0" xfId="30" applyAlignment="1">
      <alignment vertical="top"/>
      <protection/>
    </xf>
    <xf numFmtId="0" fontId="34" fillId="0" borderId="0" xfId="30" applyAlignment="1">
      <alignment horizontal="center" vertical="top"/>
      <protection/>
    </xf>
    <xf numFmtId="49" fontId="34" fillId="0" borderId="0" xfId="30" applyNumberFormat="1" applyAlignment="1">
      <alignment horizontal="left" vertical="top" wrapText="1"/>
      <protection/>
    </xf>
    <xf numFmtId="49" fontId="34" fillId="0" borderId="0" xfId="30" applyNumberFormat="1" applyAlignment="1">
      <alignment vertical="top"/>
      <protection/>
    </xf>
    <xf numFmtId="0" fontId="14" fillId="0" borderId="0" xfId="30" applyFont="1">
      <alignment/>
      <protection/>
    </xf>
    <xf numFmtId="4" fontId="14" fillId="0" borderId="0" xfId="30" applyNumberFormat="1" applyFont="1" applyAlignment="1">
      <alignment vertical="top" shrinkToFit="1"/>
      <protection/>
    </xf>
    <xf numFmtId="169" fontId="14" fillId="0" borderId="0" xfId="30" applyNumberFormat="1" applyFont="1" applyAlignment="1">
      <alignment vertical="top" shrinkToFit="1"/>
      <protection/>
    </xf>
    <xf numFmtId="4" fontId="14" fillId="0" borderId="12" xfId="30" applyNumberFormat="1" applyFont="1" applyBorder="1" applyAlignment="1">
      <alignment vertical="top" shrinkToFit="1"/>
      <protection/>
    </xf>
    <xf numFmtId="169" fontId="14" fillId="0" borderId="13" xfId="30" applyNumberFormat="1" applyFont="1" applyBorder="1" applyAlignment="1">
      <alignment vertical="top" shrinkToFit="1"/>
      <protection/>
    </xf>
    <xf numFmtId="0" fontId="14" fillId="0" borderId="13" xfId="30" applyFont="1" applyBorder="1" applyAlignment="1">
      <alignment horizontal="center" vertical="top" shrinkToFit="1"/>
      <protection/>
    </xf>
    <xf numFmtId="49" fontId="14" fillId="0" borderId="13" xfId="30" applyNumberFormat="1" applyFont="1" applyBorder="1" applyAlignment="1">
      <alignment horizontal="left" vertical="top" wrapText="1"/>
      <protection/>
    </xf>
    <xf numFmtId="49" fontId="14" fillId="0" borderId="13" xfId="30" applyNumberFormat="1" applyFont="1" applyBorder="1" applyAlignment="1">
      <alignment vertical="top"/>
      <protection/>
    </xf>
    <xf numFmtId="0" fontId="14" fillId="0" borderId="14" xfId="30" applyFont="1" applyBorder="1" applyAlignment="1">
      <alignment vertical="top"/>
      <protection/>
    </xf>
    <xf numFmtId="0" fontId="46" fillId="0" borderId="0" xfId="30" applyFont="1" applyAlignment="1">
      <alignment wrapText="1"/>
      <protection/>
    </xf>
    <xf numFmtId="49" fontId="14" fillId="0" borderId="0" xfId="30" applyNumberFormat="1" applyFont="1" applyAlignment="1">
      <alignment vertical="top"/>
      <protection/>
    </xf>
    <xf numFmtId="0" fontId="14" fillId="0" borderId="0" xfId="30" applyFont="1" applyAlignment="1">
      <alignment vertical="top"/>
      <protection/>
    </xf>
    <xf numFmtId="4" fontId="48" fillId="3" borderId="0" xfId="30" applyNumberFormat="1" applyFont="1" applyFill="1" applyAlignment="1">
      <alignment vertical="top" shrinkToFit="1"/>
      <protection/>
    </xf>
    <xf numFmtId="169" fontId="48" fillId="3" borderId="0" xfId="30" applyNumberFormat="1" applyFont="1" applyFill="1" applyAlignment="1">
      <alignment vertical="top" shrinkToFit="1"/>
      <protection/>
    </xf>
    <xf numFmtId="4" fontId="48" fillId="3" borderId="15" xfId="30" applyNumberFormat="1" applyFont="1" applyFill="1" applyBorder="1" applyAlignment="1">
      <alignment vertical="top" shrinkToFit="1"/>
      <protection/>
    </xf>
    <xf numFmtId="4" fontId="48" fillId="3" borderId="16" xfId="30" applyNumberFormat="1" applyFont="1" applyFill="1" applyBorder="1" applyAlignment="1">
      <alignment vertical="top" shrinkToFit="1"/>
      <protection/>
    </xf>
    <xf numFmtId="169" fontId="48" fillId="3" borderId="16" xfId="30" applyNumberFormat="1" applyFont="1" applyFill="1" applyBorder="1" applyAlignment="1">
      <alignment vertical="top" shrinkToFit="1"/>
      <protection/>
    </xf>
    <xf numFmtId="0" fontId="48" fillId="3" borderId="16" xfId="30" applyFont="1" applyFill="1" applyBorder="1" applyAlignment="1">
      <alignment horizontal="center" vertical="top" shrinkToFit="1"/>
      <protection/>
    </xf>
    <xf numFmtId="49" fontId="48" fillId="3" borderId="16" xfId="30" applyNumberFormat="1" applyFont="1" applyFill="1" applyBorder="1" applyAlignment="1">
      <alignment horizontal="left" vertical="top" wrapText="1"/>
      <protection/>
    </xf>
    <xf numFmtId="49" fontId="48" fillId="3" borderId="16" xfId="30" applyNumberFormat="1" applyFont="1" applyFill="1" applyBorder="1" applyAlignment="1">
      <alignment vertical="top"/>
      <protection/>
    </xf>
    <xf numFmtId="0" fontId="48" fillId="3" borderId="17" xfId="30" applyFont="1" applyFill="1" applyBorder="1" applyAlignment="1">
      <alignment vertical="top"/>
      <protection/>
    </xf>
    <xf numFmtId="169" fontId="49" fillId="0" borderId="0" xfId="30" applyNumberFormat="1" applyFont="1" applyAlignment="1">
      <alignment vertical="top" wrapText="1" shrinkToFit="1"/>
      <protection/>
    </xf>
    <xf numFmtId="169" fontId="49" fillId="0" borderId="0" xfId="30" applyNumberFormat="1" applyFont="1" applyAlignment="1">
      <alignment horizontal="center" vertical="top" wrapText="1" shrinkToFit="1"/>
      <protection/>
    </xf>
    <xf numFmtId="169" fontId="49" fillId="0" borderId="0" xfId="30" applyNumberFormat="1" applyFont="1" applyAlignment="1" quotePrefix="1">
      <alignment horizontal="left" vertical="top" wrapText="1"/>
      <protection/>
    </xf>
    <xf numFmtId="4" fontId="34" fillId="0" borderId="0" xfId="30" applyNumberFormat="1" applyAlignment="1">
      <alignment vertical="top"/>
      <protection/>
    </xf>
    <xf numFmtId="169" fontId="34" fillId="0" borderId="0" xfId="30" applyNumberFormat="1" applyAlignment="1">
      <alignment vertical="top"/>
      <protection/>
    </xf>
    <xf numFmtId="0" fontId="34" fillId="4" borderId="9" xfId="30" applyFill="1" applyBorder="1" applyAlignment="1">
      <alignment wrapText="1"/>
      <protection/>
    </xf>
    <xf numFmtId="0" fontId="34" fillId="4" borderId="9" xfId="30" applyFill="1" applyBorder="1">
      <alignment/>
      <protection/>
    </xf>
    <xf numFmtId="0" fontId="34" fillId="4" borderId="11" xfId="30" applyFill="1" applyBorder="1">
      <alignment/>
      <protection/>
    </xf>
    <xf numFmtId="0" fontId="34" fillId="4" borderId="9" xfId="30" applyFill="1" applyBorder="1" applyAlignment="1">
      <alignment horizontal="center"/>
      <protection/>
    </xf>
    <xf numFmtId="49" fontId="34" fillId="4" borderId="9" xfId="30" applyNumberFormat="1" applyFill="1" applyBorder="1">
      <alignment/>
      <protection/>
    </xf>
    <xf numFmtId="49" fontId="34" fillId="3" borderId="18" xfId="30" applyNumberFormat="1" applyFill="1" applyBorder="1" applyAlignment="1">
      <alignment vertical="center"/>
      <protection/>
    </xf>
    <xf numFmtId="0" fontId="34" fillId="3" borderId="9" xfId="30" applyFill="1" applyBorder="1" applyAlignment="1">
      <alignment vertical="center"/>
      <protection/>
    </xf>
    <xf numFmtId="49" fontId="34" fillId="0" borderId="18" xfId="30" applyNumberFormat="1" applyBorder="1" applyAlignment="1">
      <alignment vertical="center"/>
      <protection/>
    </xf>
    <xf numFmtId="0" fontId="34" fillId="0" borderId="9" xfId="30" applyBorder="1" applyAlignment="1">
      <alignment vertical="center"/>
      <protection/>
    </xf>
    <xf numFmtId="0" fontId="52" fillId="0" borderId="0" xfId="31" applyAlignment="1">
      <alignment vertical="top"/>
      <protection/>
    </xf>
    <xf numFmtId="0" fontId="52" fillId="0" borderId="0" xfId="31" applyAlignment="1">
      <alignment horizontal="justify" vertical="center"/>
      <protection/>
    </xf>
    <xf numFmtId="0" fontId="53" fillId="0" borderId="0" xfId="31" applyFont="1" applyAlignment="1">
      <alignment vertical="center"/>
      <protection/>
    </xf>
    <xf numFmtId="0" fontId="54" fillId="0" borderId="0" xfId="31" applyFont="1" applyAlignment="1">
      <alignment vertical="center"/>
      <protection/>
    </xf>
    <xf numFmtId="0" fontId="55" fillId="0" borderId="0" xfId="32" applyFont="1" applyAlignment="1">
      <alignment vertical="center"/>
      <protection/>
    </xf>
    <xf numFmtId="0" fontId="56" fillId="0" borderId="0" xfId="31" applyFont="1" applyAlignment="1">
      <alignment horizontal="justify" vertical="center"/>
      <protection/>
    </xf>
    <xf numFmtId="0" fontId="56" fillId="0" borderId="0" xfId="31" applyFont="1" applyAlignment="1">
      <alignment vertical="top"/>
      <protection/>
    </xf>
    <xf numFmtId="0" fontId="52" fillId="0" borderId="0" xfId="31" applyAlignment="1">
      <alignment horizontal="justify" vertical="top"/>
      <protection/>
    </xf>
    <xf numFmtId="0" fontId="55" fillId="0" borderId="0" xfId="33" applyFont="1" applyAlignment="1">
      <alignment vertical="top"/>
      <protection/>
    </xf>
    <xf numFmtId="0" fontId="56" fillId="0" borderId="0" xfId="31" applyFont="1" applyAlignment="1">
      <alignment horizontal="justify" vertical="top"/>
      <protection/>
    </xf>
    <xf numFmtId="168" fontId="57" fillId="0" borderId="9" xfId="31" applyNumberFormat="1" applyFont="1" applyBorder="1" applyAlignment="1">
      <alignment horizontal="center" vertical="center"/>
      <protection/>
    </xf>
    <xf numFmtId="0" fontId="52" fillId="0" borderId="0" xfId="31" applyAlignment="1">
      <alignment vertical="center"/>
      <protection/>
    </xf>
    <xf numFmtId="0" fontId="55" fillId="0" borderId="9" xfId="31" applyFont="1" applyBorder="1" applyAlignment="1">
      <alignment horizontal="justify" vertical="top" wrapText="1"/>
      <protection/>
    </xf>
    <xf numFmtId="170" fontId="3" fillId="5" borderId="19" xfId="32" applyNumberFormat="1" applyFont="1" applyFill="1" applyBorder="1" applyAlignment="1">
      <alignment horizontal="center" vertical="top" wrapText="1"/>
      <protection/>
    </xf>
    <xf numFmtId="0" fontId="3" fillId="0" borderId="9" xfId="32" applyFont="1" applyBorder="1" applyAlignment="1">
      <alignment horizontal="center" vertical="top" wrapText="1"/>
      <protection/>
    </xf>
    <xf numFmtId="0" fontId="55" fillId="0" borderId="9" xfId="32" applyFont="1" applyBorder="1" applyAlignment="1">
      <alignment horizontal="center" vertical="top" wrapText="1"/>
      <protection/>
    </xf>
    <xf numFmtId="0" fontId="55" fillId="0" borderId="9" xfId="32" applyFont="1" applyBorder="1" applyAlignment="1">
      <alignment vertical="top" wrapText="1"/>
      <protection/>
    </xf>
    <xf numFmtId="0" fontId="57" fillId="0" borderId="9" xfId="32" applyFont="1" applyBorder="1" applyAlignment="1">
      <alignment horizontal="center" vertical="top" wrapText="1"/>
      <protection/>
    </xf>
    <xf numFmtId="0" fontId="55" fillId="0" borderId="9" xfId="33" applyFont="1" applyBorder="1" applyAlignment="1">
      <alignment horizontal="center" vertical="top" wrapText="1"/>
      <protection/>
    </xf>
    <xf numFmtId="0" fontId="58" fillId="0" borderId="0" xfId="33" applyFont="1" applyAlignment="1">
      <alignment vertical="top" wrapText="1"/>
      <protection/>
    </xf>
    <xf numFmtId="170" fontId="58" fillId="0" borderId="0" xfId="33" applyNumberFormat="1" applyFont="1" applyAlignment="1">
      <alignment horizontal="center" vertical="top" wrapText="1"/>
      <protection/>
    </xf>
    <xf numFmtId="0" fontId="58" fillId="0" borderId="0" xfId="33" applyFont="1" applyAlignment="1">
      <alignment horizontal="center" vertical="top" wrapText="1"/>
      <protection/>
    </xf>
    <xf numFmtId="0" fontId="58" fillId="0" borderId="0" xfId="33" applyFont="1" applyAlignment="1">
      <alignment horizontal="right" vertical="top" wrapText="1"/>
      <protection/>
    </xf>
    <xf numFmtId="0" fontId="3" fillId="0" borderId="9" xfId="32" applyFont="1" applyBorder="1" applyAlignment="1">
      <alignment vertical="top" wrapText="1"/>
      <protection/>
    </xf>
    <xf numFmtId="0" fontId="59" fillId="0" borderId="9" xfId="32" applyFont="1" applyBorder="1" applyAlignment="1">
      <alignment horizontal="center" vertical="top" wrapText="1"/>
      <protection/>
    </xf>
    <xf numFmtId="49" fontId="3" fillId="0" borderId="9" xfId="31" applyNumberFormat="1" applyFont="1" applyBorder="1" applyAlignment="1">
      <alignment horizontal="justify" vertical="top" wrapText="1"/>
      <protection/>
    </xf>
    <xf numFmtId="0" fontId="3" fillId="0" borderId="9" xfId="32" applyFont="1" applyBorder="1" applyAlignment="1">
      <alignment horizontal="left" vertical="top" wrapText="1"/>
      <protection/>
    </xf>
    <xf numFmtId="170" fontId="3" fillId="5" borderId="9" xfId="32" applyNumberFormat="1" applyFont="1" applyFill="1" applyBorder="1" applyAlignment="1">
      <alignment horizontal="center" vertical="top" wrapText="1"/>
      <protection/>
    </xf>
    <xf numFmtId="0" fontId="55" fillId="0" borderId="10" xfId="33" applyFont="1" applyBorder="1" applyAlignment="1">
      <alignment horizontal="center" vertical="center" wrapText="1"/>
      <protection/>
    </xf>
    <xf numFmtId="170" fontId="3" fillId="0" borderId="20" xfId="32" applyNumberFormat="1" applyFont="1" applyBorder="1" applyAlignment="1">
      <alignment horizontal="center" vertical="top" wrapText="1"/>
      <protection/>
    </xf>
    <xf numFmtId="0" fontId="3" fillId="5" borderId="20" xfId="32" applyFont="1" applyFill="1" applyBorder="1" applyAlignment="1">
      <alignment horizontal="center" vertical="top" wrapText="1"/>
      <protection/>
    </xf>
    <xf numFmtId="0" fontId="3" fillId="5" borderId="9" xfId="32" applyFont="1" applyFill="1" applyBorder="1" applyAlignment="1">
      <alignment horizontal="center" vertical="top" wrapText="1"/>
      <protection/>
    </xf>
    <xf numFmtId="0" fontId="3" fillId="5" borderId="20" xfId="32" applyFont="1" applyFill="1" applyBorder="1" applyAlignment="1">
      <alignment vertical="top" wrapText="1"/>
      <protection/>
    </xf>
    <xf numFmtId="0" fontId="58" fillId="0" borderId="21" xfId="33" applyFont="1" applyBorder="1" applyAlignment="1">
      <alignment horizontal="center" vertical="top" wrapText="1"/>
      <protection/>
    </xf>
    <xf numFmtId="0" fontId="55" fillId="5" borderId="9" xfId="31" applyFont="1" applyFill="1" applyBorder="1" applyAlignment="1">
      <alignment horizontal="justify" vertical="top" wrapText="1"/>
      <protection/>
    </xf>
    <xf numFmtId="49" fontId="55" fillId="6" borderId="0" xfId="34" applyNumberFormat="1" applyFont="1" applyFill="1" applyAlignment="1">
      <alignment vertical="top" wrapText="1"/>
      <protection/>
    </xf>
    <xf numFmtId="49" fontId="55" fillId="0" borderId="21" xfId="31" applyNumberFormat="1" applyFont="1" applyBorder="1" applyAlignment="1">
      <alignment vertical="top" wrapText="1"/>
      <protection/>
    </xf>
    <xf numFmtId="0" fontId="55" fillId="7" borderId="9" xfId="34" applyFont="1" applyFill="1" applyBorder="1" applyAlignment="1">
      <alignment horizontal="justify" vertical="top" wrapText="1"/>
      <protection/>
    </xf>
    <xf numFmtId="171" fontId="52" fillId="0" borderId="0" xfId="31" applyNumberFormat="1" applyAlignment="1">
      <alignment horizontal="center" vertical="top"/>
      <protection/>
    </xf>
    <xf numFmtId="0" fontId="52" fillId="0" borderId="21" xfId="31" applyBorder="1" applyAlignment="1">
      <alignment vertical="center"/>
      <protection/>
    </xf>
    <xf numFmtId="0" fontId="55" fillId="5" borderId="9" xfId="35" applyFont="1" applyFill="1" applyBorder="1" applyAlignment="1">
      <alignment horizontal="justify" vertical="top" wrapText="1"/>
      <protection/>
    </xf>
    <xf numFmtId="0" fontId="55" fillId="5" borderId="21" xfId="35" applyFont="1" applyFill="1" applyBorder="1" applyAlignment="1">
      <alignment horizontal="justify" vertical="top" wrapText="1"/>
      <protection/>
    </xf>
    <xf numFmtId="0" fontId="55" fillId="0" borderId="22" xfId="33" applyFont="1" applyBorder="1" applyAlignment="1">
      <alignment horizontal="justify" vertical="center" wrapText="1"/>
      <protection/>
    </xf>
    <xf numFmtId="171" fontId="55" fillId="0" borderId="9" xfId="31" applyNumberFormat="1" applyFont="1" applyBorder="1" applyAlignment="1">
      <alignment horizontal="center" vertical="center" wrapText="1"/>
      <protection/>
    </xf>
    <xf numFmtId="0" fontId="55" fillId="0" borderId="15" xfId="33" applyFont="1" applyBorder="1" applyAlignment="1">
      <alignment horizontal="center" vertical="center" wrapText="1"/>
      <protection/>
    </xf>
    <xf numFmtId="0" fontId="55" fillId="8" borderId="9" xfId="33" applyFont="1" applyFill="1" applyBorder="1" applyAlignment="1">
      <alignment horizontal="justify" vertical="center" wrapText="1"/>
      <protection/>
    </xf>
    <xf numFmtId="170" fontId="55" fillId="8" borderId="9" xfId="33" applyNumberFormat="1" applyFont="1" applyFill="1" applyBorder="1" applyAlignment="1">
      <alignment horizontal="center" vertical="center" wrapText="1"/>
      <protection/>
    </xf>
    <xf numFmtId="170" fontId="55" fillId="9" borderId="9" xfId="33" applyNumberFormat="1" applyFont="1" applyFill="1" applyBorder="1" applyAlignment="1">
      <alignment horizontal="center" vertical="center" wrapText="1"/>
      <protection/>
    </xf>
    <xf numFmtId="0" fontId="55" fillId="9" borderId="9" xfId="33" applyFont="1" applyFill="1" applyBorder="1" applyAlignment="1">
      <alignment horizontal="center" vertical="center" wrapText="1"/>
      <protection/>
    </xf>
    <xf numFmtId="0" fontId="55" fillId="8" borderId="9" xfId="33" applyFont="1" applyFill="1" applyBorder="1" applyAlignment="1">
      <alignment horizontal="center" vertical="center" wrapText="1"/>
      <protection/>
    </xf>
    <xf numFmtId="0" fontId="55" fillId="8" borderId="9" xfId="33" applyFont="1" applyFill="1" applyBorder="1" applyAlignment="1">
      <alignment horizontal="center" vertical="center"/>
      <protection/>
    </xf>
    <xf numFmtId="0" fontId="56" fillId="0" borderId="0" xfId="33" applyFont="1" applyAlignment="1">
      <alignment horizontal="justify" vertical="center"/>
      <protection/>
    </xf>
    <xf numFmtId="0" fontId="56" fillId="0" borderId="0" xfId="33" applyFont="1" applyAlignment="1">
      <alignment horizontal="left" vertical="top"/>
      <protection/>
    </xf>
    <xf numFmtId="0" fontId="56" fillId="0" borderId="0" xfId="33" applyFont="1" applyAlignment="1">
      <alignment horizontal="center" vertical="top"/>
      <protection/>
    </xf>
    <xf numFmtId="0" fontId="62" fillId="0" borderId="0" xfId="33" applyFont="1" applyAlignment="1">
      <alignment horizontal="right" vertical="center" indent="1"/>
      <protection/>
    </xf>
    <xf numFmtId="0" fontId="63" fillId="0" borderId="0" xfId="33" applyFont="1" applyAlignment="1">
      <alignment horizontal="right" vertical="center" indent="1"/>
      <protection/>
    </xf>
    <xf numFmtId="0" fontId="64" fillId="0" borderId="0" xfId="30" applyFont="1">
      <alignment/>
      <protection/>
    </xf>
    <xf numFmtId="4" fontId="64" fillId="0" borderId="0" xfId="30" applyNumberFormat="1" applyFont="1" applyAlignment="1">
      <alignment horizontal="right"/>
      <protection/>
    </xf>
    <xf numFmtId="0" fontId="64" fillId="0" borderId="0" xfId="30" applyFont="1" applyAlignment="1">
      <alignment horizontal="right"/>
      <protection/>
    </xf>
    <xf numFmtId="49" fontId="64" fillId="0" borderId="0" xfId="30" applyNumberFormat="1" applyFont="1" applyAlignment="1">
      <alignment horizontal="left"/>
      <protection/>
    </xf>
    <xf numFmtId="49" fontId="64" fillId="0" borderId="0" xfId="30" applyNumberFormat="1" applyFont="1">
      <alignment/>
      <protection/>
    </xf>
    <xf numFmtId="0" fontId="65" fillId="0" borderId="0" xfId="30" applyFont="1">
      <alignment/>
      <protection/>
    </xf>
    <xf numFmtId="0" fontId="66" fillId="0" borderId="0" xfId="30" applyFont="1">
      <alignment/>
      <protection/>
    </xf>
    <xf numFmtId="0" fontId="64" fillId="10" borderId="0" xfId="30" applyFont="1" applyFill="1">
      <alignment/>
      <protection/>
    </xf>
    <xf numFmtId="4" fontId="64" fillId="0" borderId="23" xfId="30" applyNumberFormat="1" applyFont="1" applyBorder="1" applyAlignment="1">
      <alignment horizontal="right" vertical="center"/>
      <protection/>
    </xf>
    <xf numFmtId="4" fontId="64" fillId="0" borderId="23" xfId="30" applyNumberFormat="1" applyFont="1" applyBorder="1" applyAlignment="1">
      <alignment horizontal="right"/>
      <protection/>
    </xf>
    <xf numFmtId="0" fontId="64" fillId="0" borderId="23" xfId="30" applyFont="1" applyBorder="1">
      <alignment/>
      <protection/>
    </xf>
    <xf numFmtId="0" fontId="64" fillId="0" borderId="23" xfId="30" applyFont="1" applyBorder="1" applyAlignment="1">
      <alignment horizontal="right"/>
      <protection/>
    </xf>
    <xf numFmtId="49" fontId="64" fillId="0" borderId="23" xfId="30" applyNumberFormat="1" applyFont="1" applyBorder="1" applyAlignment="1">
      <alignment horizontal="left"/>
      <protection/>
    </xf>
    <xf numFmtId="49" fontId="64" fillId="0" borderId="23" xfId="30" applyNumberFormat="1" applyFont="1" applyBorder="1">
      <alignment/>
      <protection/>
    </xf>
    <xf numFmtId="49" fontId="64" fillId="0" borderId="0" xfId="30" applyNumberFormat="1" applyFont="1" applyAlignment="1">
      <alignment vertical="top"/>
      <protection/>
    </xf>
    <xf numFmtId="49" fontId="64" fillId="0" borderId="0" xfId="30" applyNumberFormat="1" applyFont="1" applyAlignment="1">
      <alignment vertical="center"/>
      <protection/>
    </xf>
    <xf numFmtId="49" fontId="64" fillId="0" borderId="0" xfId="30" applyNumberFormat="1" applyFont="1" applyAlignment="1">
      <alignment horizontal="left" vertical="center"/>
      <protection/>
    </xf>
    <xf numFmtId="172" fontId="64" fillId="0" borderId="0" xfId="30" applyNumberFormat="1" applyFont="1" applyAlignment="1">
      <alignment horizontal="left" vertical="top" wrapText="1"/>
      <protection/>
    </xf>
    <xf numFmtId="49" fontId="64" fillId="0" borderId="0" xfId="30" applyNumberFormat="1" applyFont="1" applyAlignment="1">
      <alignment horizontal="left" vertical="top" wrapText="1"/>
      <protection/>
    </xf>
    <xf numFmtId="0" fontId="64" fillId="0" borderId="0" xfId="30" applyFont="1" applyAlignment="1">
      <alignment vertical="center"/>
      <protection/>
    </xf>
    <xf numFmtId="4" fontId="64" fillId="0" borderId="16" xfId="30" applyNumberFormat="1" applyFont="1" applyBorder="1" applyAlignment="1">
      <alignment horizontal="right"/>
      <protection/>
    </xf>
    <xf numFmtId="0" fontId="64" fillId="0" borderId="16" xfId="30" applyFont="1" applyBorder="1">
      <alignment/>
      <protection/>
    </xf>
    <xf numFmtId="0" fontId="64" fillId="0" borderId="16" xfId="30" applyFont="1" applyBorder="1" applyAlignment="1">
      <alignment horizontal="right"/>
      <protection/>
    </xf>
    <xf numFmtId="49" fontId="64" fillId="0" borderId="16" xfId="30" applyNumberFormat="1" applyFont="1" applyBorder="1" applyAlignment="1">
      <alignment horizontal="left"/>
      <protection/>
    </xf>
    <xf numFmtId="49" fontId="64" fillId="0" borderId="16" xfId="30" applyNumberFormat="1" applyFont="1" applyBorder="1">
      <alignment/>
      <protection/>
    </xf>
    <xf numFmtId="4" fontId="64" fillId="0" borderId="0" xfId="30" applyNumberFormat="1" applyFont="1" applyAlignment="1">
      <alignment horizontal="right" vertical="center"/>
      <protection/>
    </xf>
    <xf numFmtId="171" fontId="67" fillId="0" borderId="0" xfId="30" applyNumberFormat="1" applyFont="1" applyAlignment="1">
      <alignment horizontal="right"/>
      <protection/>
    </xf>
    <xf numFmtId="49" fontId="67" fillId="0" borderId="0" xfId="30" applyNumberFormat="1" applyFont="1" applyAlignment="1">
      <alignment horizontal="right" vertical="top"/>
      <protection/>
    </xf>
    <xf numFmtId="171" fontId="67" fillId="0" borderId="0" xfId="30" applyNumberFormat="1" applyFont="1" applyAlignment="1">
      <alignment horizontal="right" vertical="center"/>
      <protection/>
    </xf>
    <xf numFmtId="49" fontId="67" fillId="0" borderId="0" xfId="30" applyNumberFormat="1" applyFont="1" applyAlignment="1">
      <alignment horizontal="right"/>
      <protection/>
    </xf>
    <xf numFmtId="49" fontId="67" fillId="0" borderId="0" xfId="30" applyNumberFormat="1" applyFont="1" applyAlignment="1">
      <alignment horizontal="right" vertical="center"/>
      <protection/>
    </xf>
    <xf numFmtId="4" fontId="64" fillId="0" borderId="0" xfId="30" applyNumberFormat="1" applyFont="1" applyAlignment="1">
      <alignment vertical="center"/>
      <protection/>
    </xf>
    <xf numFmtId="0" fontId="64" fillId="0" borderId="0" xfId="30" applyFont="1" applyAlignment="1">
      <alignment horizontal="left"/>
      <protection/>
    </xf>
    <xf numFmtId="4" fontId="64" fillId="0" borderId="0" xfId="30" applyNumberFormat="1" applyFont="1">
      <alignment/>
      <protection/>
    </xf>
    <xf numFmtId="4" fontId="64" fillId="0" borderId="18" xfId="30" applyNumberFormat="1" applyFont="1" applyBorder="1" applyAlignment="1">
      <alignment horizontal="right" vertical="center"/>
      <protection/>
    </xf>
    <xf numFmtId="0" fontId="64" fillId="0" borderId="18" xfId="30" applyFont="1" applyBorder="1" applyAlignment="1">
      <alignment horizontal="center" vertical="center"/>
      <protection/>
    </xf>
    <xf numFmtId="0" fontId="64" fillId="0" borderId="18" xfId="30" applyFont="1" applyBorder="1" applyAlignment="1">
      <alignment horizontal="left" vertical="center"/>
      <protection/>
    </xf>
    <xf numFmtId="49" fontId="64" fillId="0" borderId="18" xfId="30" applyNumberFormat="1" applyFont="1" applyBorder="1" applyAlignment="1">
      <alignment horizontal="left" vertical="center"/>
      <protection/>
    </xf>
    <xf numFmtId="49" fontId="64" fillId="0" borderId="18" xfId="30" applyNumberFormat="1" applyFont="1" applyBorder="1">
      <alignment/>
      <protection/>
    </xf>
    <xf numFmtId="49" fontId="64" fillId="0" borderId="18" xfId="30" applyNumberFormat="1" applyFont="1" applyBorder="1" applyAlignment="1">
      <alignment vertical="top"/>
      <protection/>
    </xf>
    <xf numFmtId="49" fontId="64" fillId="0" borderId="18" xfId="30" applyNumberFormat="1" applyFont="1" applyBorder="1" applyAlignment="1">
      <alignment horizontal="left"/>
      <protection/>
    </xf>
    <xf numFmtId="49" fontId="67" fillId="0" borderId="0" xfId="30" applyNumberFormat="1" applyFont="1" applyAlignment="1">
      <alignment horizontal="left" vertical="top"/>
      <protection/>
    </xf>
    <xf numFmtId="39" fontId="13" fillId="0" borderId="0" xfId="22" applyNumberFormat="1" applyAlignment="1" applyProtection="1">
      <alignment horizontal="right" vertical="top"/>
      <protection locked="0"/>
    </xf>
    <xf numFmtId="37" fontId="13" fillId="0" borderId="0" xfId="22" applyNumberFormat="1" applyAlignment="1" applyProtection="1">
      <alignment horizontal="center" vertical="top"/>
      <protection locked="0"/>
    </xf>
    <xf numFmtId="4" fontId="69" fillId="0" borderId="9" xfId="23" applyNumberFormat="1" applyFont="1" applyBorder="1" applyAlignment="1" applyProtection="1">
      <alignment horizontal="center" vertical="center"/>
      <protection locked="0"/>
    </xf>
    <xf numFmtId="4" fontId="69" fillId="0" borderId="10" xfId="22" applyNumberFormat="1" applyFont="1" applyBorder="1" applyAlignment="1" applyProtection="1">
      <alignment horizontal="right"/>
      <protection locked="0"/>
    </xf>
    <xf numFmtId="4" fontId="69" fillId="0" borderId="9" xfId="22" applyNumberFormat="1" applyFont="1" applyBorder="1" applyProtection="1">
      <alignment/>
      <protection/>
    </xf>
    <xf numFmtId="0" fontId="69" fillId="0" borderId="9" xfId="22" applyFont="1" applyBorder="1" applyAlignment="1" applyProtection="1">
      <alignment horizontal="center" wrapText="1"/>
      <protection/>
    </xf>
    <xf numFmtId="0" fontId="69" fillId="0" borderId="9" xfId="22" applyFont="1" applyBorder="1" applyAlignment="1" applyProtection="1">
      <alignment wrapText="1"/>
      <protection/>
    </xf>
    <xf numFmtId="0" fontId="69" fillId="0" borderId="11" xfId="22" applyFont="1" applyBorder="1" applyAlignment="1" applyProtection="1">
      <alignment horizontal="left" wrapText="1"/>
      <protection locked="0"/>
    </xf>
    <xf numFmtId="37" fontId="69" fillId="0" borderId="9" xfId="22" applyNumberFormat="1" applyFont="1" applyBorder="1" applyAlignment="1" applyProtection="1">
      <alignment horizontal="center" wrapText="1"/>
      <protection locked="0"/>
    </xf>
    <xf numFmtId="4" fontId="69" fillId="0" borderId="9" xfId="23" applyNumberFormat="1" applyFont="1" applyBorder="1" applyAlignment="1" applyProtection="1">
      <alignment horizontal="center" vertical="center" wrapText="1"/>
      <protection locked="0"/>
    </xf>
    <xf numFmtId="4" fontId="69" fillId="0" borderId="10" xfId="22" applyNumberFormat="1" applyFont="1" applyBorder="1" applyAlignment="1" applyProtection="1">
      <alignment horizontal="right" wrapText="1"/>
      <protection locked="0"/>
    </xf>
    <xf numFmtId="4" fontId="70" fillId="0" borderId="9" xfId="22" applyNumberFormat="1" applyFont="1" applyBorder="1" applyProtection="1">
      <alignment/>
      <protection/>
    </xf>
    <xf numFmtId="0" fontId="70" fillId="0" borderId="9" xfId="22" applyFont="1" applyBorder="1" applyAlignment="1" applyProtection="1">
      <alignment horizontal="center" wrapText="1"/>
      <protection/>
    </xf>
    <xf numFmtId="0" fontId="71" fillId="0" borderId="9" xfId="22" applyFont="1" applyBorder="1" applyAlignment="1" applyProtection="1">
      <alignment wrapText="1"/>
      <protection/>
    </xf>
    <xf numFmtId="4" fontId="70" fillId="0" borderId="9" xfId="22" applyNumberFormat="1" applyFont="1" applyBorder="1" applyAlignment="1" applyProtection="1">
      <alignment wrapText="1"/>
      <protection/>
    </xf>
    <xf numFmtId="0" fontId="69" fillId="0" borderId="0" xfId="22" applyFont="1" applyAlignment="1" applyProtection="1">
      <alignment horizontal="left" vertical="top" wrapText="1"/>
      <protection locked="0"/>
    </xf>
    <xf numFmtId="0" fontId="69" fillId="0" borderId="0" xfId="22" applyFont="1" applyAlignment="1" applyProtection="1">
      <alignment horizontal="left" vertical="top"/>
      <protection locked="0"/>
    </xf>
    <xf numFmtId="164" fontId="72" fillId="0" borderId="0" xfId="22" applyNumberFormat="1" applyFont="1" applyAlignment="1" applyProtection="1">
      <alignment horizontal="right"/>
      <protection locked="0"/>
    </xf>
    <xf numFmtId="39" fontId="72" fillId="0" borderId="0" xfId="22" applyNumberFormat="1" applyFont="1" applyAlignment="1" applyProtection="1">
      <alignment horizontal="right"/>
      <protection locked="0"/>
    </xf>
    <xf numFmtId="0" fontId="72" fillId="0" borderId="0" xfId="22" applyFont="1" applyAlignment="1" applyProtection="1">
      <alignment horizontal="left" wrapText="1"/>
      <protection locked="0"/>
    </xf>
    <xf numFmtId="37" fontId="72" fillId="0" borderId="0" xfId="22" applyNumberFormat="1" applyFont="1" applyAlignment="1" applyProtection="1">
      <alignment horizontal="center"/>
      <protection locked="0"/>
    </xf>
    <xf numFmtId="37" fontId="14" fillId="0" borderId="0" xfId="22" applyNumberFormat="1" applyFont="1" applyAlignment="1" applyProtection="1">
      <alignment horizontal="center"/>
      <protection locked="0"/>
    </xf>
    <xf numFmtId="39" fontId="16" fillId="0" borderId="0" xfId="22" applyNumberFormat="1" applyFont="1" applyAlignment="1" applyProtection="1">
      <alignment horizontal="right"/>
      <protection locked="0"/>
    </xf>
    <xf numFmtId="37" fontId="16" fillId="0" borderId="0" xfId="22" applyNumberFormat="1" applyFont="1" applyAlignment="1" applyProtection="1">
      <alignment horizontal="center"/>
      <protection locked="0"/>
    </xf>
    <xf numFmtId="0" fontId="18" fillId="2" borderId="9" xfId="22" applyFont="1" applyFill="1" applyBorder="1" applyAlignment="1" applyProtection="1">
      <alignment horizontal="center" vertical="center" wrapText="1"/>
      <protection/>
    </xf>
    <xf numFmtId="0" fontId="18" fillId="2" borderId="9" xfId="23" applyFont="1" applyFill="1" applyBorder="1" applyAlignment="1" applyProtection="1">
      <alignment horizontal="center" vertical="center" wrapText="1"/>
      <protection/>
    </xf>
    <xf numFmtId="39" fontId="19" fillId="0" borderId="0" xfId="22" applyNumberFormat="1" applyFont="1" applyAlignment="1" applyProtection="1">
      <alignment horizontal="right" vertical="top"/>
      <protection/>
    </xf>
    <xf numFmtId="39" fontId="17" fillId="0" borderId="0" xfId="22" applyNumberFormat="1" applyFont="1" applyAlignment="1" applyProtection="1">
      <alignment horizontal="right" vertical="top"/>
      <protection/>
    </xf>
    <xf numFmtId="37" fontId="20" fillId="0" borderId="0" xfId="22" applyNumberFormat="1" applyFont="1" applyAlignment="1" applyProtection="1">
      <alignment horizontal="center" vertical="top"/>
      <protection/>
    </xf>
    <xf numFmtId="0" fontId="2" fillId="0" borderId="9" xfId="24" applyFont="1" applyBorder="1" applyAlignment="1" applyProtection="1">
      <alignment vertical="center"/>
      <protection locked="0"/>
    </xf>
    <xf numFmtId="2" fontId="2" fillId="0" borderId="9" xfId="24" applyNumberFormat="1" applyFont="1" applyBorder="1" applyAlignment="1" applyProtection="1">
      <alignment vertical="center"/>
      <protection locked="0"/>
    </xf>
    <xf numFmtId="0" fontId="26" fillId="0" borderId="9" xfId="24" applyFont="1" applyBorder="1" applyAlignment="1" applyProtection="1">
      <alignment vertical="center"/>
      <protection locked="0"/>
    </xf>
    <xf numFmtId="2" fontId="26" fillId="0" borderId="9" xfId="24" applyNumberFormat="1" applyFont="1" applyBorder="1" applyAlignment="1" applyProtection="1">
      <alignment vertical="center"/>
      <protection locked="0"/>
    </xf>
    <xf numFmtId="4" fontId="34" fillId="0" borderId="0" xfId="30" applyNumberFormat="1">
      <alignment/>
      <protection/>
    </xf>
    <xf numFmtId="4" fontId="9" fillId="0" borderId="23" xfId="20" applyNumberFormat="1" applyFont="1" applyBorder="1" applyAlignment="1">
      <alignment horizontal="right" vertical="center"/>
      <protection/>
    </xf>
    <xf numFmtId="4" fontId="9" fillId="0" borderId="24" xfId="20" applyNumberFormat="1" applyFont="1" applyBorder="1" applyAlignment="1">
      <alignment horizontal="right" vertical="center"/>
      <protection/>
    </xf>
    <xf numFmtId="0" fontId="1" fillId="0" borderId="0" xfId="20" applyFont="1" applyAlignment="1">
      <alignment horizontal="left" vertical="center" wrapText="1"/>
      <protection/>
    </xf>
    <xf numFmtId="0" fontId="9" fillId="0" borderId="25" xfId="20" applyFont="1" applyBorder="1" applyAlignment="1">
      <alignment horizontal="left" vertical="center"/>
      <protection/>
    </xf>
    <xf numFmtId="0" fontId="9" fillId="0" borderId="1" xfId="20" applyFont="1" applyBorder="1" applyAlignment="1">
      <alignment horizontal="left" vertical="center" wrapText="1"/>
      <protection/>
    </xf>
    <xf numFmtId="0" fontId="9" fillId="0" borderId="0" xfId="20" applyFont="1" applyAlignment="1">
      <alignment horizontal="left" vertical="center" wrapText="1"/>
      <protection/>
    </xf>
    <xf numFmtId="0" fontId="9" fillId="0" borderId="0" xfId="20" applyFont="1" applyAlignment="1">
      <alignment horizontal="left" vertical="center"/>
      <protection/>
    </xf>
    <xf numFmtId="0" fontId="9" fillId="0" borderId="26" xfId="20" applyFont="1" applyBorder="1" applyAlignment="1">
      <alignment horizontal="left" vertical="center" wrapText="1"/>
      <protection/>
    </xf>
    <xf numFmtId="0" fontId="6" fillId="0" borderId="27" xfId="20" applyFont="1" applyBorder="1" applyAlignment="1">
      <alignment horizontal="left" vertical="center" wrapText="1"/>
      <protection/>
    </xf>
    <xf numFmtId="0" fontId="9" fillId="0" borderId="27" xfId="20" applyFont="1" applyBorder="1" applyAlignment="1">
      <alignment horizontal="left" vertical="center" wrapText="1"/>
      <protection/>
    </xf>
    <xf numFmtId="0" fontId="6" fillId="0" borderId="0" xfId="20" applyFont="1" applyAlignment="1">
      <alignment horizontal="left" vertical="center"/>
      <protection/>
    </xf>
    <xf numFmtId="0" fontId="9" fillId="0" borderId="6" xfId="20" applyFont="1" applyBorder="1" applyAlignment="1">
      <alignment horizontal="left" vertical="center" wrapText="1"/>
      <protection/>
    </xf>
    <xf numFmtId="0" fontId="9" fillId="0" borderId="28" xfId="20" applyFont="1" applyBorder="1" applyAlignment="1">
      <alignment horizontal="left" vertical="center"/>
      <protection/>
    </xf>
    <xf numFmtId="0" fontId="6" fillId="0" borderId="29" xfId="20" applyFont="1" applyBorder="1" applyAlignment="1">
      <alignment horizontal="center" vertical="center"/>
      <protection/>
    </xf>
    <xf numFmtId="0" fontId="6" fillId="0" borderId="30" xfId="20" applyFont="1" applyBorder="1" applyAlignment="1">
      <alignment horizontal="left" vertical="center"/>
      <protection/>
    </xf>
    <xf numFmtId="0" fontId="11" fillId="0" borderId="0" xfId="20" applyFont="1" applyAlignment="1">
      <alignment horizontal="center" vertical="center"/>
      <protection/>
    </xf>
    <xf numFmtId="0" fontId="9" fillId="0" borderId="31" xfId="20" applyFont="1" applyBorder="1" applyAlignment="1">
      <alignment horizontal="left" vertical="center" wrapText="1"/>
      <protection/>
    </xf>
    <xf numFmtId="0" fontId="22" fillId="0" borderId="0" xfId="22" applyFont="1" applyAlignment="1" applyProtection="1">
      <alignment horizontal="center" vertical="center"/>
      <protection/>
    </xf>
    <xf numFmtId="0" fontId="21" fillId="0" borderId="0" xfId="22" applyFont="1" applyAlignment="1" applyProtection="1">
      <alignment horizontal="left" wrapText="1"/>
      <protection/>
    </xf>
    <xf numFmtId="0" fontId="50" fillId="0" borderId="0" xfId="30" applyFont="1" applyAlignment="1">
      <alignment horizontal="center"/>
      <protection/>
    </xf>
    <xf numFmtId="49" fontId="34" fillId="0" borderId="18" xfId="30" applyNumberFormat="1" applyBorder="1" applyAlignment="1">
      <alignment vertical="center"/>
      <protection/>
    </xf>
    <xf numFmtId="0" fontId="34" fillId="0" borderId="18" xfId="30" applyBorder="1" applyAlignment="1">
      <alignment vertical="center"/>
      <protection/>
    </xf>
    <xf numFmtId="0" fontId="34" fillId="0" borderId="10" xfId="30" applyBorder="1" applyAlignment="1">
      <alignment vertical="center"/>
      <protection/>
    </xf>
    <xf numFmtId="49" fontId="34" fillId="3" borderId="18" xfId="30" applyNumberFormat="1" applyFill="1" applyBorder="1" applyAlignment="1">
      <alignment vertical="center"/>
      <protection/>
    </xf>
    <xf numFmtId="0" fontId="34" fillId="3" borderId="18" xfId="30" applyFill="1" applyBorder="1" applyAlignment="1">
      <alignment vertical="center"/>
      <protection/>
    </xf>
    <xf numFmtId="0" fontId="34" fillId="3" borderId="10" xfId="30" applyFill="1" applyBorder="1" applyAlignment="1">
      <alignment vertical="center"/>
      <protection/>
    </xf>
    <xf numFmtId="0" fontId="47" fillId="0" borderId="16" xfId="30" applyFont="1" applyBorder="1" applyAlignment="1">
      <alignment horizontal="left" vertical="top" wrapText="1"/>
      <protection/>
    </xf>
    <xf numFmtId="0" fontId="47" fillId="0" borderId="16" xfId="30" applyFont="1" applyBorder="1" applyAlignment="1">
      <alignment vertical="top" wrapText="1"/>
      <protection/>
    </xf>
    <xf numFmtId="0" fontId="47" fillId="0" borderId="0" xfId="30" applyFont="1" applyAlignment="1">
      <alignment horizontal="left" vertical="top" wrapText="1"/>
      <protection/>
    </xf>
    <xf numFmtId="0" fontId="47" fillId="0" borderId="0" xfId="30" applyFont="1" applyAlignment="1">
      <alignment vertical="top" wrapText="1"/>
      <protection/>
    </xf>
    <xf numFmtId="0" fontId="52" fillId="0" borderId="0" xfId="31" applyAlignment="1">
      <alignment horizontal="center" vertical="center" wrapText="1"/>
      <protection/>
    </xf>
    <xf numFmtId="0" fontId="57" fillId="0" borderId="11" xfId="31" applyFont="1" applyBorder="1" applyAlignment="1">
      <alignment horizontal="center" vertical="center"/>
      <protection/>
    </xf>
    <xf numFmtId="0" fontId="57" fillId="0" borderId="18" xfId="31" applyFont="1" applyBorder="1" applyAlignment="1">
      <alignment horizontal="center" vertical="center"/>
      <protection/>
    </xf>
    <xf numFmtId="0" fontId="57" fillId="0" borderId="10" xfId="31" applyFont="1" applyBorder="1" applyAlignment="1">
      <alignment horizontal="center" vertical="center"/>
      <protection/>
    </xf>
    <xf numFmtId="14" fontId="63" fillId="0" borderId="21" xfId="33" applyNumberFormat="1" applyFont="1" applyBorder="1" applyAlignment="1">
      <alignment horizontal="left" vertical="center" indent="1"/>
      <protection/>
    </xf>
    <xf numFmtId="0" fontId="63" fillId="0" borderId="0" xfId="33" applyFont="1" applyAlignment="1">
      <alignment horizontal="left" vertical="center" indent="1"/>
      <protection/>
    </xf>
    <xf numFmtId="0" fontId="62" fillId="0" borderId="21" xfId="33" applyFont="1" applyBorder="1" applyAlignment="1">
      <alignment horizontal="left" vertical="center" indent="1"/>
      <protection/>
    </xf>
    <xf numFmtId="0" fontId="62" fillId="0" borderId="0" xfId="33" applyFont="1" applyAlignment="1">
      <alignment horizontal="left" vertical="center" indent="1"/>
      <protection/>
    </xf>
    <xf numFmtId="0" fontId="55" fillId="11" borderId="11" xfId="33" applyFont="1" applyFill="1" applyBorder="1" applyAlignment="1">
      <alignment horizontal="center" vertical="center" wrapText="1"/>
      <protection/>
    </xf>
    <xf numFmtId="0" fontId="55" fillId="11" borderId="18" xfId="33" applyFont="1" applyFill="1" applyBorder="1" applyAlignment="1">
      <alignment horizontal="center" vertical="center" wrapText="1"/>
      <protection/>
    </xf>
    <xf numFmtId="0" fontId="55" fillId="11" borderId="10" xfId="33" applyFont="1" applyFill="1" applyBorder="1" applyAlignment="1">
      <alignment horizontal="center" vertical="center" wrapText="1"/>
      <protection/>
    </xf>
    <xf numFmtId="0" fontId="63" fillId="0" borderId="0" xfId="33" applyFont="1" applyAlignment="1">
      <alignment horizontal="right" vertical="center" indent="1"/>
      <protection/>
    </xf>
    <xf numFmtId="0" fontId="63" fillId="0" borderId="32" xfId="33" applyFont="1" applyBorder="1" applyAlignment="1">
      <alignment horizontal="right" vertical="center" indent="1"/>
      <protection/>
    </xf>
    <xf numFmtId="0" fontId="62" fillId="0" borderId="0" xfId="33" applyFont="1" applyAlignment="1">
      <alignment horizontal="right" vertical="center" indent="1"/>
      <protection/>
    </xf>
    <xf numFmtId="0" fontId="62" fillId="0" borderId="32" xfId="33" applyFont="1" applyBorder="1" applyAlignment="1">
      <alignment horizontal="right" vertical="center" indent="1"/>
      <protection/>
    </xf>
    <xf numFmtId="0" fontId="0" fillId="11" borderId="11" xfId="33" applyFont="1" applyFill="1" applyBorder="1" applyAlignment="1">
      <alignment horizontal="center" vertical="center" wrapText="1"/>
      <protection/>
    </xf>
    <xf numFmtId="0" fontId="0" fillId="11" borderId="18" xfId="33" applyFont="1" applyFill="1" applyBorder="1" applyAlignment="1">
      <alignment horizontal="center" vertical="center" wrapText="1"/>
      <protection/>
    </xf>
    <xf numFmtId="0" fontId="0" fillId="11" borderId="10" xfId="33" applyFont="1" applyFill="1" applyBorder="1" applyAlignment="1">
      <alignment horizontal="center" vertical="center" wrapText="1"/>
      <protection/>
    </xf>
    <xf numFmtId="49" fontId="64" fillId="0" borderId="0" xfId="30" applyNumberFormat="1" applyFont="1" applyAlignment="1" applyProtection="1">
      <alignment horizontal="right" vertical="center"/>
      <protection locked="0"/>
    </xf>
    <xf numFmtId="49" fontId="64" fillId="0" borderId="23" xfId="30" applyNumberFormat="1" applyFont="1" applyBorder="1" applyAlignment="1" applyProtection="1">
      <alignment horizontal="right" vertical="center"/>
      <protection locked="0"/>
    </xf>
    <xf numFmtId="172" fontId="64" fillId="0" borderId="0" xfId="30" applyNumberFormat="1" applyFont="1" applyAlignment="1">
      <alignment horizontal="left" vertical="top" wrapText="1"/>
      <protection/>
    </xf>
    <xf numFmtId="0" fontId="11" fillId="0" borderId="0" xfId="20" applyFont="1" applyAlignment="1" applyProtection="1">
      <alignment horizontal="center" vertical="center" wrapText="1"/>
      <protection/>
    </xf>
    <xf numFmtId="0" fontId="2" fillId="0" borderId="0" xfId="20" applyProtection="1">
      <alignment/>
      <protection/>
    </xf>
    <xf numFmtId="0" fontId="9" fillId="0" borderId="26" xfId="20" applyFont="1" applyBorder="1" applyAlignment="1" applyProtection="1">
      <alignment horizontal="left" vertical="center" wrapText="1"/>
      <protection/>
    </xf>
    <xf numFmtId="0" fontId="6" fillId="0" borderId="27" xfId="20" applyFont="1" applyBorder="1" applyAlignment="1" applyProtection="1">
      <alignment horizontal="left" vertical="center" wrapText="1"/>
      <protection/>
    </xf>
    <xf numFmtId="0" fontId="9" fillId="0" borderId="27" xfId="20" applyFont="1" applyBorder="1" applyAlignment="1" applyProtection="1">
      <alignment horizontal="left" vertical="center" wrapText="1"/>
      <protection/>
    </xf>
    <xf numFmtId="0" fontId="9" fillId="0" borderId="31" xfId="20" applyFont="1" applyBorder="1" applyAlignment="1" applyProtection="1">
      <alignment horizontal="left" vertical="center"/>
      <protection/>
    </xf>
    <xf numFmtId="0" fontId="9" fillId="0" borderId="1" xfId="20" applyFont="1" applyBorder="1" applyAlignment="1" applyProtection="1">
      <alignment horizontal="left" vertical="center" wrapText="1"/>
      <protection/>
    </xf>
    <xf numFmtId="0" fontId="9" fillId="0" borderId="0" xfId="20" applyFont="1" applyAlignment="1" applyProtection="1">
      <alignment horizontal="left" vertical="center" wrapText="1"/>
      <protection/>
    </xf>
    <xf numFmtId="0" fontId="9" fillId="0" borderId="6" xfId="20" applyFont="1" applyBorder="1" applyAlignment="1" applyProtection="1">
      <alignment horizontal="left" vertical="center"/>
      <protection/>
    </xf>
    <xf numFmtId="0" fontId="9" fillId="0" borderId="0" xfId="20" applyFont="1" applyAlignment="1" applyProtection="1">
      <alignment horizontal="left" vertical="center"/>
      <protection/>
    </xf>
    <xf numFmtId="1" fontId="9" fillId="0" borderId="6" xfId="20" applyNumberFormat="1" applyFont="1" applyBorder="1" applyAlignment="1" applyProtection="1">
      <alignment horizontal="left" vertical="center"/>
      <protection/>
    </xf>
    <xf numFmtId="0" fontId="9" fillId="0" borderId="5" xfId="20" applyFont="1" applyBorder="1" applyAlignment="1" applyProtection="1">
      <alignment horizontal="left" vertical="center" wrapText="1"/>
      <protection/>
    </xf>
    <xf numFmtId="0" fontId="9" fillId="0" borderId="25" xfId="20" applyFont="1" applyBorder="1" applyAlignment="1" applyProtection="1">
      <alignment horizontal="left" vertical="center" wrapText="1"/>
      <protection/>
    </xf>
    <xf numFmtId="0" fontId="9" fillId="0" borderId="25" xfId="20" applyFont="1" applyBorder="1" applyAlignment="1" applyProtection="1">
      <alignment horizontal="left" vertical="center"/>
      <protection/>
    </xf>
    <xf numFmtId="0" fontId="9" fillId="0" borderId="33" xfId="20" applyFont="1" applyBorder="1" applyAlignment="1" applyProtection="1">
      <alignment horizontal="left" vertical="center" wrapText="1"/>
      <protection/>
    </xf>
    <xf numFmtId="0" fontId="75" fillId="0" borderId="0" xfId="20" applyFont="1" applyAlignment="1" applyProtection="1">
      <alignment horizontal="center" vertical="center"/>
      <protection/>
    </xf>
    <xf numFmtId="0" fontId="3" fillId="0" borderId="0" xfId="20" applyFont="1" applyProtection="1">
      <alignment/>
      <protection/>
    </xf>
    <xf numFmtId="0" fontId="74" fillId="12" borderId="34" xfId="20" applyFont="1" applyFill="1" applyBorder="1" applyAlignment="1" applyProtection="1">
      <alignment horizontal="left" vertical="center"/>
      <protection/>
    </xf>
    <xf numFmtId="4" fontId="74" fillId="12" borderId="35" xfId="20" applyNumberFormat="1" applyFont="1" applyFill="1" applyBorder="1" applyAlignment="1" applyProtection="1">
      <alignment horizontal="right" vertical="center"/>
      <protection/>
    </xf>
    <xf numFmtId="0" fontId="74" fillId="12" borderId="5" xfId="20" applyFont="1" applyFill="1" applyBorder="1" applyAlignment="1" applyProtection="1">
      <alignment horizontal="left" vertical="center"/>
      <protection/>
    </xf>
    <xf numFmtId="4" fontId="74" fillId="12" borderId="33" xfId="20" applyNumberFormat="1" applyFont="1" applyFill="1" applyBorder="1" applyAlignment="1" applyProtection="1">
      <alignment horizontal="right" vertical="center"/>
      <protection/>
    </xf>
    <xf numFmtId="0" fontId="74" fillId="12" borderId="36" xfId="20" applyFont="1" applyFill="1" applyBorder="1" applyAlignment="1" applyProtection="1">
      <alignment horizontal="left" vertical="center"/>
      <protection/>
    </xf>
    <xf numFmtId="0" fontId="74" fillId="12" borderId="25" xfId="20" applyFont="1" applyFill="1" applyBorder="1" applyAlignment="1" applyProtection="1">
      <alignment horizontal="left" vertical="center"/>
      <protection/>
    </xf>
    <xf numFmtId="0" fontId="73" fillId="0" borderId="37" xfId="20" applyFont="1" applyBorder="1" applyAlignment="1" applyProtection="1">
      <alignment horizontal="left" vertical="center"/>
      <protection/>
    </xf>
    <xf numFmtId="0" fontId="73" fillId="0" borderId="38" xfId="20" applyFont="1" applyBorder="1" applyAlignment="1" applyProtection="1">
      <alignment horizontal="left" vertical="center"/>
      <protection/>
    </xf>
    <xf numFmtId="0" fontId="73" fillId="0" borderId="39" xfId="20" applyFont="1" applyBorder="1" applyAlignment="1" applyProtection="1">
      <alignment horizontal="left" vertical="center"/>
      <protection/>
    </xf>
    <xf numFmtId="0" fontId="73" fillId="0" borderId="40" xfId="20" applyFont="1" applyBorder="1" applyAlignment="1" applyProtection="1">
      <alignment horizontal="left" vertical="center"/>
      <protection/>
    </xf>
    <xf numFmtId="0" fontId="73" fillId="0" borderId="41" xfId="20" applyFont="1" applyBorder="1" applyAlignment="1" applyProtection="1">
      <alignment horizontal="left" vertical="center"/>
      <protection/>
    </xf>
    <xf numFmtId="0" fontId="73" fillId="0" borderId="4" xfId="20" applyFont="1" applyBorder="1" applyAlignment="1" applyProtection="1">
      <alignment horizontal="left" vertical="center"/>
      <protection/>
    </xf>
    <xf numFmtId="0" fontId="5" fillId="0" borderId="0" xfId="20" applyFont="1" applyAlignment="1" applyProtection="1">
      <alignment horizontal="left" vertical="center"/>
      <protection/>
    </xf>
    <xf numFmtId="0" fontId="1" fillId="0" borderId="0" xfId="20" applyFont="1" applyAlignment="1" applyProtection="1">
      <alignment horizontal="left" vertical="center" wrapText="1"/>
      <protection/>
    </xf>
    <xf numFmtId="0" fontId="3" fillId="0" borderId="0" xfId="20" applyFont="1" applyProtection="1">
      <alignment/>
      <protection/>
    </xf>
    <xf numFmtId="0" fontId="3" fillId="0" borderId="0" xfId="20" applyFont="1" applyProtection="1">
      <alignment/>
      <protection locked="0"/>
    </xf>
    <xf numFmtId="4" fontId="9" fillId="0" borderId="0" xfId="20" applyNumberFormat="1" applyFont="1" applyAlignment="1" applyProtection="1">
      <alignment horizontal="right" vertical="center"/>
      <protection locked="0"/>
    </xf>
    <xf numFmtId="0" fontId="3" fillId="0" borderId="25" xfId="20" applyFont="1" applyBorder="1" applyProtection="1">
      <alignment/>
      <protection locked="0"/>
    </xf>
    <xf numFmtId="0" fontId="6" fillId="0" borderId="42" xfId="20" applyFont="1" applyBorder="1" applyAlignment="1" applyProtection="1">
      <alignment horizontal="left" vertical="center"/>
      <protection/>
    </xf>
    <xf numFmtId="0" fontId="6" fillId="0" borderId="43" xfId="20" applyFont="1" applyBorder="1" applyAlignment="1" applyProtection="1">
      <alignment horizontal="left" vertical="center"/>
      <protection/>
    </xf>
    <xf numFmtId="0" fontId="6" fillId="0" borderId="43" xfId="20" applyFont="1" applyBorder="1" applyAlignment="1" applyProtection="1">
      <alignment horizontal="left" vertical="center"/>
      <protection/>
    </xf>
    <xf numFmtId="0" fontId="6" fillId="0" borderId="43" xfId="20" applyFont="1" applyBorder="1" applyAlignment="1" applyProtection="1">
      <alignment horizontal="center" vertical="center"/>
      <protection/>
    </xf>
    <xf numFmtId="0" fontId="6" fillId="0" borderId="28" xfId="20" applyFont="1" applyBorder="1" applyAlignment="1" applyProtection="1">
      <alignment horizontal="center" vertical="center"/>
      <protection/>
    </xf>
    <xf numFmtId="0" fontId="6" fillId="0" borderId="29" xfId="20" applyFont="1" applyBorder="1" applyAlignment="1" applyProtection="1">
      <alignment horizontal="center" vertical="center"/>
      <protection/>
    </xf>
    <xf numFmtId="0" fontId="6" fillId="0" borderId="44" xfId="20" applyFont="1" applyBorder="1" applyAlignment="1" applyProtection="1">
      <alignment horizontal="center" vertical="center"/>
      <protection/>
    </xf>
    <xf numFmtId="0" fontId="6" fillId="0" borderId="8" xfId="20" applyFont="1" applyBorder="1" applyAlignment="1" applyProtection="1">
      <alignment horizontal="center" vertical="center"/>
      <protection/>
    </xf>
    <xf numFmtId="0" fontId="9" fillId="0" borderId="45" xfId="20" applyFont="1" applyBorder="1" applyAlignment="1" applyProtection="1">
      <alignment horizontal="left" vertical="center"/>
      <protection/>
    </xf>
    <xf numFmtId="0" fontId="9" fillId="0" borderId="3" xfId="20" applyFont="1" applyBorder="1" applyAlignment="1" applyProtection="1">
      <alignment horizontal="left" vertical="center"/>
      <protection/>
    </xf>
    <xf numFmtId="0" fontId="6" fillId="0" borderId="3" xfId="20" applyFont="1" applyBorder="1" applyAlignment="1" applyProtection="1">
      <alignment horizontal="left" vertical="center"/>
      <protection/>
    </xf>
    <xf numFmtId="0" fontId="6" fillId="0" borderId="30" xfId="20" applyFont="1" applyBorder="1" applyAlignment="1" applyProtection="1">
      <alignment horizontal="center" vertical="center"/>
      <protection/>
    </xf>
    <xf numFmtId="0" fontId="6" fillId="0" borderId="2" xfId="20" applyFont="1" applyBorder="1" applyAlignment="1" applyProtection="1">
      <alignment horizontal="center" vertical="center"/>
      <protection/>
    </xf>
    <xf numFmtId="0" fontId="6" fillId="0" borderId="3" xfId="20" applyFont="1" applyBorder="1" applyAlignment="1" applyProtection="1">
      <alignment horizontal="center" vertical="center"/>
      <protection/>
    </xf>
    <xf numFmtId="0" fontId="6" fillId="0" borderId="4" xfId="20" applyFont="1" applyBorder="1" applyAlignment="1" applyProtection="1">
      <alignment horizontal="center" vertical="center"/>
      <protection/>
    </xf>
    <xf numFmtId="0" fontId="11" fillId="0" borderId="0" xfId="20" applyFont="1" applyAlignment="1" applyProtection="1">
      <alignment horizontal="center" vertical="center"/>
      <protection/>
    </xf>
    <xf numFmtId="0" fontId="4" fillId="0" borderId="0" xfId="20" applyFont="1" applyProtection="1">
      <alignment/>
      <protection/>
    </xf>
    <xf numFmtId="4" fontId="6" fillId="12" borderId="0" xfId="20" applyNumberFormat="1" applyFont="1" applyFill="1" applyAlignment="1" applyProtection="1">
      <alignment horizontal="right" vertical="center"/>
      <protection/>
    </xf>
    <xf numFmtId="0" fontId="9" fillId="0" borderId="27" xfId="20" applyFont="1" applyBorder="1" applyAlignment="1" applyProtection="1">
      <alignment horizontal="left" vertical="center"/>
      <protection/>
    </xf>
    <xf numFmtId="0" fontId="9" fillId="0" borderId="31" xfId="20" applyFont="1" applyBorder="1" applyAlignment="1" applyProtection="1">
      <alignment horizontal="left" vertical="center" wrapText="1"/>
      <protection/>
    </xf>
    <xf numFmtId="0" fontId="9" fillId="0" borderId="6" xfId="20" applyFont="1" applyBorder="1" applyAlignment="1" applyProtection="1">
      <alignment horizontal="left" vertical="center" wrapText="1"/>
      <protection/>
    </xf>
    <xf numFmtId="0" fontId="6" fillId="12" borderId="0" xfId="20" applyFont="1" applyFill="1" applyAlignment="1" applyProtection="1">
      <alignment horizontal="right" vertical="center"/>
      <protection/>
    </xf>
    <xf numFmtId="0" fontId="6" fillId="0" borderId="0" xfId="20" applyFont="1" applyAlignment="1" applyProtection="1">
      <alignment horizontal="right" vertical="center"/>
      <protection/>
    </xf>
    <xf numFmtId="0" fontId="9" fillId="13" borderId="1" xfId="20" applyFont="1" applyFill="1" applyBorder="1" applyAlignment="1" applyProtection="1">
      <alignment horizontal="left" vertical="center"/>
      <protection/>
    </xf>
    <xf numFmtId="0" fontId="6" fillId="13" borderId="0" xfId="20" applyFont="1" applyFill="1" applyAlignment="1" applyProtection="1">
      <alignment horizontal="left" vertical="center"/>
      <protection/>
    </xf>
    <xf numFmtId="0" fontId="6" fillId="13" borderId="0" xfId="20" applyFont="1" applyFill="1" applyAlignment="1" applyProtection="1">
      <alignment horizontal="left" vertical="center"/>
      <protection/>
    </xf>
    <xf numFmtId="0" fontId="9" fillId="13" borderId="0" xfId="20" applyFont="1" applyFill="1" applyAlignment="1" applyProtection="1">
      <alignment horizontal="left" vertical="center"/>
      <protection/>
    </xf>
    <xf numFmtId="4" fontId="6" fillId="13" borderId="0" xfId="20" applyNumberFormat="1" applyFont="1" applyFill="1" applyAlignment="1" applyProtection="1">
      <alignment horizontal="right" vertical="center"/>
      <protection/>
    </xf>
    <xf numFmtId="0" fontId="6" fillId="13" borderId="0" xfId="20" applyFont="1" applyFill="1" applyAlignment="1" applyProtection="1">
      <alignment horizontal="right" vertical="center"/>
      <protection/>
    </xf>
    <xf numFmtId="0" fontId="6" fillId="13" borderId="6" xfId="20" applyFont="1" applyFill="1" applyBorder="1" applyAlignment="1" applyProtection="1">
      <alignment horizontal="right" vertical="center"/>
      <protection/>
    </xf>
    <xf numFmtId="0" fontId="9" fillId="12" borderId="1" xfId="20" applyFont="1" applyFill="1" applyBorder="1" applyAlignment="1" applyProtection="1">
      <alignment horizontal="left" vertical="center"/>
      <protection/>
    </xf>
    <xf numFmtId="0" fontId="6" fillId="12" borderId="0" xfId="20" applyFont="1" applyFill="1" applyAlignment="1" applyProtection="1">
      <alignment horizontal="left" vertical="center"/>
      <protection/>
    </xf>
    <xf numFmtId="0" fontId="6" fillId="12" borderId="0" xfId="20" applyFont="1" applyFill="1" applyAlignment="1" applyProtection="1">
      <alignment horizontal="left" vertical="center"/>
      <protection/>
    </xf>
    <xf numFmtId="0" fontId="9" fillId="12" borderId="0" xfId="20" applyFont="1" applyFill="1" applyAlignment="1" applyProtection="1">
      <alignment horizontal="left" vertical="center"/>
      <protection/>
    </xf>
    <xf numFmtId="0" fontId="6" fillId="12" borderId="6" xfId="20" applyFont="1" applyFill="1" applyBorder="1" applyAlignment="1" applyProtection="1">
      <alignment horizontal="right" vertical="center"/>
      <protection/>
    </xf>
    <xf numFmtId="0" fontId="9" fillId="0" borderId="1" xfId="20" applyFont="1" applyBorder="1" applyAlignment="1" applyProtection="1">
      <alignment horizontal="left" vertical="center"/>
      <protection/>
    </xf>
    <xf numFmtId="0" fontId="9" fillId="0" borderId="0" xfId="20" applyFont="1" applyAlignment="1" applyProtection="1">
      <alignment horizontal="left" vertical="center"/>
      <protection/>
    </xf>
    <xf numFmtId="4" fontId="9" fillId="0" borderId="0" xfId="20" applyNumberFormat="1" applyFont="1" applyAlignment="1" applyProtection="1">
      <alignment horizontal="right" vertical="center"/>
      <protection/>
    </xf>
    <xf numFmtId="0" fontId="9" fillId="0" borderId="6" xfId="20" applyFont="1" applyBorder="1" applyAlignment="1" applyProtection="1">
      <alignment horizontal="right" vertical="center"/>
      <protection/>
    </xf>
    <xf numFmtId="0" fontId="9" fillId="0" borderId="0" xfId="20" applyFont="1" applyAlignment="1" applyProtection="1">
      <alignment horizontal="right" vertical="center"/>
      <protection/>
    </xf>
    <xf numFmtId="0" fontId="3" fillId="0" borderId="1" xfId="20" applyFont="1" applyBorder="1" applyProtection="1">
      <alignment/>
      <protection/>
    </xf>
    <xf numFmtId="0" fontId="7" fillId="0" borderId="0" xfId="20" applyFont="1" applyAlignment="1" applyProtection="1">
      <alignment horizontal="left" vertical="center"/>
      <protection/>
    </xf>
    <xf numFmtId="0" fontId="8" fillId="0" borderId="0" xfId="20" applyFont="1" applyAlignment="1" applyProtection="1">
      <alignment horizontal="left" vertical="center"/>
      <protection/>
    </xf>
    <xf numFmtId="4" fontId="7" fillId="0" borderId="0" xfId="20" applyNumberFormat="1" applyFont="1" applyAlignment="1" applyProtection="1">
      <alignment horizontal="right" vertical="center"/>
      <protection/>
    </xf>
    <xf numFmtId="0" fontId="3" fillId="0" borderId="6" xfId="20" applyFont="1" applyBorder="1" applyProtection="1">
      <alignment/>
      <protection/>
    </xf>
    <xf numFmtId="0" fontId="10" fillId="0" borderId="6" xfId="20" applyFont="1" applyBorder="1" applyAlignment="1" applyProtection="1">
      <alignment horizontal="left" vertical="center" wrapText="1"/>
      <protection/>
    </xf>
    <xf numFmtId="0" fontId="3" fillId="0" borderId="5" xfId="20" applyFont="1" applyBorder="1" applyProtection="1">
      <alignment/>
      <protection/>
    </xf>
    <xf numFmtId="0" fontId="3" fillId="0" borderId="25" xfId="20" applyFont="1" applyBorder="1" applyProtection="1">
      <alignment/>
      <protection/>
    </xf>
    <xf numFmtId="0" fontId="7" fillId="0" borderId="25" xfId="20" applyFont="1" applyBorder="1" applyAlignment="1" applyProtection="1">
      <alignment horizontal="left" vertical="center"/>
      <protection/>
    </xf>
    <xf numFmtId="0" fontId="8" fillId="0" borderId="25" xfId="20" applyFont="1" applyBorder="1" applyAlignment="1" applyProtection="1">
      <alignment horizontal="left" vertical="center"/>
      <protection/>
    </xf>
    <xf numFmtId="4" fontId="7" fillId="0" borderId="25" xfId="20" applyNumberFormat="1" applyFont="1" applyBorder="1" applyAlignment="1" applyProtection="1">
      <alignment horizontal="right" vertical="center"/>
      <protection/>
    </xf>
    <xf numFmtId="0" fontId="3" fillId="0" borderId="33" xfId="20" applyFont="1" applyBorder="1" applyProtection="1">
      <alignment/>
      <protection/>
    </xf>
    <xf numFmtId="0" fontId="6" fillId="0" borderId="0" xfId="20" applyFont="1" applyAlignment="1" applyProtection="1">
      <alignment horizontal="left" vertical="center"/>
      <protection/>
    </xf>
    <xf numFmtId="4" fontId="6" fillId="0" borderId="0" xfId="20" applyNumberFormat="1" applyFont="1" applyAlignment="1" applyProtection="1">
      <alignment horizontal="right" vertical="center"/>
      <protection/>
    </xf>
    <xf numFmtId="3" fontId="13" fillId="0" borderId="9" xfId="22" applyNumberFormat="1" applyBorder="1" applyProtection="1">
      <alignment/>
      <protection locked="0"/>
    </xf>
    <xf numFmtId="0" fontId="26" fillId="0" borderId="9" xfId="24" applyFont="1" applyBorder="1" applyAlignment="1" applyProtection="1">
      <alignment vertical="center"/>
      <protection/>
    </xf>
    <xf numFmtId="49" fontId="24" fillId="0" borderId="9" xfId="24" applyNumberFormat="1" applyFont="1" applyBorder="1" applyAlignment="1" applyProtection="1">
      <alignment vertical="center"/>
      <protection/>
    </xf>
    <xf numFmtId="4" fontId="24" fillId="0" borderId="9" xfId="24" applyNumberFormat="1" applyFont="1" applyBorder="1" applyAlignment="1" applyProtection="1">
      <alignment vertical="center"/>
      <protection/>
    </xf>
    <xf numFmtId="2" fontId="24" fillId="0" borderId="9" xfId="24" applyNumberFormat="1" applyFont="1" applyBorder="1" applyAlignment="1" applyProtection="1">
      <alignment vertical="center"/>
      <protection/>
    </xf>
    <xf numFmtId="0" fontId="2" fillId="0" borderId="0" xfId="24" applyFont="1" applyAlignment="1" applyProtection="1">
      <alignment vertical="center"/>
      <protection/>
    </xf>
    <xf numFmtId="0" fontId="2" fillId="0" borderId="9" xfId="24" applyFont="1" applyBorder="1" applyAlignment="1" applyProtection="1">
      <alignment vertical="center"/>
      <protection/>
    </xf>
    <xf numFmtId="49" fontId="25" fillId="0" borderId="9" xfId="24" applyNumberFormat="1" applyFont="1" applyBorder="1" applyAlignment="1" applyProtection="1">
      <alignment vertical="center"/>
      <protection/>
    </xf>
    <xf numFmtId="49" fontId="25" fillId="0" borderId="9" xfId="24" applyNumberFormat="1" applyFont="1" applyBorder="1" applyAlignment="1" applyProtection="1">
      <alignment vertical="center"/>
      <protection/>
    </xf>
    <xf numFmtId="4" fontId="25" fillId="0" borderId="9" xfId="24" applyNumberFormat="1" applyFont="1" applyBorder="1" applyAlignment="1" applyProtection="1">
      <alignment vertical="center"/>
      <protection/>
    </xf>
    <xf numFmtId="2" fontId="25" fillId="0" borderId="9" xfId="24" applyNumberFormat="1" applyFont="1" applyBorder="1" applyAlignment="1" applyProtection="1">
      <alignment vertical="center"/>
      <protection/>
    </xf>
    <xf numFmtId="2" fontId="2" fillId="0" borderId="9" xfId="24" applyNumberFormat="1" applyFont="1" applyBorder="1" applyAlignment="1" applyProtection="1">
      <alignment vertical="center"/>
      <protection/>
    </xf>
    <xf numFmtId="2" fontId="26" fillId="0" borderId="9" xfId="24" applyNumberFormat="1" applyFont="1" applyBorder="1" applyAlignment="1" applyProtection="1">
      <alignment vertical="center"/>
      <protection/>
    </xf>
    <xf numFmtId="49" fontId="25" fillId="0" borderId="0" xfId="24" applyNumberFormat="1" applyFont="1" applyAlignment="1" applyProtection="1">
      <alignment vertical="center"/>
      <protection/>
    </xf>
    <xf numFmtId="4" fontId="25" fillId="0" borderId="0" xfId="24" applyNumberFormat="1" applyFont="1" applyAlignment="1" applyProtection="1">
      <alignment vertical="center"/>
      <protection/>
    </xf>
    <xf numFmtId="2" fontId="25" fillId="0" borderId="0" xfId="24" applyNumberFormat="1" applyFont="1" applyAlignment="1" applyProtection="1">
      <alignment vertical="center"/>
      <protection/>
    </xf>
    <xf numFmtId="2" fontId="2" fillId="0" borderId="0" xfId="24" applyNumberFormat="1" applyFont="1" applyAlignment="1" applyProtection="1">
      <alignment vertical="center"/>
      <protection/>
    </xf>
    <xf numFmtId="2" fontId="26" fillId="0" borderId="0" xfId="24" applyNumberFormat="1" applyFont="1" applyAlignment="1" applyProtection="1">
      <alignment vertical="center"/>
      <protection/>
    </xf>
    <xf numFmtId="49" fontId="24" fillId="0" borderId="9" xfId="24" applyNumberFormat="1" applyFont="1" applyBorder="1" applyAlignment="1" applyProtection="1">
      <alignment vertical="center"/>
      <protection/>
    </xf>
    <xf numFmtId="4" fontId="25" fillId="0" borderId="9" xfId="24" applyNumberFormat="1" applyFont="1" applyBorder="1" applyAlignment="1" applyProtection="1">
      <alignment vertical="center"/>
      <protection/>
    </xf>
    <xf numFmtId="0" fontId="26" fillId="0" borderId="0" xfId="24" applyFont="1" applyAlignment="1" applyProtection="1">
      <alignment vertical="center"/>
      <protection/>
    </xf>
    <xf numFmtId="2" fontId="24" fillId="0" borderId="0" xfId="24" applyNumberFormat="1" applyFont="1" applyAlignment="1" applyProtection="1">
      <alignment vertical="center"/>
      <protection/>
    </xf>
    <xf numFmtId="0" fontId="2" fillId="0" borderId="9" xfId="24" applyFont="1" applyBorder="1" applyAlignment="1" applyProtection="1">
      <alignment vertical="center"/>
      <protection/>
    </xf>
    <xf numFmtId="0" fontId="2" fillId="0" borderId="9" xfId="24" applyFont="1" applyBorder="1" applyAlignment="1" applyProtection="1">
      <alignment vertical="center"/>
      <protection/>
    </xf>
    <xf numFmtId="49" fontId="24" fillId="0" borderId="9" xfId="0" applyNumberFormat="1" applyFont="1" applyBorder="1" applyAlignment="1" applyProtection="1">
      <alignment vertical="center"/>
      <protection/>
    </xf>
    <xf numFmtId="0" fontId="26" fillId="0" borderId="9" xfId="24" applyFont="1" applyBorder="1" applyAlignment="1" applyProtection="1">
      <alignment vertical="center"/>
      <protection/>
    </xf>
    <xf numFmtId="49" fontId="24" fillId="0" borderId="46" xfId="0" applyNumberFormat="1" applyFont="1" applyBorder="1" applyAlignment="1" applyProtection="1">
      <alignment vertical="center"/>
      <protection/>
    </xf>
    <xf numFmtId="0" fontId="2" fillId="0" borderId="47" xfId="24" applyFont="1" applyBorder="1" applyAlignment="1" applyProtection="1">
      <alignment vertical="center"/>
      <protection/>
    </xf>
    <xf numFmtId="2" fontId="2" fillId="0" borderId="47" xfId="24" applyNumberFormat="1" applyFont="1" applyBorder="1" applyAlignment="1" applyProtection="1">
      <alignment vertical="center"/>
      <protection/>
    </xf>
    <xf numFmtId="2" fontId="26" fillId="0" borderId="48" xfId="24" applyNumberFormat="1" applyFont="1" applyBorder="1" applyAlignment="1" applyProtection="1">
      <alignment vertical="center"/>
      <protection/>
    </xf>
    <xf numFmtId="0" fontId="45" fillId="0" borderId="30" xfId="25" applyFont="1" applyBorder="1" applyAlignment="1" applyProtection="1">
      <alignment horizontal="left" vertical="center"/>
      <protection/>
    </xf>
    <xf numFmtId="0" fontId="44" fillId="0" borderId="30" xfId="25" applyFont="1" applyBorder="1" applyAlignment="1" applyProtection="1">
      <alignment horizontal="center"/>
      <protection/>
    </xf>
    <xf numFmtId="0" fontId="27" fillId="0" borderId="0" xfId="25" applyProtection="1">
      <alignment/>
      <protection/>
    </xf>
    <xf numFmtId="0" fontId="1" fillId="0" borderId="49" xfId="26" applyBorder="1" applyAlignment="1" applyProtection="1">
      <alignment horizontal="left"/>
      <protection/>
    </xf>
    <xf numFmtId="0" fontId="43" fillId="0" borderId="50" xfId="25" applyFont="1" applyBorder="1" applyAlignment="1" applyProtection="1">
      <alignment horizontal="left" vertical="top" wrapText="1"/>
      <protection/>
    </xf>
    <xf numFmtId="0" fontId="1" fillId="0" borderId="50" xfId="27" applyBorder="1" applyAlignment="1" applyProtection="1">
      <alignment horizontal="left" vertical="top" wrapText="1"/>
      <protection/>
    </xf>
    <xf numFmtId="0" fontId="1" fillId="0" borderId="51" xfId="27" applyBorder="1" applyAlignment="1" applyProtection="1">
      <alignment horizontal="left" vertical="top" wrapText="1"/>
      <protection/>
    </xf>
    <xf numFmtId="0" fontId="43" fillId="0" borderId="51" xfId="25" applyFont="1" applyBorder="1" applyAlignment="1" applyProtection="1">
      <alignment horizontal="left" vertical="top" wrapText="1"/>
      <protection/>
    </xf>
    <xf numFmtId="0" fontId="1" fillId="0" borderId="52" xfId="26" applyBorder="1" applyAlignment="1" applyProtection="1">
      <alignment horizontal="left"/>
      <protection/>
    </xf>
    <xf numFmtId="0" fontId="41" fillId="0" borderId="44" xfId="26" applyFont="1" applyBorder="1" applyProtection="1">
      <alignment/>
      <protection/>
    </xf>
    <xf numFmtId="0" fontId="42" fillId="0" borderId="44" xfId="26" applyFont="1" applyBorder="1" applyProtection="1">
      <alignment/>
      <protection/>
    </xf>
    <xf numFmtId="0" fontId="41" fillId="0" borderId="7" xfId="26" applyFont="1" applyBorder="1" applyProtection="1">
      <alignment/>
      <protection/>
    </xf>
    <xf numFmtId="0" fontId="38" fillId="0" borderId="53" xfId="26" applyFont="1" applyBorder="1" applyAlignment="1" applyProtection="1">
      <alignment horizontal="left"/>
      <protection/>
    </xf>
    <xf numFmtId="0" fontId="37" fillId="0" borderId="54" xfId="26" applyFont="1" applyBorder="1" applyProtection="1">
      <alignment/>
      <protection/>
    </xf>
    <xf numFmtId="0" fontId="36" fillId="0" borderId="54" xfId="26" applyFont="1" applyBorder="1" applyProtection="1">
      <alignment/>
      <protection/>
    </xf>
    <xf numFmtId="0" fontId="36" fillId="0" borderId="27" xfId="26" applyFont="1" applyBorder="1" applyProtection="1">
      <alignment/>
      <protection/>
    </xf>
    <xf numFmtId="0" fontId="36" fillId="0" borderId="55" xfId="26" applyFont="1" applyBorder="1" applyProtection="1">
      <alignment/>
      <protection/>
    </xf>
    <xf numFmtId="0" fontId="1" fillId="0" borderId="56" xfId="26" applyBorder="1" applyAlignment="1" applyProtection="1">
      <alignment horizontal="left" vertical="center"/>
      <protection/>
    </xf>
    <xf numFmtId="0" fontId="1" fillId="0" borderId="19" xfId="26" applyBorder="1" applyAlignment="1" applyProtection="1">
      <alignment horizontal="center" vertical="center" wrapText="1"/>
      <protection/>
    </xf>
    <xf numFmtId="0" fontId="1" fillId="0" borderId="5" xfId="26" applyBorder="1" applyAlignment="1" applyProtection="1">
      <alignment horizontal="center" vertical="center" wrapText="1"/>
      <protection/>
    </xf>
    <xf numFmtId="0" fontId="32" fillId="0" borderId="29" xfId="26" applyFont="1" applyBorder="1" applyAlignment="1" applyProtection="1">
      <alignment horizontal="center" vertical="center"/>
      <protection/>
    </xf>
    <xf numFmtId="0" fontId="32" fillId="0" borderId="7" xfId="26" applyFont="1" applyBorder="1" applyAlignment="1" applyProtection="1">
      <alignment horizontal="center" vertical="center"/>
      <protection/>
    </xf>
    <xf numFmtId="0" fontId="32" fillId="0" borderId="57" xfId="26" applyFont="1" applyBorder="1" applyAlignment="1" applyProtection="1">
      <alignment horizontal="center" vertical="center"/>
      <protection/>
    </xf>
    <xf numFmtId="0" fontId="32" fillId="0" borderId="58" xfId="26" applyFont="1" applyBorder="1" applyAlignment="1" applyProtection="1">
      <alignment horizontal="center" vertical="center"/>
      <protection/>
    </xf>
    <xf numFmtId="0" fontId="32" fillId="0" borderId="35" xfId="26" applyFont="1" applyBorder="1" applyAlignment="1" applyProtection="1">
      <alignment horizontal="center" vertical="center"/>
      <protection/>
    </xf>
    <xf numFmtId="0" fontId="1" fillId="12" borderId="59" xfId="26" applyFill="1" applyBorder="1" applyAlignment="1" applyProtection="1">
      <alignment horizontal="left" vertical="center"/>
      <protection/>
    </xf>
    <xf numFmtId="0" fontId="1" fillId="12" borderId="20" xfId="26" applyFill="1" applyBorder="1" applyAlignment="1" applyProtection="1">
      <alignment horizontal="center" vertical="center"/>
      <protection/>
    </xf>
    <xf numFmtId="0" fontId="1" fillId="12" borderId="26" xfId="26" applyFill="1" applyBorder="1" applyAlignment="1" applyProtection="1">
      <alignment horizontal="center" vertical="center"/>
      <protection/>
    </xf>
    <xf numFmtId="0" fontId="1" fillId="12" borderId="59" xfId="26" applyFill="1" applyBorder="1" applyAlignment="1" applyProtection="1">
      <alignment horizontal="center" vertical="center"/>
      <protection/>
    </xf>
    <xf numFmtId="0" fontId="1" fillId="12" borderId="60" xfId="26" applyFill="1" applyBorder="1" applyAlignment="1" applyProtection="1">
      <alignment horizontal="center" vertical="center"/>
      <protection/>
    </xf>
    <xf numFmtId="0" fontId="1" fillId="12" borderId="31" xfId="26" applyFill="1" applyBorder="1" applyAlignment="1" applyProtection="1">
      <alignment horizontal="center" vertical="center"/>
      <protection/>
    </xf>
    <xf numFmtId="0" fontId="1" fillId="12" borderId="11" xfId="26" applyFill="1" applyBorder="1" applyAlignment="1" applyProtection="1">
      <alignment horizontal="left" vertical="center"/>
      <protection/>
    </xf>
    <xf numFmtId="0" fontId="0" fillId="12" borderId="18" xfId="26" applyFont="1" applyFill="1" applyBorder="1" applyAlignment="1" applyProtection="1">
      <alignment horizontal="center" vertical="center"/>
      <protection/>
    </xf>
    <xf numFmtId="0" fontId="1" fillId="12" borderId="18" xfId="26" applyFill="1" applyBorder="1" applyAlignment="1" applyProtection="1">
      <alignment horizontal="center" vertical="center"/>
      <protection/>
    </xf>
    <xf numFmtId="0" fontId="1" fillId="12" borderId="10" xfId="26" applyFill="1" applyBorder="1" applyAlignment="1" applyProtection="1">
      <alignment horizontal="center" vertical="center"/>
      <protection/>
    </xf>
    <xf numFmtId="0" fontId="1" fillId="0" borderId="9" xfId="26" applyBorder="1" applyAlignment="1" applyProtection="1">
      <alignment horizontal="left" wrapText="1"/>
      <protection/>
    </xf>
    <xf numFmtId="0" fontId="34" fillId="0" borderId="9" xfId="25" applyFont="1" applyBorder="1" applyAlignment="1" applyProtection="1">
      <alignment wrapText="1"/>
      <protection/>
    </xf>
    <xf numFmtId="0" fontId="34" fillId="0" borderId="9" xfId="25" applyFont="1" applyBorder="1" applyAlignment="1" applyProtection="1">
      <alignment horizontal="center"/>
      <protection/>
    </xf>
    <xf numFmtId="4" fontId="33" fillId="14" borderId="9" xfId="26" applyNumberFormat="1" applyFont="1" applyFill="1" applyBorder="1" applyAlignment="1" applyProtection="1">
      <alignment horizontal="right"/>
      <protection/>
    </xf>
    <xf numFmtId="0" fontId="1" fillId="0" borderId="9" xfId="26" applyBorder="1" applyAlignment="1" applyProtection="1">
      <alignment horizontal="left"/>
      <protection/>
    </xf>
    <xf numFmtId="0" fontId="0" fillId="0" borderId="9" xfId="28" applyFont="1" applyBorder="1" applyAlignment="1" applyProtection="1">
      <alignment wrapText="1"/>
      <protection/>
    </xf>
    <xf numFmtId="0" fontId="0" fillId="0" borderId="9" xfId="29" applyFont="1" applyBorder="1" applyAlignment="1" applyProtection="1">
      <alignment horizontal="center"/>
      <protection/>
    </xf>
    <xf numFmtId="4" fontId="33" fillId="0" borderId="9" xfId="26" applyNumberFormat="1" applyFont="1" applyBorder="1" applyAlignment="1" applyProtection="1">
      <alignment horizontal="right"/>
      <protection/>
    </xf>
    <xf numFmtId="0" fontId="0" fillId="0" borderId="9" xfId="26" applyFont="1" applyBorder="1" applyAlignment="1" applyProtection="1">
      <alignment horizontal="left" wrapText="1"/>
      <protection/>
    </xf>
    <xf numFmtId="0" fontId="34" fillId="0" borderId="9" xfId="25" applyFont="1" applyBorder="1" applyAlignment="1" applyProtection="1">
      <alignment horizontal="left" wrapText="1"/>
      <protection/>
    </xf>
    <xf numFmtId="0" fontId="27" fillId="0" borderId="0" xfId="25" applyAlignment="1" applyProtection="1">
      <alignment horizontal="right"/>
      <protection/>
    </xf>
    <xf numFmtId="0" fontId="1" fillId="0" borderId="9" xfId="26" applyBorder="1" applyAlignment="1" applyProtection="1">
      <alignment horizontal="left" vertical="center"/>
      <protection/>
    </xf>
    <xf numFmtId="0" fontId="34" fillId="0" borderId="9" xfId="25" applyFont="1" applyBorder="1" applyAlignment="1" applyProtection="1">
      <alignment horizontal="center" vertical="center"/>
      <protection/>
    </xf>
    <xf numFmtId="4" fontId="33" fillId="14" borderId="9" xfId="26" applyNumberFormat="1" applyFont="1" applyFill="1" applyBorder="1" applyAlignment="1" applyProtection="1">
      <alignment horizontal="right" vertical="center"/>
      <protection/>
    </xf>
    <xf numFmtId="0" fontId="0" fillId="0" borderId="9" xfId="26" applyFont="1" applyBorder="1" applyAlignment="1" applyProtection="1">
      <alignment horizontal="left" vertical="center"/>
      <protection/>
    </xf>
    <xf numFmtId="0" fontId="0" fillId="0" borderId="9" xfId="28" applyFont="1" applyBorder="1" applyProtection="1">
      <alignment/>
      <protection/>
    </xf>
    <xf numFmtId="4" fontId="33" fillId="0" borderId="9" xfId="26" applyNumberFormat="1" applyFont="1" applyBorder="1" applyAlignment="1" applyProtection="1">
      <alignment horizontal="right" vertical="center"/>
      <protection/>
    </xf>
    <xf numFmtId="0" fontId="34" fillId="0" borderId="9" xfId="25" applyFont="1" applyBorder="1" applyProtection="1">
      <alignment/>
      <protection/>
    </xf>
    <xf numFmtId="0" fontId="0" fillId="0" borderId="9" xfId="28" applyFont="1" applyBorder="1" applyAlignment="1" applyProtection="1">
      <alignment horizontal="left" vertical="top" wrapText="1"/>
      <protection/>
    </xf>
    <xf numFmtId="0" fontId="0" fillId="12" borderId="11" xfId="26" applyFont="1" applyFill="1" applyBorder="1" applyAlignment="1" applyProtection="1">
      <alignment horizontal="left" vertical="center"/>
      <protection/>
    </xf>
    <xf numFmtId="0" fontId="1" fillId="0" borderId="9" xfId="28" applyBorder="1" applyProtection="1">
      <alignment/>
      <protection/>
    </xf>
    <xf numFmtId="0" fontId="1" fillId="0" borderId="9" xfId="29" applyBorder="1" applyAlignment="1" applyProtection="1">
      <alignment horizontal="center"/>
      <protection/>
    </xf>
    <xf numFmtId="0" fontId="34" fillId="15" borderId="9" xfId="25" applyFont="1" applyFill="1" applyBorder="1" applyProtection="1">
      <alignment/>
      <protection/>
    </xf>
    <xf numFmtId="0" fontId="34" fillId="15" borderId="9" xfId="25" applyFont="1" applyFill="1" applyBorder="1" applyAlignment="1" applyProtection="1">
      <alignment horizontal="center"/>
      <protection/>
    </xf>
    <xf numFmtId="4" fontId="33" fillId="15" borderId="9" xfId="26" applyNumberFormat="1" applyFont="1" applyFill="1" applyBorder="1" applyAlignment="1" applyProtection="1">
      <alignment horizontal="right"/>
      <protection/>
    </xf>
    <xf numFmtId="4" fontId="33" fillId="15" borderId="9" xfId="26" applyNumberFormat="1" applyFont="1" applyFill="1" applyBorder="1" applyAlignment="1" applyProtection="1">
      <alignment horizontal="right" vertical="center"/>
      <protection/>
    </xf>
    <xf numFmtId="0" fontId="34" fillId="15" borderId="9" xfId="25" applyFont="1" applyFill="1" applyBorder="1" applyAlignment="1" applyProtection="1">
      <alignment wrapText="1"/>
      <protection/>
    </xf>
    <xf numFmtId="0" fontId="34" fillId="16" borderId="9" xfId="25" applyFont="1" applyFill="1" applyBorder="1" applyAlignment="1" applyProtection="1">
      <alignment wrapText="1"/>
      <protection/>
    </xf>
    <xf numFmtId="0" fontId="34" fillId="16" borderId="9" xfId="25" applyFont="1" applyFill="1" applyBorder="1" applyAlignment="1" applyProtection="1">
      <alignment horizontal="center"/>
      <protection/>
    </xf>
    <xf numFmtId="4" fontId="33" fillId="16" borderId="9" xfId="26" applyNumberFormat="1" applyFont="1" applyFill="1" applyBorder="1" applyAlignment="1" applyProtection="1">
      <alignment horizontal="right"/>
      <protection/>
    </xf>
    <xf numFmtId="0" fontId="33" fillId="0" borderId="9" xfId="26" applyFont="1" applyBorder="1" applyAlignment="1" applyProtection="1">
      <alignment horizontal="center" vertical="center"/>
      <protection/>
    </xf>
    <xf numFmtId="0" fontId="1" fillId="0" borderId="61" xfId="26" applyBorder="1" applyAlignment="1" applyProtection="1">
      <alignment horizontal="left" vertical="center"/>
      <protection/>
    </xf>
    <xf numFmtId="0" fontId="34" fillId="0" borderId="61" xfId="25" applyFont="1" applyBorder="1" applyAlignment="1" applyProtection="1">
      <alignment wrapText="1"/>
      <protection/>
    </xf>
    <xf numFmtId="0" fontId="33" fillId="0" borderId="61" xfId="26" applyFont="1" applyBorder="1" applyAlignment="1" applyProtection="1">
      <alignment horizontal="center" vertical="center"/>
      <protection/>
    </xf>
    <xf numFmtId="4" fontId="33" fillId="14" borderId="61" xfId="26" applyNumberFormat="1" applyFont="1" applyFill="1" applyBorder="1" applyAlignment="1" applyProtection="1">
      <alignment horizontal="right"/>
      <protection/>
    </xf>
    <xf numFmtId="4" fontId="33" fillId="14" borderId="61" xfId="26" applyNumberFormat="1" applyFont="1" applyFill="1" applyBorder="1" applyAlignment="1" applyProtection="1">
      <alignment horizontal="right" vertical="center"/>
      <protection/>
    </xf>
    <xf numFmtId="49" fontId="1" fillId="0" borderId="5" xfId="26" applyNumberFormat="1" applyBorder="1" applyAlignment="1" applyProtection="1">
      <alignment horizontal="left" vertical="center"/>
      <protection/>
    </xf>
    <xf numFmtId="49" fontId="1" fillId="0" borderId="5" xfId="26" applyNumberFormat="1" applyBorder="1" applyAlignment="1" applyProtection="1">
      <alignment horizontal="center" vertical="center" wrapText="1"/>
      <protection/>
    </xf>
    <xf numFmtId="168" fontId="32" fillId="0" borderId="62" xfId="26" applyNumberFormat="1" applyFont="1" applyBorder="1" applyAlignment="1" applyProtection="1">
      <alignment horizontal="center" vertical="center"/>
      <protection/>
    </xf>
    <xf numFmtId="168" fontId="32" fillId="0" borderId="63" xfId="26" applyNumberFormat="1" applyFont="1" applyBorder="1" applyAlignment="1" applyProtection="1">
      <alignment horizontal="center" vertical="center"/>
      <protection/>
    </xf>
    <xf numFmtId="49" fontId="29" fillId="0" borderId="41" xfId="26" applyNumberFormat="1" applyFont="1" applyBorder="1" applyAlignment="1" applyProtection="1">
      <alignment horizontal="left" vertical="center"/>
      <protection/>
    </xf>
    <xf numFmtId="49" fontId="31" fillId="0" borderId="41" xfId="26" applyNumberFormat="1" applyFont="1" applyBorder="1" applyAlignment="1" applyProtection="1">
      <alignment horizontal="center" vertical="center" wrapText="1"/>
      <protection/>
    </xf>
    <xf numFmtId="168" fontId="30" fillId="0" borderId="41" xfId="26" applyNumberFormat="1" applyFont="1" applyBorder="1" applyAlignment="1" applyProtection="1">
      <alignment horizontal="center" vertical="center"/>
      <protection/>
    </xf>
    <xf numFmtId="168" fontId="29" fillId="0" borderId="41" xfId="26" applyNumberFormat="1" applyFont="1" applyBorder="1" applyAlignment="1" applyProtection="1">
      <alignment horizontal="center" vertical="center"/>
      <protection/>
    </xf>
    <xf numFmtId="0" fontId="28" fillId="0" borderId="0" xfId="25" applyFont="1" applyProtection="1">
      <alignment/>
      <protection/>
    </xf>
    <xf numFmtId="49" fontId="0" fillId="0" borderId="28" xfId="26" applyNumberFormat="1" applyFont="1" applyBorder="1" applyAlignment="1" applyProtection="1">
      <alignment horizontal="center" vertical="center" wrapText="1"/>
      <protection/>
    </xf>
    <xf numFmtId="0" fontId="1" fillId="0" borderId="28" xfId="27" applyBorder="1" applyAlignment="1" applyProtection="1">
      <alignment vertical="center" wrapText="1"/>
      <protection/>
    </xf>
    <xf numFmtId="49" fontId="1" fillId="0" borderId="0" xfId="26" applyNumberFormat="1" applyAlignment="1" applyProtection="1">
      <alignment horizontal="left" vertical="center"/>
      <protection/>
    </xf>
    <xf numFmtId="49" fontId="1" fillId="0" borderId="0" xfId="26" applyNumberFormat="1" applyAlignment="1" applyProtection="1">
      <alignment horizontal="left" vertical="center" wrapText="1"/>
      <protection/>
    </xf>
    <xf numFmtId="49" fontId="1" fillId="0" borderId="0" xfId="26" applyNumberFormat="1" applyAlignment="1" applyProtection="1">
      <alignment horizontal="center" vertical="center" wrapText="1"/>
      <protection/>
    </xf>
    <xf numFmtId="2" fontId="1" fillId="0" borderId="0" xfId="26" applyNumberFormat="1" applyAlignment="1" applyProtection="1">
      <alignment horizontal="right" vertical="center"/>
      <protection/>
    </xf>
    <xf numFmtId="0" fontId="27" fillId="0" borderId="0" xfId="25" applyAlignment="1" applyProtection="1">
      <alignment horizontal="left"/>
      <protection/>
    </xf>
    <xf numFmtId="2" fontId="34" fillId="0" borderId="9" xfId="25" applyNumberFormat="1" applyFont="1" applyBorder="1" applyAlignment="1" applyProtection="1">
      <alignment horizontal="right"/>
      <protection locked="0"/>
    </xf>
    <xf numFmtId="0" fontId="1" fillId="12" borderId="18" xfId="26" applyFill="1" applyBorder="1" applyAlignment="1" applyProtection="1">
      <alignment horizontal="center" vertical="center"/>
      <protection locked="0"/>
    </xf>
    <xf numFmtId="4" fontId="33" fillId="14" borderId="9" xfId="26" applyNumberFormat="1" applyFont="1" applyFill="1" applyBorder="1" applyAlignment="1" applyProtection="1">
      <alignment horizontal="right"/>
      <protection locked="0"/>
    </xf>
    <xf numFmtId="2" fontId="34" fillId="15" borderId="9" xfId="25" applyNumberFormat="1" applyFont="1" applyFill="1" applyBorder="1" applyAlignment="1" applyProtection="1">
      <alignment horizontal="right" vertical="center"/>
      <protection locked="0"/>
    </xf>
    <xf numFmtId="2" fontId="34" fillId="15" borderId="9" xfId="25" applyNumberFormat="1" applyFont="1" applyFill="1" applyBorder="1" applyAlignment="1" applyProtection="1">
      <alignment horizontal="right"/>
      <protection locked="0"/>
    </xf>
    <xf numFmtId="2" fontId="34" fillId="16" borderId="9" xfId="25" applyNumberFormat="1" applyFont="1" applyFill="1" applyBorder="1" applyAlignment="1" applyProtection="1">
      <alignment horizontal="right"/>
      <protection locked="0"/>
    </xf>
    <xf numFmtId="4" fontId="1" fillId="0" borderId="9" xfId="26" applyNumberFormat="1" applyBorder="1" applyAlignment="1" applyProtection="1">
      <alignment horizontal="right"/>
      <protection locked="0"/>
    </xf>
    <xf numFmtId="4" fontId="1" fillId="0" borderId="9" xfId="26" applyNumberFormat="1" applyBorder="1" applyAlignment="1" applyProtection="1">
      <alignment horizontal="right" vertical="center"/>
      <protection locked="0"/>
    </xf>
    <xf numFmtId="4" fontId="33" fillId="0" borderId="9" xfId="26" applyNumberFormat="1" applyFont="1" applyBorder="1" applyAlignment="1" applyProtection="1">
      <alignment horizontal="right"/>
      <protection locked="0"/>
    </xf>
    <xf numFmtId="4" fontId="1" fillId="15" borderId="9" xfId="26" applyNumberFormat="1" applyFill="1" applyBorder="1" applyAlignment="1" applyProtection="1">
      <alignment horizontal="right" vertical="center"/>
      <protection locked="0"/>
    </xf>
    <xf numFmtId="4" fontId="1" fillId="15" borderId="9" xfId="26" applyNumberFormat="1" applyFill="1" applyBorder="1" applyAlignment="1" applyProtection="1">
      <alignment horizontal="right"/>
      <protection locked="0"/>
    </xf>
    <xf numFmtId="4" fontId="1" fillId="16" borderId="9" xfId="26" applyNumberFormat="1" applyFill="1" applyBorder="1" applyAlignment="1" applyProtection="1">
      <alignment horizontal="right"/>
      <protection locked="0"/>
    </xf>
    <xf numFmtId="0" fontId="34" fillId="0" borderId="0" xfId="30" applyProtection="1">
      <alignment/>
      <protection locked="0"/>
    </xf>
    <xf numFmtId="4" fontId="14" fillId="0" borderId="13" xfId="30" applyNumberFormat="1" applyFont="1" applyBorder="1" applyAlignment="1" applyProtection="1">
      <alignment vertical="top" shrinkToFit="1"/>
      <protection locked="0"/>
    </xf>
    <xf numFmtId="170" fontId="3" fillId="0" borderId="64" xfId="32" applyNumberFormat="1" applyFont="1" applyBorder="1" applyAlignment="1" applyProtection="1">
      <alignment horizontal="center" vertical="top" wrapText="1"/>
      <protection locked="0"/>
    </xf>
    <xf numFmtId="170" fontId="3" fillId="0" borderId="9" xfId="32" applyNumberFormat="1" applyFont="1" applyBorder="1" applyAlignment="1" applyProtection="1">
      <alignment horizontal="center" vertical="top" wrapText="1"/>
      <protection locked="0"/>
    </xf>
    <xf numFmtId="168" fontId="55" fillId="0" borderId="10" xfId="33" applyNumberFormat="1" applyFont="1" applyBorder="1" applyAlignment="1" applyProtection="1">
      <alignment horizontal="center" vertical="center" wrapText="1"/>
      <protection locked="0"/>
    </xf>
    <xf numFmtId="170" fontId="55" fillId="0" borderId="9" xfId="32" applyNumberFormat="1" applyFont="1" applyBorder="1" applyAlignment="1" applyProtection="1">
      <alignment horizontal="center" vertical="top" wrapText="1"/>
      <protection locked="0"/>
    </xf>
    <xf numFmtId="0" fontId="64" fillId="0" borderId="0" xfId="30" applyFont="1" applyProtection="1">
      <alignment/>
      <protection locked="0"/>
    </xf>
    <xf numFmtId="4" fontId="64" fillId="0" borderId="0" xfId="30" applyNumberFormat="1" applyFont="1" applyProtection="1">
      <alignment/>
      <protection locked="0"/>
    </xf>
    <xf numFmtId="4" fontId="64" fillId="0" borderId="0" xfId="30" applyNumberFormat="1" applyFont="1" applyAlignment="1" applyProtection="1">
      <alignment horizontal="right"/>
      <protection locked="0"/>
    </xf>
    <xf numFmtId="4" fontId="70" fillId="0" borderId="9" xfId="22" applyNumberFormat="1" applyFont="1" applyBorder="1" applyProtection="1">
      <alignment/>
      <protection locked="0"/>
    </xf>
    <xf numFmtId="4" fontId="70" fillId="0" borderId="9" xfId="22" applyNumberFormat="1" applyFont="1" applyBorder="1" applyAlignment="1" applyProtection="1">
      <alignment wrapText="1"/>
      <protection locked="0"/>
    </xf>
  </cellXfs>
  <cellStyles count="28">
    <cellStyle name="Normal" xfId="0"/>
    <cellStyle name="Percent" xfId="15"/>
    <cellStyle name="Currency" xfId="16"/>
    <cellStyle name="Currency [0]" xfId="17"/>
    <cellStyle name="Comma" xfId="18"/>
    <cellStyle name="Comma [0]" xfId="19"/>
    <cellStyle name="Normální 2" xfId="20"/>
    <cellStyle name="Normální 3" xfId="21"/>
    <cellStyle name="normální 3 2" xfId="22"/>
    <cellStyle name="normální 2 2" xfId="23"/>
    <cellStyle name="Normální 4" xfId="24"/>
    <cellStyle name="Normální 2 3" xfId="25"/>
    <cellStyle name="normální 2 2 2" xfId="26"/>
    <cellStyle name="Normální 5" xfId="27"/>
    <cellStyle name="normální 3 2 2" xfId="28"/>
    <cellStyle name="normální_EZS+EKV" xfId="29"/>
    <cellStyle name="Normální 6" xfId="30"/>
    <cellStyle name="Normální 7" xfId="31"/>
    <cellStyle name="normální_Zadávací podklad pro profese" xfId="32"/>
    <cellStyle name="TableStyleLight1" xfId="33"/>
    <cellStyle name="normální_Rozpočet investičních nákladů platí 16,+ specifikace" xfId="34"/>
    <cellStyle name="Normální 4 2" xfId="35"/>
    <cellStyle name="Normální 8" xfId="36"/>
    <cellStyle name="Měna 2" xfId="37"/>
    <cellStyle name="Normální 14" xfId="38"/>
    <cellStyle name="Měna 2 2" xfId="39"/>
    <cellStyle name="Normální 16" xfId="40"/>
    <cellStyle name="Hypertextový odkaz 3"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1</xdr:row>
      <xdr:rowOff>9525</xdr:rowOff>
    </xdr:from>
    <xdr:ext cx="1371600" cy="400050"/>
    <xdr:pic>
      <xdr:nvPicPr>
        <xdr:cNvPr id="2" name="Obrázek 1"/>
        <xdr:cNvPicPr preferRelativeResize="1">
          <a:picLocks noChangeAspect="1"/>
        </xdr:cNvPicPr>
      </xdr:nvPicPr>
      <xdr:blipFill>
        <a:blip r:embed="rId1"/>
        <a:stretch>
          <a:fillRect/>
        </a:stretch>
      </xdr:blipFill>
      <xdr:spPr bwMode="auto">
        <a:xfrm>
          <a:off x="180975" y="142875"/>
          <a:ext cx="1371600" cy="400050"/>
        </a:xfrm>
        <a:prstGeom prst="rect">
          <a:avLst/>
        </a:prstGeom>
        <a:noFill/>
        <a:ln w="9525">
          <a:noFill/>
        </a:ln>
      </xdr:spPr>
    </xdr:pic>
    <xdr:clientData/>
  </xdr:oneCellAnchor>
  <xdr:twoCellAnchor>
    <xdr:from>
      <xdr:col>0</xdr:col>
      <xdr:colOff>66675</xdr:colOff>
      <xdr:row>176</xdr:row>
      <xdr:rowOff>123825</xdr:rowOff>
    </xdr:from>
    <xdr:to>
      <xdr:col>9</xdr:col>
      <xdr:colOff>895350</xdr:colOff>
      <xdr:row>183</xdr:row>
      <xdr:rowOff>66675</xdr:rowOff>
    </xdr:to>
    <xdr:sp macro="" textlink="">
      <xdr:nvSpPr>
        <xdr:cNvPr id="3" name="TextovéPole 2"/>
        <xdr:cNvSpPr txBox="1"/>
      </xdr:nvSpPr>
      <xdr:spPr>
        <a:xfrm>
          <a:off x="66675" y="24412575"/>
          <a:ext cx="7543800" cy="8763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latin typeface="Roboto" pitchFamily="2" charset="0"/>
              <a:ea typeface="Roboto" pitchFamily="2" charset="0"/>
              <a:cs typeface="+mn-cs"/>
            </a:rPr>
            <a:t>Ateh,  spol. s.r.o. </a:t>
          </a:r>
          <a:r>
            <a:rPr lang="cs-CZ" sz="900">
              <a:solidFill>
                <a:schemeClr val="dk1"/>
              </a:solidFill>
              <a:latin typeface="Roboto" pitchFamily="2" charset="0"/>
              <a:ea typeface="Roboto" pitchFamily="2" charset="0"/>
              <a:cs typeface="+mn-cs"/>
            </a:rPr>
            <a:t>                    </a:t>
          </a:r>
          <a:r>
            <a:rPr lang="en-US" sz="900" b="1">
              <a:solidFill>
                <a:schemeClr val="dk1"/>
              </a:solidFill>
              <a:latin typeface="Roboto" pitchFamily="2" charset="0"/>
              <a:ea typeface="Roboto" pitchFamily="2" charset="0"/>
              <a:cs typeface="+mn-cs"/>
            </a:rPr>
            <a:t>Showroom Brno </a:t>
          </a:r>
          <a:r>
            <a:rPr lang="cs-CZ" sz="900" b="1">
              <a:solidFill>
                <a:schemeClr val="dk1"/>
              </a:solidFill>
              <a:latin typeface="Roboto" pitchFamily="2" charset="0"/>
              <a:ea typeface="Roboto" pitchFamily="2" charset="0"/>
              <a:cs typeface="+mn-cs"/>
            </a:rPr>
            <a:t>                   </a:t>
          </a:r>
          <a:r>
            <a:rPr lang="en-US" sz="900">
              <a:solidFill>
                <a:schemeClr val="dk1"/>
              </a:solidFill>
              <a:latin typeface="Roboto" pitchFamily="2" charset="0"/>
              <a:ea typeface="Roboto" pitchFamily="2" charset="0"/>
              <a:cs typeface="+mn-cs"/>
            </a:rPr>
            <a:t>Showroom Praha </a:t>
          </a:r>
          <a:r>
            <a:rPr lang="cs-CZ" sz="900">
              <a:solidFill>
                <a:schemeClr val="dk1"/>
              </a:solidFill>
              <a:latin typeface="Roboto" pitchFamily="2" charset="0"/>
              <a:ea typeface="Roboto" pitchFamily="2" charset="0"/>
              <a:cs typeface="+mn-cs"/>
            </a:rPr>
            <a:t>                  Kancelář </a:t>
          </a:r>
          <a:r>
            <a:rPr lang="en-US" sz="900">
              <a:solidFill>
                <a:schemeClr val="dk1"/>
              </a:solidFill>
              <a:latin typeface="Roboto" pitchFamily="2" charset="0"/>
              <a:ea typeface="Roboto" pitchFamily="2" charset="0"/>
              <a:cs typeface="+mn-cs"/>
            </a:rPr>
            <a:t>Žďár nad Sázavou</a:t>
          </a:r>
          <a:r>
            <a:rPr lang="cs-CZ" sz="900">
              <a:solidFill>
                <a:schemeClr val="dk1"/>
              </a:solidFill>
              <a:latin typeface="Roboto" pitchFamily="2" charset="0"/>
              <a:ea typeface="Roboto" pitchFamily="2" charset="0"/>
              <a:cs typeface="+mn-cs"/>
            </a:rPr>
            <a:t>       </a:t>
          </a:r>
          <a:r>
            <a:rPr lang="cs-CZ" sz="900" baseline="0">
              <a:solidFill>
                <a:schemeClr val="dk1"/>
              </a:solidFill>
              <a:latin typeface="Roboto" pitchFamily="2" charset="0"/>
              <a:ea typeface="Roboto" pitchFamily="2" charset="0"/>
              <a:cs typeface="+mn-cs"/>
            </a:rPr>
            <a:t>         </a:t>
          </a:r>
          <a:r>
            <a:rPr lang="en-US" sz="900">
              <a:solidFill>
                <a:schemeClr val="dk1"/>
              </a:solidFill>
              <a:latin typeface="Roboto" pitchFamily="2" charset="0"/>
              <a:ea typeface="Roboto" pitchFamily="2" charset="0"/>
              <a:cs typeface="+mn-cs"/>
            </a:rPr>
            <a:t>Sklad, expedice, výroba</a:t>
          </a:r>
          <a:r>
            <a:rPr lang="cs-CZ" sz="900">
              <a:solidFill>
                <a:schemeClr val="dk1"/>
              </a:solidFill>
              <a:latin typeface="Roboto" pitchFamily="2" charset="0"/>
              <a:ea typeface="Roboto" pitchFamily="2" charset="0"/>
              <a:cs typeface="+mn-cs"/>
            </a:rPr>
            <a:t>                                     </a:t>
          </a:r>
          <a:r>
            <a:rPr lang="en-US" sz="900">
              <a:solidFill>
                <a:schemeClr val="dk1"/>
              </a:solidFill>
              <a:latin typeface="Roboto" pitchFamily="2" charset="0"/>
              <a:ea typeface="Roboto" pitchFamily="2" charset="0"/>
              <a:cs typeface="+mn-cs"/>
            </a:rPr>
            <a:t>Geislerova 297/20</a:t>
          </a:r>
          <a:r>
            <a:rPr lang="cs-CZ" sz="900">
              <a:solidFill>
                <a:schemeClr val="dk1"/>
              </a:solidFill>
              <a:latin typeface="Roboto" pitchFamily="2" charset="0"/>
              <a:ea typeface="Roboto" pitchFamily="2" charset="0"/>
              <a:cs typeface="+mn-cs"/>
            </a:rPr>
            <a:t>                  </a:t>
          </a:r>
          <a:r>
            <a:rPr lang="en-US" sz="900" b="1">
              <a:solidFill>
                <a:schemeClr val="dk1"/>
              </a:solidFill>
              <a:latin typeface="Roboto" pitchFamily="2" charset="0"/>
              <a:ea typeface="Roboto" pitchFamily="2" charset="0"/>
              <a:cs typeface="+mn-cs"/>
            </a:rPr>
            <a:t>Trtílkova 892/22</a:t>
          </a:r>
          <a:r>
            <a:rPr lang="cs-CZ" sz="900" b="1">
              <a:solidFill>
                <a:schemeClr val="dk1"/>
              </a:solidFill>
              <a:latin typeface="Roboto" pitchFamily="2" charset="0"/>
              <a:ea typeface="Roboto" pitchFamily="2" charset="0"/>
              <a:cs typeface="+mn-cs"/>
            </a:rPr>
            <a:t>                   </a:t>
          </a:r>
          <a:r>
            <a:rPr lang="en-US" sz="900">
              <a:solidFill>
                <a:schemeClr val="dk1"/>
              </a:solidFill>
              <a:latin typeface="Roboto" pitchFamily="2" charset="0"/>
              <a:ea typeface="Roboto" pitchFamily="2" charset="0"/>
              <a:cs typeface="+mn-cs"/>
            </a:rPr>
            <a:t>Dělnická 1272/53</a:t>
          </a:r>
          <a:r>
            <a:rPr lang="cs-CZ" sz="900">
              <a:solidFill>
                <a:schemeClr val="dk1"/>
              </a:solidFill>
              <a:latin typeface="Roboto" pitchFamily="2" charset="0"/>
              <a:ea typeface="Roboto" pitchFamily="2" charset="0"/>
              <a:cs typeface="+mn-cs"/>
            </a:rPr>
            <a:t>                   </a:t>
          </a:r>
          <a:r>
            <a:rPr lang="en-US" sz="900">
              <a:solidFill>
                <a:schemeClr val="dk1"/>
              </a:solidFill>
              <a:latin typeface="Roboto" pitchFamily="2" charset="0"/>
              <a:ea typeface="Roboto" pitchFamily="2" charset="0"/>
              <a:cs typeface="+mn-cs"/>
            </a:rPr>
            <a:t>Havlíčkovo nám. 153/2</a:t>
          </a:r>
          <a:r>
            <a:rPr lang="cs-CZ" sz="900">
              <a:solidFill>
                <a:schemeClr val="dk1"/>
              </a:solidFill>
              <a:latin typeface="Roboto" pitchFamily="2" charset="0"/>
              <a:ea typeface="Roboto" pitchFamily="2" charset="0"/>
              <a:cs typeface="+mn-cs"/>
            </a:rPr>
            <a:t>                       </a:t>
          </a:r>
          <a:r>
            <a:rPr lang="en-US" sz="900">
              <a:solidFill>
                <a:schemeClr val="dk1"/>
              </a:solidFill>
              <a:latin typeface="Roboto" pitchFamily="2" charset="0"/>
              <a:ea typeface="Roboto" pitchFamily="2" charset="0"/>
              <a:cs typeface="+mn-cs"/>
            </a:rPr>
            <a:t>Geislerova 297/20</a:t>
          </a:r>
          <a:endParaRPr lang="cs-CZ" sz="900">
            <a:solidFill>
              <a:schemeClr val="dk1"/>
            </a:solidFill>
            <a:latin typeface="Roboto" pitchFamily="2" charset="0"/>
            <a:ea typeface="Roboto" pitchFamily="2" charset="0"/>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a:solidFill>
                <a:schemeClr val="dk1"/>
              </a:solidFill>
              <a:latin typeface="Roboto" pitchFamily="2" charset="0"/>
              <a:ea typeface="Roboto" pitchFamily="2" charset="0"/>
              <a:cs typeface="+mn-cs"/>
            </a:rPr>
            <a:t>615 00 Brno </a:t>
          </a:r>
          <a:r>
            <a:rPr lang="cs-CZ" sz="900">
              <a:solidFill>
                <a:schemeClr val="dk1"/>
              </a:solidFill>
              <a:latin typeface="Roboto" pitchFamily="2" charset="0"/>
              <a:ea typeface="Roboto" pitchFamily="2" charset="0"/>
              <a:cs typeface="+mn-cs"/>
            </a:rPr>
            <a:t>                             </a:t>
          </a:r>
          <a:r>
            <a:rPr lang="en-US" sz="900" b="1">
              <a:solidFill>
                <a:schemeClr val="dk1"/>
              </a:solidFill>
              <a:latin typeface="Roboto" pitchFamily="2" charset="0"/>
              <a:ea typeface="Roboto" pitchFamily="2" charset="0"/>
              <a:cs typeface="+mn-cs"/>
            </a:rPr>
            <a:t>612 00 Brno</a:t>
          </a:r>
          <a:r>
            <a:rPr lang="cs-CZ" sz="900" b="1">
              <a:solidFill>
                <a:schemeClr val="dk1"/>
              </a:solidFill>
              <a:latin typeface="Roboto" pitchFamily="2" charset="0"/>
              <a:ea typeface="Roboto" pitchFamily="2" charset="0"/>
              <a:cs typeface="+mn-cs"/>
            </a:rPr>
            <a:t>                          </a:t>
          </a:r>
          <a:r>
            <a:rPr lang="en-US" sz="900">
              <a:solidFill>
                <a:schemeClr val="dk1"/>
              </a:solidFill>
              <a:latin typeface="Roboto" pitchFamily="2" charset="0"/>
              <a:ea typeface="Roboto" pitchFamily="2" charset="0"/>
              <a:cs typeface="+mn-cs"/>
            </a:rPr>
            <a:t>170 00 Praha 7</a:t>
          </a:r>
          <a:r>
            <a:rPr lang="cs-CZ" sz="900">
              <a:solidFill>
                <a:schemeClr val="dk1"/>
              </a:solidFill>
              <a:latin typeface="Roboto" pitchFamily="2" charset="0"/>
              <a:ea typeface="Roboto" pitchFamily="2" charset="0"/>
              <a:cs typeface="+mn-cs"/>
            </a:rPr>
            <a:t>                       </a:t>
          </a:r>
          <a:r>
            <a:rPr lang="en-US" sz="900">
              <a:solidFill>
                <a:schemeClr val="dk1"/>
              </a:solidFill>
              <a:latin typeface="Roboto" pitchFamily="2" charset="0"/>
              <a:ea typeface="Roboto" pitchFamily="2" charset="0"/>
              <a:cs typeface="+mn-cs"/>
            </a:rPr>
            <a:t>591 01 Žďár nad Sázavou</a:t>
          </a:r>
          <a:r>
            <a:rPr lang="cs-CZ" sz="900">
              <a:solidFill>
                <a:schemeClr val="dk1"/>
              </a:solidFill>
              <a:latin typeface="Roboto" pitchFamily="2" charset="0"/>
              <a:ea typeface="Roboto" pitchFamily="2" charset="0"/>
              <a:cs typeface="+mn-cs"/>
            </a:rPr>
            <a:t>                   </a:t>
          </a:r>
          <a:r>
            <a:rPr lang="en-US" sz="900">
              <a:solidFill>
                <a:schemeClr val="dk1"/>
              </a:solidFill>
              <a:latin typeface="Roboto" pitchFamily="2" charset="0"/>
              <a:ea typeface="Roboto" pitchFamily="2" charset="0"/>
              <a:cs typeface="+mn-cs"/>
            </a:rPr>
            <a:t>615 00 Brno</a:t>
          </a:r>
          <a:r>
            <a:rPr lang="cs-CZ" sz="900">
              <a:solidFill>
                <a:schemeClr val="dk1"/>
              </a:solidFill>
              <a:latin typeface="Roboto" pitchFamily="2" charset="0"/>
              <a:ea typeface="Roboto" pitchFamily="2" charset="0"/>
              <a:cs typeface="+mn-cs"/>
            </a:rPr>
            <a:t>                                                                                                                                                                </a:t>
          </a:r>
          <a:r>
            <a:rPr lang="en-US" sz="900">
              <a:solidFill>
                <a:sysClr val="windowText" lastClr="000000"/>
              </a:solidFill>
              <a:latin typeface="Roboto" pitchFamily="2" charset="0"/>
              <a:ea typeface="Roboto" pitchFamily="2" charset="0"/>
              <a:cs typeface="+mn-cs"/>
              <a:hlinkClick xmlns:r="http://schemas.openxmlformats.org/officeDocument/2006/relationships" r:id=""/>
            </a:rPr>
            <a:t>ateh@ateh.eu</a:t>
          </a:r>
          <a:r>
            <a:rPr lang="en-US" sz="900">
              <a:solidFill>
                <a:schemeClr val="dk1"/>
              </a:solidFill>
              <a:latin typeface="Roboto" pitchFamily="2" charset="0"/>
              <a:ea typeface="Roboto" pitchFamily="2" charset="0"/>
              <a:cs typeface="+mn-cs"/>
            </a:rPr>
            <a:t> </a:t>
          </a:r>
          <a:r>
            <a:rPr lang="cs-CZ" sz="900">
              <a:solidFill>
                <a:schemeClr val="dk1"/>
              </a:solidFill>
              <a:latin typeface="Roboto" pitchFamily="2" charset="0"/>
              <a:ea typeface="Roboto" pitchFamily="2" charset="0"/>
              <a:cs typeface="+mn-cs"/>
            </a:rPr>
            <a:t>                                                                                                                                                                                                                                                                       </a:t>
          </a:r>
          <a:r>
            <a:rPr lang="en-US" sz="900" u="none" strike="noStrike">
              <a:solidFill>
                <a:sysClr val="windowText" lastClr="000000"/>
              </a:solidFill>
              <a:latin typeface="Roboto" pitchFamily="2" charset="0"/>
              <a:ea typeface="Roboto" pitchFamily="2" charset="0"/>
              <a:cs typeface="+mn-cs"/>
              <a:hlinkClick xmlns:r="http://schemas.openxmlformats.org/officeDocument/2006/relationships" r:id=""/>
            </a:rPr>
            <a:t>www.ateh.cz</a:t>
          </a:r>
          <a:endParaRPr lang="cs-CZ" sz="900">
            <a:solidFill>
              <a:sysClr val="windowText" lastClr="000000"/>
            </a:solidFill>
            <a:latin typeface="Roboto" pitchFamily="2" charset="0"/>
            <a:ea typeface="Roboto" pitchFamily="2" charset="0"/>
            <a:cs typeface="+mn-cs"/>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INS-VM\Buildpowers\Templates\Rozpocty\Sablo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BBS%20-%20rozpo&#269;et%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rozpočtu"/>
      <sheetName val="Rozpočet - objekty"/>
      <sheetName val="Stavební rozpočet (D.1.1)"/>
      <sheetName val="Stavební rozpočet (D.1.4.1)"/>
      <sheetName val="Stavební rozpočet (D.1.4.2)"/>
      <sheetName val="Stavební rozpočet (D.1.4.3)"/>
      <sheetName val="Stavební rozpočet (D.1.4.4)"/>
      <sheetName val="Stavební rozpočet (D.1.4.5)"/>
      <sheetName val="Stavební rozpočet (D.1.4.6)"/>
      <sheetName val="Stavební rozpočet (D.1.4.7)"/>
      <sheetName val="Stavební rozpočet (D.1.4.8)"/>
      <sheetName val="Stavební rozpočet (D.1.4.9)"/>
      <sheetName val="Stavební rozpočet"/>
    </sheetNames>
    <sheetDataSet>
      <sheetData sheetId="0"/>
      <sheetData sheetId="1"/>
      <sheetData sheetId="2"/>
      <sheetData sheetId="3">
        <row r="14">
          <cell r="AJ14">
            <v>0</v>
          </cell>
          <cell r="AK14">
            <v>0</v>
          </cell>
        </row>
      </sheetData>
      <sheetData sheetId="4">
        <row r="14">
          <cell r="AJ14">
            <v>0</v>
          </cell>
          <cell r="AK14">
            <v>0</v>
          </cell>
        </row>
      </sheetData>
      <sheetData sheetId="5">
        <row r="14">
          <cell r="AJ14">
            <v>0</v>
          </cell>
          <cell r="AK14">
            <v>0</v>
          </cell>
        </row>
      </sheetData>
      <sheetData sheetId="6">
        <row r="14">
          <cell r="AJ14">
            <v>0</v>
          </cell>
          <cell r="AK14">
            <v>0</v>
          </cell>
        </row>
      </sheetData>
      <sheetData sheetId="7">
        <row r="14">
          <cell r="AJ14">
            <v>0</v>
          </cell>
          <cell r="AK14">
            <v>0</v>
          </cell>
        </row>
      </sheetData>
      <sheetData sheetId="8">
        <row r="14">
          <cell r="AJ14">
            <v>0</v>
          </cell>
          <cell r="AK14">
            <v>0</v>
          </cell>
        </row>
      </sheetData>
      <sheetData sheetId="9">
        <row r="14">
          <cell r="AJ14">
            <v>0</v>
          </cell>
          <cell r="AK14">
            <v>0</v>
          </cell>
        </row>
      </sheetData>
      <sheetData sheetId="10">
        <row r="14">
          <cell r="AJ14">
            <v>0</v>
          </cell>
          <cell r="AK14">
            <v>0</v>
          </cell>
        </row>
      </sheetData>
      <sheetData sheetId="11">
        <row r="14">
          <cell r="AJ14">
            <v>0</v>
          </cell>
          <cell r="AK14">
            <v>0</v>
          </cell>
        </row>
      </sheetData>
      <sheetData sheetId="12">
        <row r="2">
          <cell r="D2" t="str">
            <v>REKONSTRUKCE RODNÉHO BYTU B.SMETANY - ZÁMECKÝ PIVOVAR LITOMYŠL</v>
          </cell>
          <cell r="F2" t="str">
            <v> </v>
          </cell>
          <cell r="I2" t="str">
            <v>Město Litomyšl</v>
          </cell>
        </row>
        <row r="4">
          <cell r="D4" t="str">
            <v> </v>
          </cell>
          <cell r="F4" t="str">
            <v>11.05.2023</v>
          </cell>
          <cell r="I4" t="str">
            <v>KIP spol. s r.o. Litomyšl</v>
          </cell>
        </row>
        <row r="6">
          <cell r="D6" t="str">
            <v>LITOMYŠL</v>
          </cell>
          <cell r="F6" t="str">
            <v> </v>
          </cell>
          <cell r="I6" t="str">
            <v> </v>
          </cell>
        </row>
        <row r="8">
          <cell r="D8" t="str">
            <v> </v>
          </cell>
          <cell r="F8" t="str">
            <v>11.05.2023</v>
          </cell>
          <cell r="I8" t="str">
            <v>MARTIN ČERNÝ, DIS.</v>
          </cell>
        </row>
        <row r="14">
          <cell r="G14">
            <v>5.346</v>
          </cell>
          <cell r="L14">
            <v>0</v>
          </cell>
        </row>
        <row r="16">
          <cell r="G16">
            <v>5.35</v>
          </cell>
          <cell r="L16">
            <v>0</v>
          </cell>
        </row>
        <row r="18">
          <cell r="G18">
            <v>1</v>
          </cell>
          <cell r="L18">
            <v>0</v>
          </cell>
        </row>
        <row r="21">
          <cell r="G21">
            <v>1</v>
          </cell>
          <cell r="L21">
            <v>2.525</v>
          </cell>
        </row>
        <row r="23">
          <cell r="G23">
            <v>3</v>
          </cell>
          <cell r="L23">
            <v>0.0392</v>
          </cell>
        </row>
        <row r="25">
          <cell r="G25">
            <v>3</v>
          </cell>
          <cell r="L25">
            <v>0</v>
          </cell>
        </row>
        <row r="28">
          <cell r="G28">
            <v>2.318</v>
          </cell>
          <cell r="L28">
            <v>0.03747</v>
          </cell>
        </row>
        <row r="30">
          <cell r="G30">
            <v>8.2535</v>
          </cell>
          <cell r="L30">
            <v>0.08119</v>
          </cell>
        </row>
        <row r="35">
          <cell r="G35">
            <v>110</v>
          </cell>
          <cell r="L35">
            <v>0.00475</v>
          </cell>
        </row>
        <row r="37">
          <cell r="G37">
            <v>55</v>
          </cell>
          <cell r="L37">
            <v>0.06636</v>
          </cell>
        </row>
        <row r="39">
          <cell r="G39">
            <v>0.125</v>
          </cell>
          <cell r="L39">
            <v>2.69752</v>
          </cell>
        </row>
        <row r="42">
          <cell r="G42">
            <v>571.6906</v>
          </cell>
          <cell r="L42">
            <v>0.01574</v>
          </cell>
        </row>
        <row r="60">
          <cell r="G60">
            <v>14.4375</v>
          </cell>
          <cell r="L60">
            <v>0.04766</v>
          </cell>
        </row>
        <row r="65">
          <cell r="G65">
            <v>5.25</v>
          </cell>
          <cell r="L65">
            <v>0.05629</v>
          </cell>
        </row>
        <row r="67">
          <cell r="G67">
            <v>9.9</v>
          </cell>
          <cell r="L67">
            <v>0</v>
          </cell>
        </row>
        <row r="70">
          <cell r="G70">
            <v>107</v>
          </cell>
          <cell r="L70">
            <v>0.00984</v>
          </cell>
        </row>
        <row r="72">
          <cell r="G72">
            <v>1</v>
          </cell>
          <cell r="L72">
            <v>0</v>
          </cell>
        </row>
        <row r="74">
          <cell r="G74">
            <v>107</v>
          </cell>
          <cell r="L74">
            <v>2E-05</v>
          </cell>
        </row>
        <row r="76">
          <cell r="G76">
            <v>107</v>
          </cell>
          <cell r="L76">
            <v>0.00087</v>
          </cell>
        </row>
        <row r="79">
          <cell r="G79">
            <v>313.6</v>
          </cell>
          <cell r="L79">
            <v>0</v>
          </cell>
        </row>
        <row r="82">
          <cell r="G82">
            <v>4.383</v>
          </cell>
          <cell r="L82">
            <v>0.04</v>
          </cell>
        </row>
        <row r="84">
          <cell r="G84">
            <v>4.383</v>
          </cell>
          <cell r="L84">
            <v>2.525</v>
          </cell>
        </row>
        <row r="86">
          <cell r="G86">
            <v>9.74</v>
          </cell>
          <cell r="L86">
            <v>0.0141</v>
          </cell>
        </row>
        <row r="88">
          <cell r="G88">
            <v>9.74</v>
          </cell>
          <cell r="L88">
            <v>0</v>
          </cell>
        </row>
        <row r="90">
          <cell r="G90">
            <v>0.5932</v>
          </cell>
          <cell r="L90">
            <v>2.76314</v>
          </cell>
        </row>
        <row r="92">
          <cell r="G92">
            <v>37.68</v>
          </cell>
          <cell r="L92">
            <v>0.16878</v>
          </cell>
        </row>
        <row r="94">
          <cell r="G94">
            <v>39.564</v>
          </cell>
          <cell r="L94">
            <v>0.059</v>
          </cell>
        </row>
        <row r="97">
          <cell r="G97">
            <v>160.46</v>
          </cell>
          <cell r="L97">
            <v>0.01375</v>
          </cell>
        </row>
        <row r="99">
          <cell r="G99">
            <v>160.46</v>
          </cell>
          <cell r="L99">
            <v>0.00026</v>
          </cell>
        </row>
        <row r="101">
          <cell r="G101">
            <v>5.005</v>
          </cell>
          <cell r="L101">
            <v>0.03735</v>
          </cell>
        </row>
        <row r="103">
          <cell r="G103">
            <v>17</v>
          </cell>
          <cell r="L103">
            <v>0.00257</v>
          </cell>
        </row>
        <row r="106">
          <cell r="G106">
            <v>4.2</v>
          </cell>
          <cell r="L106">
            <v>0.02465</v>
          </cell>
        </row>
        <row r="109">
          <cell r="G109">
            <v>43.38</v>
          </cell>
          <cell r="L109">
            <v>0.00018</v>
          </cell>
        </row>
        <row r="111">
          <cell r="G111">
            <v>7.47</v>
          </cell>
          <cell r="L111">
            <v>0.00028</v>
          </cell>
        </row>
        <row r="113">
          <cell r="G113">
            <v>0.14048</v>
          </cell>
          <cell r="L113">
            <v>0.5</v>
          </cell>
        </row>
        <row r="116">
          <cell r="G116">
            <v>22.612</v>
          </cell>
          <cell r="L116">
            <v>0.00017</v>
          </cell>
        </row>
        <row r="118">
          <cell r="G118">
            <v>29.4382</v>
          </cell>
          <cell r="L118">
            <v>0.0216</v>
          </cell>
        </row>
        <row r="121">
          <cell r="G121">
            <v>4.15</v>
          </cell>
          <cell r="L121">
            <v>0.00028</v>
          </cell>
        </row>
        <row r="123">
          <cell r="G123">
            <v>1</v>
          </cell>
          <cell r="L123">
            <v>0</v>
          </cell>
        </row>
        <row r="125">
          <cell r="G125">
            <v>10</v>
          </cell>
          <cell r="L125">
            <v>0.02</v>
          </cell>
        </row>
        <row r="127">
          <cell r="G127">
            <v>1</v>
          </cell>
          <cell r="L127">
            <v>0.02</v>
          </cell>
        </row>
        <row r="129">
          <cell r="G129">
            <v>1</v>
          </cell>
          <cell r="L129">
            <v>0.05</v>
          </cell>
        </row>
        <row r="131">
          <cell r="G131">
            <v>1</v>
          </cell>
          <cell r="L131">
            <v>0.05</v>
          </cell>
        </row>
        <row r="133">
          <cell r="G133">
            <v>2</v>
          </cell>
          <cell r="L133">
            <v>0.03</v>
          </cell>
        </row>
        <row r="135">
          <cell r="G135">
            <v>2</v>
          </cell>
          <cell r="L135">
            <v>0.1</v>
          </cell>
        </row>
        <row r="137">
          <cell r="G137">
            <v>1</v>
          </cell>
          <cell r="L137">
            <v>0.025</v>
          </cell>
        </row>
        <row r="139">
          <cell r="G139">
            <v>1</v>
          </cell>
          <cell r="L139">
            <v>0.02</v>
          </cell>
        </row>
        <row r="141">
          <cell r="G141">
            <v>1</v>
          </cell>
          <cell r="L141">
            <v>0.02</v>
          </cell>
        </row>
        <row r="143">
          <cell r="G143">
            <v>3</v>
          </cell>
          <cell r="L143">
            <v>0</v>
          </cell>
        </row>
        <row r="145">
          <cell r="G145">
            <v>1</v>
          </cell>
          <cell r="L145">
            <v>0.05</v>
          </cell>
        </row>
        <row r="147">
          <cell r="G147">
            <v>1</v>
          </cell>
          <cell r="L147">
            <v>0.09</v>
          </cell>
        </row>
        <row r="149">
          <cell r="G149">
            <v>1</v>
          </cell>
          <cell r="L149">
            <v>0</v>
          </cell>
        </row>
        <row r="151">
          <cell r="G151">
            <v>1</v>
          </cell>
          <cell r="L151">
            <v>0</v>
          </cell>
        </row>
        <row r="153">
          <cell r="G153">
            <v>1</v>
          </cell>
          <cell r="L153">
            <v>0.05</v>
          </cell>
        </row>
        <row r="155">
          <cell r="G155">
            <v>1</v>
          </cell>
          <cell r="L155">
            <v>0</v>
          </cell>
        </row>
        <row r="157">
          <cell r="G157">
            <v>1.60954</v>
          </cell>
          <cell r="L157">
            <v>0</v>
          </cell>
        </row>
        <row r="159">
          <cell r="G159">
            <v>15</v>
          </cell>
          <cell r="L159">
            <v>0.001</v>
          </cell>
        </row>
        <row r="161">
          <cell r="G161">
            <v>1</v>
          </cell>
          <cell r="L161">
            <v>6E-05</v>
          </cell>
        </row>
        <row r="164">
          <cell r="G164">
            <v>160.46</v>
          </cell>
          <cell r="L164">
            <v>0.025</v>
          </cell>
        </row>
        <row r="166">
          <cell r="G166">
            <v>160.46</v>
          </cell>
          <cell r="L166">
            <v>6E-05</v>
          </cell>
        </row>
        <row r="168">
          <cell r="G168">
            <v>184.7705</v>
          </cell>
          <cell r="L168">
            <v>0.01372</v>
          </cell>
        </row>
        <row r="171">
          <cell r="G171">
            <v>160.46</v>
          </cell>
          <cell r="L171">
            <v>1E-05</v>
          </cell>
        </row>
        <row r="173">
          <cell r="G173">
            <v>160.67</v>
          </cell>
          <cell r="L173">
            <v>0.00035</v>
          </cell>
        </row>
        <row r="175">
          <cell r="G175">
            <v>97.68</v>
          </cell>
          <cell r="L175">
            <v>0</v>
          </cell>
        </row>
        <row r="177">
          <cell r="G177">
            <v>90.988</v>
          </cell>
          <cell r="L177">
            <v>0.0002</v>
          </cell>
        </row>
        <row r="180">
          <cell r="G180">
            <v>17</v>
          </cell>
          <cell r="L180">
            <v>0</v>
          </cell>
        </row>
        <row r="182">
          <cell r="G182">
            <v>6.61402</v>
          </cell>
          <cell r="L182">
            <v>0</v>
          </cell>
        </row>
        <row r="184">
          <cell r="G184">
            <v>1</v>
          </cell>
          <cell r="L184">
            <v>0.0098</v>
          </cell>
        </row>
        <row r="187">
          <cell r="G187">
            <v>137.3816</v>
          </cell>
          <cell r="L187">
            <v>0</v>
          </cell>
        </row>
        <row r="192">
          <cell r="G192">
            <v>434.309</v>
          </cell>
          <cell r="L192">
            <v>0</v>
          </cell>
        </row>
        <row r="206">
          <cell r="G206">
            <v>434.309</v>
          </cell>
          <cell r="L206">
            <v>0.00067</v>
          </cell>
        </row>
        <row r="220">
          <cell r="G220">
            <v>434.309</v>
          </cell>
          <cell r="L220">
            <v>0.00067</v>
          </cell>
        </row>
        <row r="234">
          <cell r="G234">
            <v>25.548</v>
          </cell>
          <cell r="L234">
            <v>0.00042</v>
          </cell>
        </row>
        <row r="238">
          <cell r="G238">
            <v>137.3816</v>
          </cell>
          <cell r="L238">
            <v>0</v>
          </cell>
        </row>
        <row r="244">
          <cell r="G244">
            <v>0.24</v>
          </cell>
          <cell r="L244">
            <v>8E-05</v>
          </cell>
        </row>
        <row r="246">
          <cell r="G246">
            <v>0.252</v>
          </cell>
          <cell r="L246">
            <v>0.01</v>
          </cell>
        </row>
        <row r="250">
          <cell r="G250">
            <v>202.28</v>
          </cell>
          <cell r="L250">
            <v>0.00121</v>
          </cell>
        </row>
        <row r="252">
          <cell r="G252">
            <v>40</v>
          </cell>
          <cell r="L252">
            <v>0.01838</v>
          </cell>
        </row>
        <row r="254">
          <cell r="G254">
            <v>120</v>
          </cell>
          <cell r="L254">
            <v>0.00097</v>
          </cell>
        </row>
        <row r="256">
          <cell r="G256">
            <v>40</v>
          </cell>
          <cell r="L256">
            <v>0</v>
          </cell>
        </row>
        <row r="259">
          <cell r="G259">
            <v>2</v>
          </cell>
          <cell r="L259">
            <v>0.02</v>
          </cell>
        </row>
        <row r="261">
          <cell r="G261">
            <v>1</v>
          </cell>
          <cell r="L261">
            <v>0.002</v>
          </cell>
        </row>
        <row r="263">
          <cell r="G263">
            <v>1</v>
          </cell>
          <cell r="L263">
            <v>0</v>
          </cell>
        </row>
        <row r="266">
          <cell r="G266">
            <v>165</v>
          </cell>
          <cell r="L266">
            <v>0.005</v>
          </cell>
        </row>
        <row r="268">
          <cell r="G268">
            <v>8.766</v>
          </cell>
          <cell r="L268">
            <v>1.4</v>
          </cell>
        </row>
        <row r="270">
          <cell r="G270">
            <v>2</v>
          </cell>
          <cell r="L270">
            <v>0</v>
          </cell>
        </row>
        <row r="272">
          <cell r="G272">
            <v>2.1525</v>
          </cell>
          <cell r="L272">
            <v>0.08917</v>
          </cell>
        </row>
        <row r="274">
          <cell r="G274">
            <v>1.0675</v>
          </cell>
          <cell r="L274">
            <v>0.31967</v>
          </cell>
        </row>
        <row r="276">
          <cell r="G276">
            <v>2.66</v>
          </cell>
          <cell r="L276">
            <v>0.038</v>
          </cell>
        </row>
        <row r="278">
          <cell r="G278">
            <v>0.815</v>
          </cell>
          <cell r="L278">
            <v>2.40666</v>
          </cell>
        </row>
        <row r="281">
          <cell r="G281">
            <v>160.46</v>
          </cell>
          <cell r="L281">
            <v>0.0126</v>
          </cell>
        </row>
        <row r="283">
          <cell r="G283">
            <v>37.68</v>
          </cell>
          <cell r="L283">
            <v>0.122</v>
          </cell>
        </row>
        <row r="286">
          <cell r="G286">
            <v>44.55</v>
          </cell>
          <cell r="L286">
            <v>0</v>
          </cell>
        </row>
        <row r="288">
          <cell r="G288">
            <v>92.53</v>
          </cell>
          <cell r="L288">
            <v>0.059</v>
          </cell>
        </row>
        <row r="290">
          <cell r="G290">
            <v>92.53</v>
          </cell>
          <cell r="L290">
            <v>0.014</v>
          </cell>
        </row>
        <row r="292">
          <cell r="G292">
            <v>2.8146</v>
          </cell>
          <cell r="L292">
            <v>2.50133</v>
          </cell>
        </row>
        <row r="295">
          <cell r="G295">
            <v>1.1745</v>
          </cell>
          <cell r="L295">
            <v>1.80182</v>
          </cell>
        </row>
        <row r="298">
          <cell r="G298">
            <v>14</v>
          </cell>
          <cell r="L298">
            <v>0.008</v>
          </cell>
        </row>
        <row r="300">
          <cell r="G300">
            <v>4.45</v>
          </cell>
          <cell r="L300">
            <v>0.05024</v>
          </cell>
        </row>
        <row r="303">
          <cell r="G303">
            <v>43.78219</v>
          </cell>
          <cell r="L303">
            <v>0</v>
          </cell>
        </row>
        <row r="305">
          <cell r="G305">
            <v>19.02</v>
          </cell>
          <cell r="L305">
            <v>0</v>
          </cell>
        </row>
        <row r="307">
          <cell r="G307">
            <v>42.57</v>
          </cell>
          <cell r="L307">
            <v>0</v>
          </cell>
        </row>
        <row r="309">
          <cell r="G309">
            <v>170.28</v>
          </cell>
          <cell r="L309">
            <v>0</v>
          </cell>
        </row>
        <row r="311">
          <cell r="G311">
            <v>42.57</v>
          </cell>
          <cell r="L311">
            <v>0</v>
          </cell>
        </row>
        <row r="313">
          <cell r="G313">
            <v>42.57</v>
          </cell>
          <cell r="L313">
            <v>0</v>
          </cell>
        </row>
        <row r="315">
          <cell r="G315">
            <v>42.57</v>
          </cell>
          <cell r="L315">
            <v>0</v>
          </cell>
        </row>
        <row r="319">
          <cell r="G319">
            <v>1</v>
          </cell>
          <cell r="L319">
            <v>0</v>
          </cell>
        </row>
        <row r="321">
          <cell r="G321">
            <v>1</v>
          </cell>
          <cell r="L321">
            <v>0</v>
          </cell>
        </row>
        <row r="323">
          <cell r="G323">
            <v>1</v>
          </cell>
          <cell r="L323">
            <v>0</v>
          </cell>
        </row>
        <row r="326">
          <cell r="G326">
            <v>1</v>
          </cell>
          <cell r="L326">
            <v>0</v>
          </cell>
        </row>
        <row r="332">
          <cell r="G332">
            <v>1</v>
          </cell>
          <cell r="L332">
            <v>0</v>
          </cell>
        </row>
        <row r="334">
          <cell r="M334">
            <v>0</v>
          </cell>
        </row>
        <row r="338">
          <cell r="M338">
            <v>0</v>
          </cell>
        </row>
        <row r="339">
          <cell r="M339">
            <v>0</v>
          </cell>
        </row>
        <row r="340">
          <cell r="M340">
            <v>0</v>
          </cell>
        </row>
        <row r="342">
          <cell r="M342">
            <v>0</v>
          </cell>
        </row>
        <row r="343">
          <cell r="M343">
            <v>0</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9B6C4-D665-4DB9-933F-57852DC7455C}">
  <sheetPr>
    <pageSetUpPr fitToPage="1"/>
  </sheetPr>
  <dimension ref="A1:I24"/>
  <sheetViews>
    <sheetView showOutlineSymbols="0" workbookViewId="0" topLeftCell="A1">
      <selection activeCell="J11" sqref="J11"/>
    </sheetView>
  </sheetViews>
  <sheetFormatPr defaultColWidth="12.140625" defaultRowHeight="15" customHeight="1"/>
  <cols>
    <col min="1" max="1" width="9.140625" style="326" customWidth="1"/>
    <col min="2" max="2" width="12.8515625" style="326" customWidth="1"/>
    <col min="3" max="3" width="27.140625" style="326" customWidth="1"/>
    <col min="4" max="4" width="10.00390625" style="326" customWidth="1"/>
    <col min="5" max="5" width="14.00390625" style="326" customWidth="1"/>
    <col min="6" max="6" width="27.140625" style="326" customWidth="1"/>
    <col min="7" max="7" width="9.140625" style="326" customWidth="1"/>
    <col min="8" max="8" width="12.8515625" style="326" customWidth="1"/>
    <col min="9" max="9" width="27.140625" style="326" customWidth="1"/>
    <col min="10" max="16384" width="12.140625" style="296" customWidth="1"/>
  </cols>
  <sheetData>
    <row r="1" spans="1:9" ht="54.75" customHeight="1">
      <c r="A1" s="295" t="s">
        <v>1217</v>
      </c>
      <c r="B1" s="295"/>
      <c r="C1" s="295"/>
      <c r="D1" s="295"/>
      <c r="E1" s="295"/>
      <c r="F1" s="295"/>
      <c r="G1" s="295"/>
      <c r="H1" s="295"/>
      <c r="I1" s="295"/>
    </row>
    <row r="2" spans="1:9" ht="15" customHeight="1">
      <c r="A2" s="297" t="s">
        <v>573</v>
      </c>
      <c r="B2" s="297"/>
      <c r="C2" s="298" t="str">
        <f>'[2]Stavební rozpočet'!D2</f>
        <v>REKONSTRUKCE RODNÉHO BYTU B.SMETANY - ZÁMECKÝ PIVOVAR LITOMYŠL</v>
      </c>
      <c r="D2" s="298"/>
      <c r="E2" s="299" t="s">
        <v>571</v>
      </c>
      <c r="F2" s="299" t="str">
        <f>'[2]Stavební rozpočet'!I2</f>
        <v>Město Litomyšl</v>
      </c>
      <c r="G2" s="299"/>
      <c r="H2" s="299" t="s">
        <v>1216</v>
      </c>
      <c r="I2" s="300"/>
    </row>
    <row r="3" spans="1:9" ht="25.5" customHeight="1">
      <c r="A3" s="297"/>
      <c r="B3" s="297"/>
      <c r="C3" s="298"/>
      <c r="D3" s="298"/>
      <c r="E3" s="299"/>
      <c r="F3" s="299"/>
      <c r="G3" s="299"/>
      <c r="H3" s="299"/>
      <c r="I3" s="300"/>
    </row>
    <row r="4" spans="1:9" ht="15" customHeight="1">
      <c r="A4" s="301" t="s">
        <v>570</v>
      </c>
      <c r="B4" s="301"/>
      <c r="C4" s="302" t="str">
        <f>'[2]Stavební rozpočet'!D4</f>
        <v xml:space="preserve"> </v>
      </c>
      <c r="D4" s="302"/>
      <c r="E4" s="302" t="s">
        <v>568</v>
      </c>
      <c r="F4" s="302" t="str">
        <f>'[2]Stavební rozpočet'!I4</f>
        <v>KIP spol. s r.o. Litomyšl</v>
      </c>
      <c r="G4" s="302"/>
      <c r="H4" s="302" t="s">
        <v>1216</v>
      </c>
      <c r="I4" s="303"/>
    </row>
    <row r="5" spans="1:9" ht="15" customHeight="1">
      <c r="A5" s="301"/>
      <c r="B5" s="301"/>
      <c r="C5" s="302"/>
      <c r="D5" s="302"/>
      <c r="E5" s="302"/>
      <c r="F5" s="302"/>
      <c r="G5" s="302"/>
      <c r="H5" s="302"/>
      <c r="I5" s="303"/>
    </row>
    <row r="6" spans="1:9" ht="15" customHeight="1">
      <c r="A6" s="301" t="s">
        <v>567</v>
      </c>
      <c r="B6" s="301"/>
      <c r="C6" s="302" t="str">
        <f>'[2]Stavební rozpočet'!D6</f>
        <v>LITOMYŠL</v>
      </c>
      <c r="D6" s="302"/>
      <c r="E6" s="302" t="s">
        <v>565</v>
      </c>
      <c r="F6" s="302" t="str">
        <f>'[2]Stavební rozpočet'!I6</f>
        <v> </v>
      </c>
      <c r="G6" s="302"/>
      <c r="H6" s="302" t="s">
        <v>1216</v>
      </c>
      <c r="I6" s="303"/>
    </row>
    <row r="7" spans="1:9" ht="15" customHeight="1">
      <c r="A7" s="301"/>
      <c r="B7" s="301"/>
      <c r="C7" s="302"/>
      <c r="D7" s="302"/>
      <c r="E7" s="302"/>
      <c r="F7" s="302"/>
      <c r="G7" s="302"/>
      <c r="H7" s="302"/>
      <c r="I7" s="303"/>
    </row>
    <row r="8" spans="1:9" ht="15" customHeight="1">
      <c r="A8" s="301" t="s">
        <v>569</v>
      </c>
      <c r="B8" s="301"/>
      <c r="C8" s="302" t="str">
        <f>'[2]Stavební rozpočet'!F4</f>
        <v>11.05.2023</v>
      </c>
      <c r="D8" s="302"/>
      <c r="E8" s="302" t="s">
        <v>566</v>
      </c>
      <c r="F8" s="302" t="str">
        <f>'[2]Stavební rozpočet'!F6</f>
        <v xml:space="preserve"> </v>
      </c>
      <c r="G8" s="302"/>
      <c r="H8" s="304" t="s">
        <v>1215</v>
      </c>
      <c r="I8" s="305">
        <v>121</v>
      </c>
    </row>
    <row r="9" spans="1:9" ht="15" customHeight="1">
      <c r="A9" s="301"/>
      <c r="B9" s="301"/>
      <c r="C9" s="302"/>
      <c r="D9" s="302"/>
      <c r="E9" s="302"/>
      <c r="F9" s="302"/>
      <c r="G9" s="302"/>
      <c r="H9" s="304"/>
      <c r="I9" s="305"/>
    </row>
    <row r="10" spans="1:9" ht="15" customHeight="1">
      <c r="A10" s="306" t="s">
        <v>564</v>
      </c>
      <c r="B10" s="306"/>
      <c r="C10" s="307" t="str">
        <f>'[2]Stavební rozpočet'!D8</f>
        <v xml:space="preserve"> </v>
      </c>
      <c r="D10" s="307"/>
      <c r="E10" s="307" t="s">
        <v>562</v>
      </c>
      <c r="F10" s="307" t="str">
        <f>'[2]Stavební rozpočet'!I8</f>
        <v>MARTIN ČERNÝ, DIS.</v>
      </c>
      <c r="G10" s="307"/>
      <c r="H10" s="308" t="s">
        <v>1214</v>
      </c>
      <c r="I10" s="309" t="str">
        <f>'[2]Stavební rozpočet'!F8</f>
        <v>11.05.2023</v>
      </c>
    </row>
    <row r="11" spans="1:9" ht="15" customHeight="1">
      <c r="A11" s="306"/>
      <c r="B11" s="306"/>
      <c r="C11" s="307"/>
      <c r="D11" s="307"/>
      <c r="E11" s="307"/>
      <c r="F11" s="307"/>
      <c r="G11" s="307"/>
      <c r="H11" s="308"/>
      <c r="I11" s="309"/>
    </row>
    <row r="12" spans="1:9" ht="22.5" customHeight="1">
      <c r="A12" s="310" t="s">
        <v>1213</v>
      </c>
      <c r="B12" s="310"/>
      <c r="C12" s="310"/>
      <c r="D12" s="310"/>
      <c r="E12" s="310"/>
      <c r="F12" s="310"/>
      <c r="G12" s="310"/>
      <c r="H12" s="310"/>
      <c r="I12" s="310"/>
    </row>
    <row r="13" spans="1:9" ht="15" customHeight="1">
      <c r="A13" s="311"/>
      <c r="B13" s="311"/>
      <c r="C13" s="311"/>
      <c r="D13" s="311"/>
      <c r="E13" s="311"/>
      <c r="F13" s="311"/>
      <c r="G13" s="311"/>
      <c r="H13" s="311"/>
      <c r="I13" s="311"/>
    </row>
    <row r="14" spans="1:9" ht="15" customHeight="1">
      <c r="A14" s="312" t="s">
        <v>1212</v>
      </c>
      <c r="B14" s="312"/>
      <c r="C14" s="313">
        <f>ROUND(SUM('Stavební rozpočet (D.1.1)'!AJ12:AJ366),0)+ROUND(SUM('[2]Stavební rozpočet (D.1.4.1)'!AJ12:AJ369),0)+ROUND(SUM('[2]Stavební rozpočet (D.1.4.2)'!AJ12:AJ369),0)+ROUND(SUM('[2]Stavební rozpočet (D.1.4.3)'!AJ12:AJ369),0)+ROUND(SUM('[2]Stavební rozpočet (D.1.4.4)'!AJ12:AJ369),0)+ROUND(SUM('[2]Stavební rozpočet (D.1.4.5)'!AJ12:AJ369),0)+ROUND(SUM('[2]Stavební rozpočet (D.1.4.6)'!AJ12:AJ369),0)+ROUND(SUM('[2]Stavební rozpočet (D.1.4.7)'!AJ12:AJ369),0)+ROUND(SUM('[2]Stavební rozpočet (D.1.4.8)'!AJ12:AJ369),0)+ROUND(SUM('[2]Stavební rozpočet (D.1.4.9)'!AJ12:AJ369),0)</f>
        <v>0</v>
      </c>
      <c r="D14" s="311"/>
      <c r="E14" s="311"/>
      <c r="F14" s="311"/>
      <c r="G14" s="311"/>
      <c r="H14" s="311"/>
      <c r="I14" s="311"/>
    </row>
    <row r="15" spans="1:9" ht="15" customHeight="1">
      <c r="A15" s="314" t="s">
        <v>1211</v>
      </c>
      <c r="B15" s="314"/>
      <c r="C15" s="315">
        <f>ROUND(SUM('Stavební rozpočet (D.1.1)'!AK12:AK366),0)+ROUND(SUM('[2]Stavební rozpočet (D.1.4.1)'!AK12:AK369),0)+ROUND(SUM('[2]Stavební rozpočet (D.1.4.2)'!AK12:AK369),0)+ROUND(SUM('[2]Stavební rozpočet (D.1.4.3)'!AK12:AK369),0)+ROUND(SUM('[2]Stavební rozpočet (D.1.4.4)'!AK12:AK369),0)+ROUND(SUM('[2]Stavební rozpočet (D.1.4.5)'!AK12:AK369),0)+ROUND(SUM('[2]Stavební rozpočet (D.1.4.6)'!AK12:AK369),0)+ROUND(SUM('[2]Stavební rozpočet (D.1.4.7)'!AK12:AK369),0)+ROUND(SUM('[2]Stavební rozpočet (D.1.4.8)'!AK12:AK369),0)+ROUND(SUM('[2]Stavební rozpočet (D.1.4.9)'!AK12:AK369),0)</f>
        <v>0</v>
      </c>
      <c r="D15" s="316" t="s">
        <v>1210</v>
      </c>
      <c r="E15" s="316"/>
      <c r="F15" s="313">
        <f>ROUND(C15*(15/100),2)</f>
        <v>0</v>
      </c>
      <c r="G15" s="316" t="s">
        <v>1182</v>
      </c>
      <c r="H15" s="316"/>
      <c r="I15" s="313">
        <f>'Rozpočet - objekty'!K21</f>
        <v>0</v>
      </c>
    </row>
    <row r="16" spans="1:9" ht="15" customHeight="1">
      <c r="A16" s="314" t="s">
        <v>1209</v>
      </c>
      <c r="B16" s="314"/>
      <c r="C16" s="315">
        <f>'Rozpočet - objekty'!K21</f>
        <v>0</v>
      </c>
      <c r="D16" s="317" t="s">
        <v>1208</v>
      </c>
      <c r="E16" s="317"/>
      <c r="F16" s="315">
        <f>ROUND(C16*(21/100),2)</f>
        <v>0</v>
      </c>
      <c r="G16" s="317" t="s">
        <v>1207</v>
      </c>
      <c r="H16" s="317"/>
      <c r="I16" s="315">
        <f>ROUND(SUM(F15:F16)+I15,0)</f>
        <v>0</v>
      </c>
    </row>
    <row r="17" spans="1:9" ht="15" customHeight="1" thickBot="1">
      <c r="A17" s="311"/>
      <c r="B17" s="311"/>
      <c r="C17" s="311"/>
      <c r="D17" s="311"/>
      <c r="E17" s="311"/>
      <c r="F17" s="311"/>
      <c r="G17" s="311"/>
      <c r="H17" s="311"/>
      <c r="I17" s="311"/>
    </row>
    <row r="18" spans="1:9" ht="15" customHeight="1">
      <c r="A18" s="318" t="s">
        <v>1189</v>
      </c>
      <c r="B18" s="318"/>
      <c r="C18" s="318"/>
      <c r="D18" s="319" t="s">
        <v>1206</v>
      </c>
      <c r="E18" s="319"/>
      <c r="F18" s="319"/>
      <c r="G18" s="319" t="s">
        <v>1205</v>
      </c>
      <c r="H18" s="319"/>
      <c r="I18" s="319"/>
    </row>
    <row r="19" spans="1:9" ht="15" customHeight="1">
      <c r="A19" s="320"/>
      <c r="B19" s="320"/>
      <c r="C19" s="320"/>
      <c r="D19" s="321"/>
      <c r="E19" s="321"/>
      <c r="F19" s="321"/>
      <c r="G19" s="321"/>
      <c r="H19" s="321"/>
      <c r="I19" s="321"/>
    </row>
    <row r="20" spans="1:9" ht="15" customHeight="1">
      <c r="A20" s="320"/>
      <c r="B20" s="320"/>
      <c r="C20" s="320"/>
      <c r="D20" s="321"/>
      <c r="E20" s="321"/>
      <c r="F20" s="321"/>
      <c r="G20" s="321"/>
      <c r="H20" s="321"/>
      <c r="I20" s="321"/>
    </row>
    <row r="21" spans="1:9" ht="15" customHeight="1">
      <c r="A21" s="320"/>
      <c r="B21" s="320"/>
      <c r="C21" s="320"/>
      <c r="D21" s="321"/>
      <c r="E21" s="321"/>
      <c r="F21" s="321"/>
      <c r="G21" s="321"/>
      <c r="H21" s="321"/>
      <c r="I21" s="321"/>
    </row>
    <row r="22" spans="1:9" ht="15" customHeight="1" thickBot="1">
      <c r="A22" s="322" t="s">
        <v>1204</v>
      </c>
      <c r="B22" s="322"/>
      <c r="C22" s="322"/>
      <c r="D22" s="323" t="s">
        <v>1204</v>
      </c>
      <c r="E22" s="323"/>
      <c r="F22" s="323"/>
      <c r="G22" s="323" t="s">
        <v>1204</v>
      </c>
      <c r="H22" s="323"/>
      <c r="I22" s="323"/>
    </row>
    <row r="23" spans="1:9" ht="15" customHeight="1">
      <c r="A23" s="324" t="s">
        <v>0</v>
      </c>
      <c r="B23" s="311"/>
      <c r="C23" s="311"/>
      <c r="D23" s="311"/>
      <c r="E23" s="311"/>
      <c r="F23" s="311"/>
      <c r="G23" s="311"/>
      <c r="H23" s="311"/>
      <c r="I23" s="311"/>
    </row>
    <row r="24" spans="1:9" ht="12.75" customHeight="1">
      <c r="A24" s="325"/>
      <c r="B24" s="325"/>
      <c r="C24" s="325"/>
      <c r="D24" s="325"/>
      <c r="E24" s="325"/>
      <c r="F24" s="325"/>
      <c r="G24" s="325"/>
      <c r="H24" s="325"/>
      <c r="I24" s="325"/>
    </row>
  </sheetData>
  <sheetProtection algorithmName="SHA-512" hashValue="cjzQgH0p5wXLld/4IBpjAk6i+R+Po3BWjgt3Y8K9a+J/gEQnPqFOQhH5lsA32nP7vEK64a5g5dH9UArO+h6e9Q==" saltValue="QPwaIrUJ0ewEKgN2zNnOhQ==" spinCount="100000" sheet="1" selectLockedCells="1" selectUnlockedCells="1"/>
  <mergeCells count="55">
    <mergeCell ref="A1:I1"/>
    <mergeCell ref="A2:B3"/>
    <mergeCell ref="C2:D3"/>
    <mergeCell ref="E2:E3"/>
    <mergeCell ref="F2:G3"/>
    <mergeCell ref="H2:H3"/>
    <mergeCell ref="I2:I3"/>
    <mergeCell ref="I4:I5"/>
    <mergeCell ref="A6:B7"/>
    <mergeCell ref="C6:D7"/>
    <mergeCell ref="E6:E7"/>
    <mergeCell ref="F6:G7"/>
    <mergeCell ref="H6:H7"/>
    <mergeCell ref="I6:I7"/>
    <mergeCell ref="A4:B5"/>
    <mergeCell ref="C4:D5"/>
    <mergeCell ref="E4:E5"/>
    <mergeCell ref="F4:G5"/>
    <mergeCell ref="H4:H5"/>
    <mergeCell ref="I8:I9"/>
    <mergeCell ref="A10:B11"/>
    <mergeCell ref="C10:D11"/>
    <mergeCell ref="E10:E11"/>
    <mergeCell ref="F10:G11"/>
    <mergeCell ref="H10:H11"/>
    <mergeCell ref="I10:I11"/>
    <mergeCell ref="A8:B9"/>
    <mergeCell ref="C8:D9"/>
    <mergeCell ref="E8:E9"/>
    <mergeCell ref="F8:G9"/>
    <mergeCell ref="H8:H9"/>
    <mergeCell ref="A12:I12"/>
    <mergeCell ref="A14:B14"/>
    <mergeCell ref="A15:B15"/>
    <mergeCell ref="D15:E15"/>
    <mergeCell ref="G15:H15"/>
    <mergeCell ref="A16:B16"/>
    <mergeCell ref="D16:E16"/>
    <mergeCell ref="G16:H16"/>
    <mergeCell ref="A18:C18"/>
    <mergeCell ref="D18:F18"/>
    <mergeCell ref="G18:I18"/>
    <mergeCell ref="A19:C19"/>
    <mergeCell ref="D19:F19"/>
    <mergeCell ref="G19:I19"/>
    <mergeCell ref="A20:C20"/>
    <mergeCell ref="D20:F20"/>
    <mergeCell ref="G20:I20"/>
    <mergeCell ref="A24:I24"/>
    <mergeCell ref="A21:C21"/>
    <mergeCell ref="D21:F21"/>
    <mergeCell ref="G21:I21"/>
    <mergeCell ref="A22:C22"/>
    <mergeCell ref="D22:F22"/>
    <mergeCell ref="G22:I22"/>
  </mergeCells>
  <printOptions/>
  <pageMargins left="0.39375" right="0.39375" top="0.5909722222222222" bottom="0.5909722222222222" header="0.5118110236220472" footer="0.5118110236220472"/>
  <pageSetup fitToHeight="1"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96F3D-2DAC-4590-91D4-1E43052F99D6}">
  <sheetPr>
    <pageSetUpPr fitToPage="1"/>
  </sheetPr>
  <dimension ref="A1:AK202"/>
  <sheetViews>
    <sheetView workbookViewId="0" topLeftCell="A1">
      <selection activeCell="I27" sqref="I27"/>
    </sheetView>
  </sheetViews>
  <sheetFormatPr defaultColWidth="9.140625" defaultRowHeight="10.5" customHeight="1"/>
  <cols>
    <col min="1" max="1" width="5.140625" style="171" customWidth="1"/>
    <col min="2" max="2" width="8.00390625" style="171" customWidth="1"/>
    <col min="3" max="3" width="10.8515625" style="172" customWidth="1"/>
    <col min="4" max="4" width="0.85546875" style="172" customWidth="1"/>
    <col min="5" max="5" width="46.00390625" style="172" customWidth="1"/>
    <col min="6" max="6" width="10.7109375" style="171" customWidth="1"/>
    <col min="7" max="7" width="3.28125" style="170" customWidth="1"/>
    <col min="8" max="8" width="5.140625" style="168" customWidth="1"/>
    <col min="9" max="9" width="10.7109375" style="169" customWidth="1"/>
    <col min="10" max="10" width="16.00390625" style="169" customWidth="1"/>
    <col min="11" max="16384" width="9.140625" style="168" customWidth="1"/>
  </cols>
  <sheetData>
    <row r="1" spans="1:10" ht="11.1" customHeight="1">
      <c r="A1" s="292" t="s">
        <v>1196</v>
      </c>
      <c r="B1" s="292"/>
      <c r="C1" s="292"/>
      <c r="D1" s="292"/>
      <c r="E1" s="292"/>
      <c r="F1" s="292"/>
      <c r="G1" s="292"/>
      <c r="H1" s="292"/>
      <c r="I1" s="292"/>
      <c r="J1" s="292"/>
    </row>
    <row r="2" spans="1:10" ht="11.1" customHeight="1">
      <c r="A2" s="292"/>
      <c r="B2" s="292"/>
      <c r="C2" s="292"/>
      <c r="D2" s="292"/>
      <c r="E2" s="292"/>
      <c r="F2" s="292"/>
      <c r="G2" s="292"/>
      <c r="H2" s="292"/>
      <c r="I2" s="292"/>
      <c r="J2" s="292"/>
    </row>
    <row r="3" spans="1:10" ht="11.1" customHeight="1">
      <c r="A3" s="292"/>
      <c r="B3" s="292"/>
      <c r="C3" s="292"/>
      <c r="D3" s="292"/>
      <c r="E3" s="292"/>
      <c r="F3" s="292"/>
      <c r="G3" s="292"/>
      <c r="H3" s="292"/>
      <c r="I3" s="292"/>
      <c r="J3" s="292"/>
    </row>
    <row r="4" spans="1:10" ht="11.1" customHeight="1">
      <c r="A4" s="292"/>
      <c r="B4" s="292"/>
      <c r="C4" s="292"/>
      <c r="D4" s="292"/>
      <c r="E4" s="292"/>
      <c r="F4" s="292"/>
      <c r="G4" s="292"/>
      <c r="H4" s="292"/>
      <c r="I4" s="292"/>
      <c r="J4" s="292"/>
    </row>
    <row r="5" spans="1:10" ht="11.1" customHeight="1">
      <c r="A5" s="293"/>
      <c r="B5" s="293"/>
      <c r="C5" s="293"/>
      <c r="D5" s="293"/>
      <c r="E5" s="293"/>
      <c r="F5" s="293"/>
      <c r="G5" s="293"/>
      <c r="H5" s="293"/>
      <c r="I5" s="293"/>
      <c r="J5" s="293"/>
    </row>
    <row r="6" spans="1:10" ht="11.1" customHeight="1">
      <c r="A6" s="168"/>
      <c r="B6" s="172"/>
      <c r="D6" s="168"/>
      <c r="E6" s="168"/>
      <c r="F6" s="172"/>
      <c r="G6" s="168"/>
      <c r="J6" s="201"/>
    </row>
    <row r="7" ht="13.5" customHeight="1"/>
    <row r="9" spans="3:5" ht="11.45" customHeight="1">
      <c r="C9" s="184" t="s">
        <v>1195</v>
      </c>
      <c r="D9" s="172" t="s">
        <v>1096</v>
      </c>
      <c r="E9" s="172" t="s">
        <v>1194</v>
      </c>
    </row>
    <row r="10" spans="3:5" ht="11.45" customHeight="1">
      <c r="C10" s="184" t="s">
        <v>1193</v>
      </c>
      <c r="D10" s="172" t="s">
        <v>1096</v>
      </c>
      <c r="E10" s="172" t="s">
        <v>1192</v>
      </c>
    </row>
    <row r="11" spans="3:5" ht="11.45" customHeight="1">
      <c r="C11" s="184" t="s">
        <v>1191</v>
      </c>
      <c r="D11" s="172" t="s">
        <v>1096</v>
      </c>
      <c r="E11" s="172" t="s">
        <v>1043</v>
      </c>
    </row>
    <row r="12" spans="3:4" ht="11.45" customHeight="1">
      <c r="C12" s="184" t="s">
        <v>1190</v>
      </c>
      <c r="D12" s="172" t="s">
        <v>1096</v>
      </c>
    </row>
    <row r="13" spans="3:5" ht="11.45" customHeight="1">
      <c r="C13" s="184" t="s">
        <v>1189</v>
      </c>
      <c r="D13" s="172" t="s">
        <v>1096</v>
      </c>
      <c r="E13" s="172" t="s">
        <v>1188</v>
      </c>
    </row>
    <row r="14" spans="3:5" ht="11.45" customHeight="1">
      <c r="C14" s="184" t="s">
        <v>1101</v>
      </c>
      <c r="D14" s="172" t="s">
        <v>1096</v>
      </c>
      <c r="E14" s="209" t="s">
        <v>1187</v>
      </c>
    </row>
    <row r="16" spans="1:10" ht="11.1" customHeight="1">
      <c r="A16" s="205" t="s">
        <v>1186</v>
      </c>
      <c r="B16" s="208"/>
      <c r="C16" s="207" t="s">
        <v>1185</v>
      </c>
      <c r="D16" s="206"/>
      <c r="E16" s="206"/>
      <c r="F16" s="205"/>
      <c r="G16" s="204" t="s">
        <v>1184</v>
      </c>
      <c r="H16" s="203"/>
      <c r="I16" s="202" t="s">
        <v>1183</v>
      </c>
      <c r="J16" s="202" t="s">
        <v>1182</v>
      </c>
    </row>
    <row r="17" spans="1:10" ht="11.1" customHeight="1">
      <c r="A17" s="168"/>
      <c r="B17" s="172"/>
      <c r="D17" s="168"/>
      <c r="E17" s="168"/>
      <c r="F17" s="172"/>
      <c r="G17" s="168"/>
      <c r="I17" s="519"/>
      <c r="J17" s="201"/>
    </row>
    <row r="18" spans="1:10" ht="11.1" customHeight="1">
      <c r="A18" s="168" t="s">
        <v>1181</v>
      </c>
      <c r="B18" s="172"/>
      <c r="C18" s="172" t="s">
        <v>1180</v>
      </c>
      <c r="D18" s="168"/>
      <c r="E18" s="168"/>
      <c r="F18" s="172"/>
      <c r="G18" s="168"/>
      <c r="I18" s="520"/>
      <c r="J18" s="199"/>
    </row>
    <row r="19" spans="1:10" ht="11.1" customHeight="1">
      <c r="A19" s="168"/>
      <c r="B19" s="172"/>
      <c r="C19" s="172" t="s">
        <v>1179</v>
      </c>
      <c r="D19" s="168"/>
      <c r="E19" s="168"/>
      <c r="G19" s="168"/>
      <c r="I19" s="521"/>
      <c r="J19" s="199"/>
    </row>
    <row r="20" spans="1:10" ht="11.1" customHeight="1">
      <c r="A20" s="168"/>
      <c r="B20" s="172"/>
      <c r="C20" s="172" t="s">
        <v>1178</v>
      </c>
      <c r="D20" s="168"/>
      <c r="E20" s="168"/>
      <c r="G20" s="168">
        <v>1</v>
      </c>
      <c r="H20" s="168" t="s">
        <v>143</v>
      </c>
      <c r="I20" s="521">
        <v>0</v>
      </c>
      <c r="J20" s="199">
        <f>I20*G20</f>
        <v>0</v>
      </c>
    </row>
    <row r="21" spans="1:10" ht="11.1" customHeight="1">
      <c r="A21" s="168"/>
      <c r="B21" s="172"/>
      <c r="C21" s="172" t="s">
        <v>1105</v>
      </c>
      <c r="D21" s="168"/>
      <c r="E21" s="168"/>
      <c r="G21" s="168">
        <v>1</v>
      </c>
      <c r="H21" s="168" t="s">
        <v>143</v>
      </c>
      <c r="I21" s="521">
        <v>0</v>
      </c>
      <c r="J21" s="199">
        <f>I21*G21</f>
        <v>0</v>
      </c>
    </row>
    <row r="22" spans="1:10" ht="11.1" customHeight="1">
      <c r="A22" s="168"/>
      <c r="B22" s="172"/>
      <c r="D22" s="168"/>
      <c r="E22" s="168"/>
      <c r="G22" s="168"/>
      <c r="I22" s="521"/>
      <c r="J22" s="199"/>
    </row>
    <row r="23" spans="1:10" ht="11.1" customHeight="1">
      <c r="A23" s="168" t="s">
        <v>1177</v>
      </c>
      <c r="B23" s="172"/>
      <c r="C23" s="172" t="s">
        <v>1176</v>
      </c>
      <c r="D23" s="168"/>
      <c r="E23" s="168"/>
      <c r="G23" s="168"/>
      <c r="I23" s="521"/>
      <c r="J23" s="199"/>
    </row>
    <row r="24" spans="1:10" ht="11.1" customHeight="1">
      <c r="A24" s="168"/>
      <c r="B24" s="172"/>
      <c r="C24" s="172" t="s">
        <v>1175</v>
      </c>
      <c r="D24" s="168"/>
      <c r="E24" s="168"/>
      <c r="F24" s="200"/>
      <c r="G24" s="168">
        <v>1</v>
      </c>
      <c r="H24" s="168" t="s">
        <v>143</v>
      </c>
      <c r="I24" s="521">
        <v>0</v>
      </c>
      <c r="J24" s="199">
        <f>I24*G24</f>
        <v>0</v>
      </c>
    </row>
    <row r="25" spans="1:10" ht="11.1" customHeight="1">
      <c r="A25" s="168"/>
      <c r="B25" s="172"/>
      <c r="C25" s="172" t="s">
        <v>1174</v>
      </c>
      <c r="D25" s="168"/>
      <c r="E25" s="168"/>
      <c r="G25" s="168">
        <v>1</v>
      </c>
      <c r="H25" s="168" t="s">
        <v>143</v>
      </c>
      <c r="I25" s="521">
        <v>0</v>
      </c>
      <c r="J25" s="199">
        <f>I25*G25</f>
        <v>0</v>
      </c>
    </row>
    <row r="26" spans="1:10" ht="11.1" customHeight="1">
      <c r="A26" s="168"/>
      <c r="B26" s="172"/>
      <c r="C26" s="172" t="s">
        <v>1105</v>
      </c>
      <c r="D26" s="168"/>
      <c r="E26" s="168"/>
      <c r="G26" s="168">
        <v>1</v>
      </c>
      <c r="H26" s="168" t="s">
        <v>143</v>
      </c>
      <c r="I26" s="521">
        <v>0</v>
      </c>
      <c r="J26" s="199">
        <f>I26*G26</f>
        <v>0</v>
      </c>
    </row>
    <row r="27" spans="1:10" ht="11.1" customHeight="1">
      <c r="A27" s="168"/>
      <c r="B27" s="172"/>
      <c r="C27" s="172" t="s">
        <v>1105</v>
      </c>
      <c r="D27" s="168"/>
      <c r="E27" s="168"/>
      <c r="G27" s="168">
        <v>1</v>
      </c>
      <c r="H27" s="168" t="s">
        <v>143</v>
      </c>
      <c r="I27" s="521">
        <v>0</v>
      </c>
      <c r="J27" s="199">
        <f>I27*G27</f>
        <v>0</v>
      </c>
    </row>
    <row r="28" spans="1:10" ht="11.1" customHeight="1">
      <c r="A28" s="168"/>
      <c r="B28" s="172"/>
      <c r="D28" s="168"/>
      <c r="E28" s="168"/>
      <c r="G28" s="168"/>
      <c r="I28" s="521"/>
      <c r="J28" s="199"/>
    </row>
    <row r="29" spans="1:10" ht="11.1" customHeight="1">
      <c r="A29" s="168" t="s">
        <v>1173</v>
      </c>
      <c r="B29" s="172"/>
      <c r="C29" s="172" t="s">
        <v>1169</v>
      </c>
      <c r="D29" s="168"/>
      <c r="E29" s="168"/>
      <c r="G29" s="168"/>
      <c r="I29" s="521"/>
      <c r="J29" s="199"/>
    </row>
    <row r="30" spans="1:10" ht="11.1" customHeight="1">
      <c r="A30" s="168"/>
      <c r="B30" s="172"/>
      <c r="C30" s="172" t="s">
        <v>1172</v>
      </c>
      <c r="D30" s="168"/>
      <c r="E30" s="168"/>
      <c r="G30" s="168"/>
      <c r="I30" s="521"/>
      <c r="J30" s="199"/>
    </row>
    <row r="31" spans="1:10" ht="11.1" customHeight="1">
      <c r="A31" s="168"/>
      <c r="B31" s="172"/>
      <c r="C31" s="172" t="s">
        <v>1167</v>
      </c>
      <c r="D31" s="168"/>
      <c r="E31" s="168"/>
      <c r="F31" s="168"/>
      <c r="G31" s="168"/>
      <c r="I31" s="521"/>
      <c r="J31" s="199"/>
    </row>
    <row r="32" spans="1:10" ht="11.1" customHeight="1">
      <c r="A32" s="168"/>
      <c r="B32" s="172"/>
      <c r="C32" s="172" t="s">
        <v>1171</v>
      </c>
      <c r="D32" s="168"/>
      <c r="E32" s="168"/>
      <c r="G32" s="168"/>
      <c r="I32" s="521"/>
      <c r="J32" s="199"/>
    </row>
    <row r="33" spans="1:10" ht="11.1" customHeight="1">
      <c r="A33" s="168"/>
      <c r="B33" s="172"/>
      <c r="C33" s="172" t="s">
        <v>1170</v>
      </c>
      <c r="D33" s="168"/>
      <c r="E33" s="168"/>
      <c r="G33" s="168">
        <v>1</v>
      </c>
      <c r="H33" s="168" t="s">
        <v>143</v>
      </c>
      <c r="I33" s="521">
        <v>0</v>
      </c>
      <c r="J33" s="199">
        <f>I33*G33</f>
        <v>0</v>
      </c>
    </row>
    <row r="34" spans="1:10" ht="11.1" customHeight="1">
      <c r="A34" s="168"/>
      <c r="B34" s="172"/>
      <c r="C34" s="172" t="s">
        <v>1105</v>
      </c>
      <c r="D34" s="168"/>
      <c r="E34" s="168"/>
      <c r="G34" s="168">
        <v>1</v>
      </c>
      <c r="H34" s="168" t="s">
        <v>143</v>
      </c>
      <c r="I34" s="521">
        <v>0</v>
      </c>
      <c r="J34" s="199">
        <f>I34*G34</f>
        <v>0</v>
      </c>
    </row>
    <row r="35" spans="1:10" ht="11.1" customHeight="1">
      <c r="A35" s="168"/>
      <c r="B35" s="172"/>
      <c r="D35" s="168"/>
      <c r="E35" s="168"/>
      <c r="G35" s="168"/>
      <c r="I35" s="521"/>
      <c r="J35" s="199"/>
    </row>
    <row r="36" spans="1:10" ht="11.1" customHeight="1">
      <c r="A36" s="168"/>
      <c r="B36" s="172"/>
      <c r="C36" s="172" t="s">
        <v>1169</v>
      </c>
      <c r="D36" s="168"/>
      <c r="E36" s="168"/>
      <c r="G36" s="168"/>
      <c r="I36" s="521"/>
      <c r="J36" s="199"/>
    </row>
    <row r="37" spans="1:10" ht="11.1" customHeight="1">
      <c r="A37" s="168"/>
      <c r="B37" s="172"/>
      <c r="C37" s="172" t="s">
        <v>1168</v>
      </c>
      <c r="D37" s="168"/>
      <c r="E37" s="168"/>
      <c r="G37" s="168"/>
      <c r="I37" s="521"/>
      <c r="J37" s="199"/>
    </row>
    <row r="38" spans="1:10" ht="11.1" customHeight="1">
      <c r="A38" s="168"/>
      <c r="B38" s="172"/>
      <c r="C38" s="172" t="s">
        <v>1167</v>
      </c>
      <c r="D38" s="168"/>
      <c r="E38" s="168"/>
      <c r="G38" s="168"/>
      <c r="I38" s="521"/>
      <c r="J38" s="199"/>
    </row>
    <row r="39" spans="1:10" ht="11.1" customHeight="1">
      <c r="A39" s="168"/>
      <c r="B39" s="172"/>
      <c r="C39" s="172" t="s">
        <v>1166</v>
      </c>
      <c r="D39" s="168"/>
      <c r="E39" s="168"/>
      <c r="G39" s="168"/>
      <c r="I39" s="521"/>
      <c r="J39" s="199"/>
    </row>
    <row r="40" spans="1:10" ht="11.1" customHeight="1">
      <c r="A40" s="168"/>
      <c r="B40" s="172"/>
      <c r="C40" s="172" t="s">
        <v>1165</v>
      </c>
      <c r="D40" s="168"/>
      <c r="E40" s="168"/>
      <c r="G40" s="168">
        <v>1</v>
      </c>
      <c r="H40" s="168" t="s">
        <v>143</v>
      </c>
      <c r="I40" s="521">
        <v>0</v>
      </c>
      <c r="J40" s="199">
        <f>I40*G40</f>
        <v>0</v>
      </c>
    </row>
    <row r="41" spans="1:10" ht="11.1" customHeight="1">
      <c r="A41" s="168"/>
      <c r="B41" s="172"/>
      <c r="C41" s="172" t="s">
        <v>1105</v>
      </c>
      <c r="D41" s="168"/>
      <c r="E41" s="168"/>
      <c r="G41" s="168">
        <v>1</v>
      </c>
      <c r="H41" s="168" t="s">
        <v>143</v>
      </c>
      <c r="I41" s="521">
        <v>0</v>
      </c>
      <c r="J41" s="199">
        <f>I41*G41</f>
        <v>0</v>
      </c>
    </row>
    <row r="42" spans="1:10" ht="11.1" customHeight="1">
      <c r="A42" s="168"/>
      <c r="B42" s="172"/>
      <c r="D42" s="168"/>
      <c r="E42" s="168"/>
      <c r="G42" s="168"/>
      <c r="I42" s="521"/>
      <c r="J42" s="199"/>
    </row>
    <row r="43" spans="1:10" ht="11.1" customHeight="1">
      <c r="A43" s="168" t="s">
        <v>1164</v>
      </c>
      <c r="B43" s="172"/>
      <c r="C43" s="172" t="s">
        <v>1163</v>
      </c>
      <c r="D43" s="168"/>
      <c r="E43" s="168"/>
      <c r="G43" s="168"/>
      <c r="I43" s="521"/>
      <c r="J43" s="199"/>
    </row>
    <row r="44" spans="1:10" ht="11.1" customHeight="1">
      <c r="A44" s="168" t="s">
        <v>1162</v>
      </c>
      <c r="B44" s="172"/>
      <c r="C44" s="172" t="s">
        <v>1161</v>
      </c>
      <c r="D44" s="168"/>
      <c r="E44" s="168"/>
      <c r="G44" s="168">
        <v>2</v>
      </c>
      <c r="H44" s="168" t="s">
        <v>143</v>
      </c>
      <c r="I44" s="521">
        <v>0</v>
      </c>
      <c r="J44" s="199">
        <f>I44*G44</f>
        <v>0</v>
      </c>
    </row>
    <row r="45" spans="1:10" ht="11.1" customHeight="1">
      <c r="A45" s="168"/>
      <c r="B45" s="172"/>
      <c r="C45" s="172" t="s">
        <v>1105</v>
      </c>
      <c r="D45" s="168"/>
      <c r="E45" s="168"/>
      <c r="G45" s="168">
        <v>2</v>
      </c>
      <c r="H45" s="168" t="s">
        <v>143</v>
      </c>
      <c r="I45" s="521">
        <v>0</v>
      </c>
      <c r="J45" s="199">
        <f>I45*G45</f>
        <v>0</v>
      </c>
    </row>
    <row r="46" spans="1:10" ht="11.1" customHeight="1">
      <c r="A46" s="168"/>
      <c r="B46" s="172"/>
      <c r="D46" s="168"/>
      <c r="E46" s="168"/>
      <c r="G46" s="168"/>
      <c r="I46" s="521"/>
      <c r="J46" s="199"/>
    </row>
    <row r="47" spans="1:10" ht="11.1" customHeight="1">
      <c r="A47" s="168" t="s">
        <v>1160</v>
      </c>
      <c r="B47" s="172"/>
      <c r="C47" s="172" t="s">
        <v>1157</v>
      </c>
      <c r="D47" s="168"/>
      <c r="E47" s="168"/>
      <c r="G47" s="168"/>
      <c r="I47" s="521"/>
      <c r="J47" s="199"/>
    </row>
    <row r="48" spans="1:10" ht="11.1" customHeight="1">
      <c r="A48" s="168"/>
      <c r="B48" s="172"/>
      <c r="C48" s="172" t="s">
        <v>1156</v>
      </c>
      <c r="D48" s="168"/>
      <c r="E48" s="168"/>
      <c r="G48" s="168"/>
      <c r="I48" s="521"/>
      <c r="J48" s="199"/>
    </row>
    <row r="49" spans="1:10" ht="11.1" customHeight="1">
      <c r="A49" s="168"/>
      <c r="B49" s="172"/>
      <c r="C49" s="172" t="s">
        <v>1159</v>
      </c>
      <c r="D49" s="168"/>
      <c r="E49" s="168"/>
      <c r="G49" s="168">
        <v>1</v>
      </c>
      <c r="H49" s="168" t="s">
        <v>143</v>
      </c>
      <c r="I49" s="521">
        <v>0</v>
      </c>
      <c r="J49" s="199">
        <f>I49*G49</f>
        <v>0</v>
      </c>
    </row>
    <row r="50" spans="1:10" ht="11.1" customHeight="1">
      <c r="A50" s="168"/>
      <c r="B50" s="172"/>
      <c r="C50" s="172" t="s">
        <v>1105</v>
      </c>
      <c r="D50" s="168"/>
      <c r="E50" s="168"/>
      <c r="G50" s="168">
        <v>1</v>
      </c>
      <c r="H50" s="168" t="s">
        <v>143</v>
      </c>
      <c r="I50" s="521">
        <v>0</v>
      </c>
      <c r="J50" s="199">
        <f>I50*G50</f>
        <v>0</v>
      </c>
    </row>
    <row r="51" spans="1:10" ht="11.1" customHeight="1">
      <c r="A51" s="168"/>
      <c r="B51" s="172"/>
      <c r="C51" s="172" t="s">
        <v>1105</v>
      </c>
      <c r="D51" s="168"/>
      <c r="E51" s="168"/>
      <c r="G51" s="168">
        <v>1</v>
      </c>
      <c r="H51" s="168" t="s">
        <v>143</v>
      </c>
      <c r="I51" s="521">
        <v>0</v>
      </c>
      <c r="J51" s="199">
        <f>I51*G51</f>
        <v>0</v>
      </c>
    </row>
    <row r="52" spans="1:10" ht="11.1" customHeight="1">
      <c r="A52" s="168"/>
      <c r="B52" s="172"/>
      <c r="D52" s="168"/>
      <c r="E52" s="168"/>
      <c r="G52" s="168"/>
      <c r="I52" s="521"/>
      <c r="J52" s="199"/>
    </row>
    <row r="53" spans="1:10" ht="11.1" customHeight="1">
      <c r="A53" s="168" t="s">
        <v>1158</v>
      </c>
      <c r="B53" s="172"/>
      <c r="C53" s="172" t="s">
        <v>1157</v>
      </c>
      <c r="D53" s="168"/>
      <c r="E53" s="168"/>
      <c r="G53" s="168"/>
      <c r="I53" s="521"/>
      <c r="J53" s="199"/>
    </row>
    <row r="54" spans="1:10" ht="11.1" customHeight="1">
      <c r="A54" s="168"/>
      <c r="B54" s="172"/>
      <c r="C54" s="172" t="s">
        <v>1156</v>
      </c>
      <c r="D54" s="168"/>
      <c r="E54" s="168"/>
      <c r="G54" s="168"/>
      <c r="I54" s="521"/>
      <c r="J54" s="199"/>
    </row>
    <row r="55" spans="1:10" ht="11.1" customHeight="1">
      <c r="A55" s="168"/>
      <c r="B55" s="172"/>
      <c r="C55" s="172" t="s">
        <v>1155</v>
      </c>
      <c r="D55" s="168"/>
      <c r="E55" s="168"/>
      <c r="G55" s="168">
        <v>1</v>
      </c>
      <c r="H55" s="168" t="s">
        <v>143</v>
      </c>
      <c r="I55" s="521">
        <v>0</v>
      </c>
      <c r="J55" s="199">
        <f>I55*G55</f>
        <v>0</v>
      </c>
    </row>
    <row r="56" spans="1:10" ht="11.1" customHeight="1">
      <c r="A56" s="168"/>
      <c r="B56" s="172"/>
      <c r="C56" s="172" t="s">
        <v>1105</v>
      </c>
      <c r="D56" s="168"/>
      <c r="E56" s="168"/>
      <c r="G56" s="168">
        <v>1</v>
      </c>
      <c r="H56" s="168" t="s">
        <v>143</v>
      </c>
      <c r="I56" s="521">
        <v>0</v>
      </c>
      <c r="J56" s="199">
        <f>I56*G56</f>
        <v>0</v>
      </c>
    </row>
    <row r="57" spans="1:10" ht="11.1" customHeight="1">
      <c r="A57" s="168"/>
      <c r="B57" s="172"/>
      <c r="C57" s="172" t="s">
        <v>1105</v>
      </c>
      <c r="D57" s="168"/>
      <c r="E57" s="168"/>
      <c r="G57" s="168">
        <v>1</v>
      </c>
      <c r="H57" s="168" t="s">
        <v>143</v>
      </c>
      <c r="I57" s="521">
        <v>0</v>
      </c>
      <c r="J57" s="199">
        <f>I57*G57</f>
        <v>0</v>
      </c>
    </row>
    <row r="58" spans="1:10" ht="11.1" customHeight="1">
      <c r="A58" s="168"/>
      <c r="B58" s="172"/>
      <c r="D58" s="168"/>
      <c r="E58" s="168"/>
      <c r="G58" s="168"/>
      <c r="I58" s="521"/>
      <c r="J58" s="199"/>
    </row>
    <row r="59" spans="1:10" ht="11.1" customHeight="1">
      <c r="A59" s="168" t="s">
        <v>1154</v>
      </c>
      <c r="B59" s="172"/>
      <c r="C59" s="172" t="s">
        <v>1153</v>
      </c>
      <c r="D59" s="168"/>
      <c r="E59" s="168"/>
      <c r="G59" s="168"/>
      <c r="I59" s="521"/>
      <c r="J59" s="199"/>
    </row>
    <row r="60" spans="1:10" ht="11.1" customHeight="1">
      <c r="A60" s="168"/>
      <c r="B60" s="172"/>
      <c r="C60" s="172" t="s">
        <v>1152</v>
      </c>
      <c r="D60" s="168"/>
      <c r="E60" s="168"/>
      <c r="G60" s="168"/>
      <c r="I60" s="521"/>
      <c r="J60" s="199"/>
    </row>
    <row r="61" spans="1:10" ht="11.1" customHeight="1">
      <c r="A61" s="168"/>
      <c r="B61" s="172"/>
      <c r="C61" s="172" t="s">
        <v>1151</v>
      </c>
      <c r="D61" s="168"/>
      <c r="E61" s="168"/>
      <c r="G61" s="168"/>
      <c r="I61" s="521"/>
      <c r="J61" s="199"/>
    </row>
    <row r="62" spans="1:10" ht="11.1" customHeight="1">
      <c r="A62" s="168"/>
      <c r="B62" s="172"/>
      <c r="C62" s="172" t="s">
        <v>1150</v>
      </c>
      <c r="D62" s="168"/>
      <c r="E62" s="168"/>
      <c r="G62" s="168"/>
      <c r="I62" s="521"/>
      <c r="J62" s="199"/>
    </row>
    <row r="63" spans="1:10" ht="11.1" customHeight="1">
      <c r="A63" s="168"/>
      <c r="B63" s="172"/>
      <c r="C63" s="172" t="s">
        <v>1149</v>
      </c>
      <c r="D63" s="168"/>
      <c r="E63" s="168"/>
      <c r="G63" s="168">
        <v>1</v>
      </c>
      <c r="H63" s="168" t="s">
        <v>699</v>
      </c>
      <c r="I63" s="521">
        <v>0</v>
      </c>
      <c r="J63" s="199">
        <f>I63*G63</f>
        <v>0</v>
      </c>
    </row>
    <row r="64" spans="1:10" ht="11.1" customHeight="1">
      <c r="A64" s="168"/>
      <c r="B64" s="172"/>
      <c r="C64" s="172" t="s">
        <v>1105</v>
      </c>
      <c r="D64" s="168"/>
      <c r="E64" s="168"/>
      <c r="G64" s="168">
        <v>2</v>
      </c>
      <c r="H64" s="168" t="s">
        <v>143</v>
      </c>
      <c r="I64" s="521">
        <v>0</v>
      </c>
      <c r="J64" s="199">
        <f>I64*G64</f>
        <v>0</v>
      </c>
    </row>
    <row r="65" spans="1:10" ht="11.1" customHeight="1">
      <c r="A65" s="168"/>
      <c r="B65" s="172"/>
      <c r="D65" s="168"/>
      <c r="E65" s="168"/>
      <c r="G65" s="168"/>
      <c r="I65" s="521"/>
      <c r="J65" s="199"/>
    </row>
    <row r="66" spans="1:10" ht="11.1" customHeight="1">
      <c r="A66" s="168" t="s">
        <v>1148</v>
      </c>
      <c r="B66" s="172"/>
      <c r="C66" s="172" t="s">
        <v>1147</v>
      </c>
      <c r="D66" s="168"/>
      <c r="E66" s="168"/>
      <c r="G66" s="168"/>
      <c r="I66" s="521"/>
      <c r="J66" s="199"/>
    </row>
    <row r="67" spans="1:10" ht="11.1" customHeight="1">
      <c r="A67" s="168"/>
      <c r="B67" s="172"/>
      <c r="C67" s="172" t="s">
        <v>1146</v>
      </c>
      <c r="D67" s="168"/>
      <c r="E67" s="168"/>
      <c r="G67" s="168"/>
      <c r="I67" s="521"/>
      <c r="J67" s="199"/>
    </row>
    <row r="68" spans="1:10" ht="11.1" customHeight="1">
      <c r="A68" s="168"/>
      <c r="B68" s="172"/>
      <c r="C68" s="172" t="s">
        <v>1145</v>
      </c>
      <c r="D68" s="168"/>
      <c r="E68" s="168"/>
      <c r="G68" s="168"/>
      <c r="I68" s="521"/>
      <c r="J68" s="199"/>
    </row>
    <row r="69" spans="1:10" ht="11.1" customHeight="1">
      <c r="A69" s="168"/>
      <c r="B69" s="172"/>
      <c r="C69" s="172" t="s">
        <v>1144</v>
      </c>
      <c r="D69" s="168"/>
      <c r="E69" s="168"/>
      <c r="G69" s="168"/>
      <c r="I69" s="521"/>
      <c r="J69" s="199"/>
    </row>
    <row r="70" spans="1:10" ht="11.1" customHeight="1">
      <c r="A70" s="168"/>
      <c r="B70" s="172"/>
      <c r="C70" s="172" t="s">
        <v>1143</v>
      </c>
      <c r="D70" s="168"/>
      <c r="E70" s="168"/>
      <c r="G70" s="168"/>
      <c r="I70" s="521"/>
      <c r="J70" s="199"/>
    </row>
    <row r="71" spans="1:10" ht="11.1" customHeight="1">
      <c r="A71" s="168"/>
      <c r="B71" s="172"/>
      <c r="C71" s="172" t="s">
        <v>1142</v>
      </c>
      <c r="D71" s="168"/>
      <c r="E71" s="168"/>
      <c r="G71" s="168">
        <v>1</v>
      </c>
      <c r="H71" s="168" t="s">
        <v>699</v>
      </c>
      <c r="I71" s="521">
        <v>0</v>
      </c>
      <c r="J71" s="199">
        <f>I71*G71</f>
        <v>0</v>
      </c>
    </row>
    <row r="72" spans="1:10" ht="11.1" customHeight="1">
      <c r="A72" s="168"/>
      <c r="B72" s="172"/>
      <c r="C72" s="172" t="s">
        <v>1105</v>
      </c>
      <c r="D72" s="168"/>
      <c r="E72" s="168"/>
      <c r="G72" s="168">
        <v>1</v>
      </c>
      <c r="H72" s="168" t="s">
        <v>143</v>
      </c>
      <c r="I72" s="521">
        <v>0</v>
      </c>
      <c r="J72" s="199">
        <f>I72*G72</f>
        <v>0</v>
      </c>
    </row>
    <row r="73" spans="1:10" ht="11.1" customHeight="1">
      <c r="A73" s="168"/>
      <c r="B73" s="172"/>
      <c r="D73" s="168"/>
      <c r="E73" s="168"/>
      <c r="G73" s="168"/>
      <c r="I73" s="521"/>
      <c r="J73" s="199"/>
    </row>
    <row r="74" spans="1:10" ht="11.1" customHeight="1">
      <c r="A74" s="168" t="s">
        <v>1141</v>
      </c>
      <c r="B74" s="172"/>
      <c r="C74" s="172" t="s">
        <v>1138</v>
      </c>
      <c r="D74" s="168"/>
      <c r="E74" s="168"/>
      <c r="G74" s="168"/>
      <c r="I74" s="521"/>
      <c r="J74" s="199"/>
    </row>
    <row r="75" spans="1:10" ht="11.1" customHeight="1">
      <c r="A75" s="168"/>
      <c r="B75" s="172"/>
      <c r="C75" s="172" t="s">
        <v>1140</v>
      </c>
      <c r="D75" s="168"/>
      <c r="E75" s="168"/>
      <c r="G75" s="168"/>
      <c r="I75" s="521"/>
      <c r="J75" s="199"/>
    </row>
    <row r="76" spans="1:10" ht="11.1" customHeight="1">
      <c r="A76" s="168"/>
      <c r="B76" s="172"/>
      <c r="C76" s="172" t="s">
        <v>1136</v>
      </c>
      <c r="D76" s="168"/>
      <c r="E76" s="168"/>
      <c r="G76" s="168"/>
      <c r="I76" s="521"/>
      <c r="J76" s="199"/>
    </row>
    <row r="77" spans="1:10" ht="11.1" customHeight="1">
      <c r="A77" s="168"/>
      <c r="B77" s="172"/>
      <c r="C77" s="172" t="s">
        <v>1135</v>
      </c>
      <c r="D77" s="168"/>
      <c r="E77" s="168"/>
      <c r="G77" s="168">
        <v>1</v>
      </c>
      <c r="H77" s="168" t="s">
        <v>699</v>
      </c>
      <c r="I77" s="521">
        <v>0</v>
      </c>
      <c r="J77" s="199">
        <f>I77*G77</f>
        <v>0</v>
      </c>
    </row>
    <row r="78" spans="1:10" ht="11.1" customHeight="1">
      <c r="A78" s="168"/>
      <c r="B78" s="172"/>
      <c r="C78" s="172" t="s">
        <v>1105</v>
      </c>
      <c r="D78" s="168"/>
      <c r="E78" s="168"/>
      <c r="G78" s="168">
        <v>1</v>
      </c>
      <c r="H78" s="168" t="s">
        <v>143</v>
      </c>
      <c r="I78" s="521">
        <v>0</v>
      </c>
      <c r="J78" s="199">
        <f>I78*G78</f>
        <v>0</v>
      </c>
    </row>
    <row r="79" spans="1:10" ht="11.1" customHeight="1">
      <c r="A79" s="168"/>
      <c r="B79" s="172"/>
      <c r="D79" s="168"/>
      <c r="E79" s="168"/>
      <c r="G79" s="168"/>
      <c r="I79" s="521"/>
      <c r="J79" s="199"/>
    </row>
    <row r="80" spans="1:10" ht="11.1" customHeight="1">
      <c r="A80" s="168" t="s">
        <v>1139</v>
      </c>
      <c r="B80" s="172"/>
      <c r="C80" s="172" t="s">
        <v>1138</v>
      </c>
      <c r="D80" s="168"/>
      <c r="E80" s="168"/>
      <c r="G80" s="168"/>
      <c r="I80" s="521"/>
      <c r="J80" s="199"/>
    </row>
    <row r="81" spans="1:10" ht="11.1" customHeight="1">
      <c r="A81" s="168"/>
      <c r="B81" s="172"/>
      <c r="C81" s="172" t="s">
        <v>1137</v>
      </c>
      <c r="D81" s="168"/>
      <c r="E81" s="168"/>
      <c r="G81" s="168"/>
      <c r="I81" s="521"/>
      <c r="J81" s="199"/>
    </row>
    <row r="82" spans="1:10" ht="11.1" customHeight="1">
      <c r="A82" s="168"/>
      <c r="B82" s="172"/>
      <c r="C82" s="172" t="s">
        <v>1136</v>
      </c>
      <c r="D82" s="168"/>
      <c r="E82" s="168"/>
      <c r="G82" s="168"/>
      <c r="I82" s="521"/>
      <c r="J82" s="199"/>
    </row>
    <row r="83" spans="2:10" ht="11.1" customHeight="1">
      <c r="B83" s="172"/>
      <c r="C83" s="172" t="s">
        <v>1135</v>
      </c>
      <c r="D83" s="168"/>
      <c r="E83" s="168"/>
      <c r="G83" s="168">
        <v>1</v>
      </c>
      <c r="H83" s="168" t="s">
        <v>699</v>
      </c>
      <c r="I83" s="521">
        <v>0</v>
      </c>
      <c r="J83" s="199">
        <f>I83*G83</f>
        <v>0</v>
      </c>
    </row>
    <row r="84" spans="2:10" ht="11.1" customHeight="1">
      <c r="B84" s="172"/>
      <c r="C84" s="172" t="s">
        <v>1105</v>
      </c>
      <c r="D84" s="168"/>
      <c r="E84" s="168"/>
      <c r="G84" s="168">
        <v>1</v>
      </c>
      <c r="H84" s="168" t="s">
        <v>143</v>
      </c>
      <c r="I84" s="521">
        <v>0</v>
      </c>
      <c r="J84" s="199">
        <f>I84*G84</f>
        <v>0</v>
      </c>
    </row>
    <row r="85" spans="9:10" ht="11.1" customHeight="1">
      <c r="I85" s="521"/>
      <c r="J85" s="199"/>
    </row>
    <row r="86" spans="1:10" ht="11.1" customHeight="1">
      <c r="A86" s="171" t="s">
        <v>1134</v>
      </c>
      <c r="C86" s="172" t="s">
        <v>1132</v>
      </c>
      <c r="I86" s="521"/>
      <c r="J86" s="199"/>
    </row>
    <row r="87" spans="3:10" ht="11.1" customHeight="1">
      <c r="C87" s="172" t="s">
        <v>1131</v>
      </c>
      <c r="I87" s="521"/>
      <c r="J87" s="199"/>
    </row>
    <row r="88" spans="3:10" ht="11.1" customHeight="1">
      <c r="C88" s="172" t="s">
        <v>1130</v>
      </c>
      <c r="I88" s="521"/>
      <c r="J88" s="199"/>
    </row>
    <row r="89" spans="3:10" ht="11.1" customHeight="1">
      <c r="C89" s="172" t="s">
        <v>1129</v>
      </c>
      <c r="I89" s="521"/>
      <c r="J89" s="199"/>
    </row>
    <row r="90" spans="3:10" ht="11.1" customHeight="1">
      <c r="C90" s="172" t="s">
        <v>1133</v>
      </c>
      <c r="G90" s="170">
        <v>6</v>
      </c>
      <c r="H90" s="168" t="s">
        <v>143</v>
      </c>
      <c r="I90" s="521">
        <v>0</v>
      </c>
      <c r="J90" s="199">
        <f>I90*G90</f>
        <v>0</v>
      </c>
    </row>
    <row r="91" spans="9:10" ht="11.1" customHeight="1">
      <c r="I91" s="521"/>
      <c r="J91" s="199"/>
    </row>
    <row r="92" spans="3:10" ht="11.1" customHeight="1">
      <c r="C92" s="172" t="s">
        <v>1132</v>
      </c>
      <c r="I92" s="521"/>
      <c r="J92" s="199"/>
    </row>
    <row r="93" spans="3:10" ht="11.1" customHeight="1">
      <c r="C93" s="172" t="s">
        <v>1131</v>
      </c>
      <c r="I93" s="521"/>
      <c r="J93" s="199"/>
    </row>
    <row r="94" spans="3:10" ht="11.1" customHeight="1">
      <c r="C94" s="172" t="s">
        <v>1130</v>
      </c>
      <c r="I94" s="521"/>
      <c r="J94" s="199"/>
    </row>
    <row r="95" spans="3:10" ht="11.1" customHeight="1">
      <c r="C95" s="172" t="s">
        <v>1129</v>
      </c>
      <c r="I95" s="521"/>
      <c r="J95" s="199"/>
    </row>
    <row r="96" spans="3:10" ht="11.1" customHeight="1">
      <c r="C96" s="172" t="s">
        <v>1128</v>
      </c>
      <c r="G96" s="170">
        <v>6</v>
      </c>
      <c r="H96" s="168" t="s">
        <v>143</v>
      </c>
      <c r="I96" s="521">
        <v>0</v>
      </c>
      <c r="J96" s="199">
        <f>I96*G96</f>
        <v>0</v>
      </c>
    </row>
    <row r="97" spans="9:10" ht="11.1" customHeight="1">
      <c r="I97" s="521"/>
      <c r="J97" s="199"/>
    </row>
    <row r="98" spans="3:10" ht="11.1" customHeight="1">
      <c r="C98" s="172" t="s">
        <v>1127</v>
      </c>
      <c r="G98" s="170">
        <v>2</v>
      </c>
      <c r="H98" s="168" t="s">
        <v>143</v>
      </c>
      <c r="I98" s="521">
        <v>0</v>
      </c>
      <c r="J98" s="199">
        <f>I98*G98</f>
        <v>0</v>
      </c>
    </row>
    <row r="99" spans="3:10" ht="11.1" customHeight="1">
      <c r="C99" s="172" t="s">
        <v>1105</v>
      </c>
      <c r="G99" s="170">
        <v>12</v>
      </c>
      <c r="H99" s="168" t="s">
        <v>143</v>
      </c>
      <c r="I99" s="521">
        <v>0</v>
      </c>
      <c r="J99" s="199">
        <f>I99*G99</f>
        <v>0</v>
      </c>
    </row>
    <row r="100" spans="9:10" ht="11.1" customHeight="1">
      <c r="I100" s="521"/>
      <c r="J100" s="199"/>
    </row>
    <row r="101" spans="1:10" ht="11.1" customHeight="1">
      <c r="A101" s="171" t="s">
        <v>1126</v>
      </c>
      <c r="C101" s="172" t="s">
        <v>1125</v>
      </c>
      <c r="I101" s="521"/>
      <c r="J101" s="199"/>
    </row>
    <row r="102" spans="3:10" ht="11.1" customHeight="1">
      <c r="C102" s="172" t="s">
        <v>1124</v>
      </c>
      <c r="G102" s="170">
        <v>8</v>
      </c>
      <c r="H102" s="168" t="s">
        <v>143</v>
      </c>
      <c r="I102" s="521">
        <v>0</v>
      </c>
      <c r="J102" s="199">
        <f>I102*G102</f>
        <v>0</v>
      </c>
    </row>
    <row r="103" spans="3:10" ht="11.1" customHeight="1">
      <c r="C103" s="172" t="s">
        <v>1105</v>
      </c>
      <c r="G103" s="170">
        <v>8</v>
      </c>
      <c r="H103" s="168" t="s">
        <v>143</v>
      </c>
      <c r="I103" s="521">
        <v>0</v>
      </c>
      <c r="J103" s="199">
        <f>I103*G103</f>
        <v>0</v>
      </c>
    </row>
    <row r="104" spans="9:10" ht="11.1" customHeight="1">
      <c r="I104" s="521"/>
      <c r="J104" s="199"/>
    </row>
    <row r="105" spans="1:10" ht="11.1" customHeight="1">
      <c r="A105" s="171" t="s">
        <v>1123</v>
      </c>
      <c r="C105" s="172" t="s">
        <v>1122</v>
      </c>
      <c r="I105" s="521"/>
      <c r="J105" s="199"/>
    </row>
    <row r="106" spans="3:10" ht="11.1" customHeight="1">
      <c r="C106" s="172" t="s">
        <v>1121</v>
      </c>
      <c r="G106" s="170">
        <v>3</v>
      </c>
      <c r="H106" s="168" t="s">
        <v>143</v>
      </c>
      <c r="I106" s="521">
        <v>0</v>
      </c>
      <c r="J106" s="199">
        <f>I106*G106</f>
        <v>0</v>
      </c>
    </row>
    <row r="107" spans="3:10" ht="11.1" customHeight="1">
      <c r="C107" s="172" t="s">
        <v>1105</v>
      </c>
      <c r="F107" s="168"/>
      <c r="G107" s="170">
        <v>3</v>
      </c>
      <c r="H107" s="168" t="s">
        <v>143</v>
      </c>
      <c r="I107" s="521">
        <v>0</v>
      </c>
      <c r="J107" s="199">
        <f>I107*G107</f>
        <v>0</v>
      </c>
    </row>
    <row r="108" spans="9:10" ht="11.1" customHeight="1">
      <c r="I108" s="521"/>
      <c r="J108" s="199"/>
    </row>
    <row r="109" spans="1:10" ht="11.1" customHeight="1">
      <c r="A109" s="171" t="s">
        <v>1120</v>
      </c>
      <c r="C109" s="172" t="s">
        <v>1119</v>
      </c>
      <c r="I109" s="521"/>
      <c r="J109" s="199"/>
    </row>
    <row r="110" spans="3:10" ht="11.1" customHeight="1">
      <c r="C110" s="172" t="s">
        <v>1118</v>
      </c>
      <c r="F110" s="168"/>
      <c r="G110" s="170">
        <v>1</v>
      </c>
      <c r="H110" s="168" t="s">
        <v>143</v>
      </c>
      <c r="I110" s="521">
        <v>0</v>
      </c>
      <c r="J110" s="199">
        <f>I110*G110</f>
        <v>0</v>
      </c>
    </row>
    <row r="111" spans="3:10" ht="11.1" customHeight="1">
      <c r="C111" s="172" t="s">
        <v>1105</v>
      </c>
      <c r="G111" s="170">
        <v>1</v>
      </c>
      <c r="H111" s="168" t="s">
        <v>143</v>
      </c>
      <c r="I111" s="521">
        <v>0</v>
      </c>
      <c r="J111" s="199">
        <f>I111*G111</f>
        <v>0</v>
      </c>
    </row>
    <row r="112" spans="9:10" ht="11.1" customHeight="1">
      <c r="I112" s="521"/>
      <c r="J112" s="199"/>
    </row>
    <row r="113" spans="1:10" ht="11.1" customHeight="1">
      <c r="A113" s="171" t="s">
        <v>1117</v>
      </c>
      <c r="B113" s="172"/>
      <c r="C113" s="172" t="s">
        <v>1108</v>
      </c>
      <c r="D113" s="168"/>
      <c r="E113" s="168"/>
      <c r="G113" s="168"/>
      <c r="I113" s="521"/>
      <c r="J113" s="199"/>
    </row>
    <row r="114" spans="2:10" ht="11.1" customHeight="1">
      <c r="B114" s="172"/>
      <c r="C114" s="172" t="s">
        <v>1107</v>
      </c>
      <c r="D114" s="168"/>
      <c r="E114" s="168"/>
      <c r="G114" s="168">
        <v>2</v>
      </c>
      <c r="H114" s="168" t="s">
        <v>143</v>
      </c>
      <c r="I114" s="521">
        <v>0</v>
      </c>
      <c r="J114" s="199">
        <f>I114*G114</f>
        <v>0</v>
      </c>
    </row>
    <row r="115" spans="2:10" ht="11.1" customHeight="1">
      <c r="B115" s="172"/>
      <c r="C115" s="172" t="s">
        <v>1106</v>
      </c>
      <c r="D115" s="168"/>
      <c r="E115" s="168"/>
      <c r="G115" s="168">
        <v>2</v>
      </c>
      <c r="H115" s="168" t="s">
        <v>143</v>
      </c>
      <c r="I115" s="521">
        <v>0</v>
      </c>
      <c r="J115" s="199">
        <f>I115*G115</f>
        <v>0</v>
      </c>
    </row>
    <row r="116" spans="2:10" ht="11.1" customHeight="1">
      <c r="B116" s="172"/>
      <c r="C116" s="172" t="s">
        <v>1105</v>
      </c>
      <c r="D116" s="168"/>
      <c r="E116" s="168"/>
      <c r="G116" s="168">
        <v>2</v>
      </c>
      <c r="H116" s="168" t="s">
        <v>143</v>
      </c>
      <c r="I116" s="521">
        <v>0</v>
      </c>
      <c r="J116" s="199">
        <f>I116*G116</f>
        <v>0</v>
      </c>
    </row>
    <row r="117" spans="2:10" ht="11.1" customHeight="1">
      <c r="B117" s="172"/>
      <c r="C117" s="172" t="s">
        <v>1105</v>
      </c>
      <c r="D117" s="168"/>
      <c r="E117" s="168"/>
      <c r="G117" s="168">
        <v>2</v>
      </c>
      <c r="H117" s="168" t="s">
        <v>143</v>
      </c>
      <c r="I117" s="521">
        <v>0</v>
      </c>
      <c r="J117" s="199">
        <f>I117*G117</f>
        <v>0</v>
      </c>
    </row>
    <row r="118" spans="9:10" ht="11.1" customHeight="1">
      <c r="I118" s="521"/>
      <c r="J118" s="199"/>
    </row>
    <row r="119" spans="1:10" ht="11.1" customHeight="1">
      <c r="A119" s="171" t="s">
        <v>1116</v>
      </c>
      <c r="C119" s="172" t="s">
        <v>1115</v>
      </c>
      <c r="I119" s="521"/>
      <c r="J119" s="199"/>
    </row>
    <row r="120" spans="3:10" ht="11.1" customHeight="1">
      <c r="C120" s="172" t="s">
        <v>1114</v>
      </c>
      <c r="I120" s="521"/>
      <c r="J120" s="199"/>
    </row>
    <row r="121" spans="3:10" ht="11.1" customHeight="1">
      <c r="C121" s="172" t="s">
        <v>1113</v>
      </c>
      <c r="I121" s="521"/>
      <c r="J121" s="199"/>
    </row>
    <row r="122" spans="3:10" ht="11.1" customHeight="1">
      <c r="C122" s="172" t="s">
        <v>1112</v>
      </c>
      <c r="I122" s="521"/>
      <c r="J122" s="199"/>
    </row>
    <row r="123" spans="3:10" ht="11.1" customHeight="1">
      <c r="C123" s="172" t="s">
        <v>1111</v>
      </c>
      <c r="G123" s="170">
        <v>1</v>
      </c>
      <c r="H123" s="168" t="s">
        <v>143</v>
      </c>
      <c r="I123" s="521">
        <v>0</v>
      </c>
      <c r="J123" s="199">
        <f>I123*G123</f>
        <v>0</v>
      </c>
    </row>
    <row r="124" spans="3:10" ht="11.1" customHeight="1">
      <c r="C124" s="172" t="s">
        <v>1105</v>
      </c>
      <c r="G124" s="170">
        <v>1</v>
      </c>
      <c r="H124" s="168" t="s">
        <v>143</v>
      </c>
      <c r="I124" s="521">
        <v>0</v>
      </c>
      <c r="J124" s="199">
        <f>I124*G124</f>
        <v>0</v>
      </c>
    </row>
    <row r="125" spans="9:10" ht="11.1" customHeight="1">
      <c r="I125" s="521"/>
      <c r="J125" s="199"/>
    </row>
    <row r="126" spans="1:10" ht="11.1" customHeight="1">
      <c r="A126" s="171" t="s">
        <v>1110</v>
      </c>
      <c r="B126" s="172"/>
      <c r="C126" s="172" t="s">
        <v>1108</v>
      </c>
      <c r="D126" s="168"/>
      <c r="E126" s="168"/>
      <c r="G126" s="168"/>
      <c r="I126" s="521"/>
      <c r="J126" s="199"/>
    </row>
    <row r="127" spans="2:10" ht="11.1" customHeight="1">
      <c r="B127" s="172"/>
      <c r="C127" s="172" t="s">
        <v>1107</v>
      </c>
      <c r="D127" s="168"/>
      <c r="E127" s="168"/>
      <c r="G127" s="168">
        <v>1</v>
      </c>
      <c r="H127" s="168" t="s">
        <v>143</v>
      </c>
      <c r="I127" s="521">
        <v>0</v>
      </c>
      <c r="J127" s="199">
        <f>I127*G127</f>
        <v>0</v>
      </c>
    </row>
    <row r="128" spans="2:10" ht="11.1" customHeight="1">
      <c r="B128" s="172"/>
      <c r="C128" s="172" t="s">
        <v>1106</v>
      </c>
      <c r="D128" s="168"/>
      <c r="E128" s="168"/>
      <c r="G128" s="168">
        <v>1</v>
      </c>
      <c r="H128" s="168" t="s">
        <v>143</v>
      </c>
      <c r="I128" s="521">
        <v>0</v>
      </c>
      <c r="J128" s="199">
        <f>I128*G128</f>
        <v>0</v>
      </c>
    </row>
    <row r="129" spans="2:10" ht="11.1" customHeight="1">
      <c r="B129" s="172"/>
      <c r="C129" s="172" t="s">
        <v>1105</v>
      </c>
      <c r="D129" s="168"/>
      <c r="E129" s="168"/>
      <c r="G129" s="168">
        <v>1</v>
      </c>
      <c r="H129" s="168" t="s">
        <v>143</v>
      </c>
      <c r="I129" s="521">
        <v>0</v>
      </c>
      <c r="J129" s="199">
        <f>I129*G129</f>
        <v>0</v>
      </c>
    </row>
    <row r="130" spans="2:10" ht="11.1" customHeight="1">
      <c r="B130" s="172"/>
      <c r="C130" s="172" t="s">
        <v>1105</v>
      </c>
      <c r="D130" s="168"/>
      <c r="E130" s="168"/>
      <c r="G130" s="168">
        <v>1</v>
      </c>
      <c r="H130" s="168" t="s">
        <v>143</v>
      </c>
      <c r="I130" s="521">
        <v>0</v>
      </c>
      <c r="J130" s="199">
        <f>I130*G130</f>
        <v>0</v>
      </c>
    </row>
    <row r="131" spans="9:10" ht="11.1" customHeight="1">
      <c r="I131" s="521"/>
      <c r="J131" s="199"/>
    </row>
    <row r="132" spans="1:10" ht="11.1" customHeight="1">
      <c r="A132" s="171" t="s">
        <v>1109</v>
      </c>
      <c r="B132" s="172"/>
      <c r="C132" s="172" t="s">
        <v>1108</v>
      </c>
      <c r="D132" s="168"/>
      <c r="E132" s="168"/>
      <c r="G132" s="168"/>
      <c r="I132" s="521"/>
      <c r="J132" s="199"/>
    </row>
    <row r="133" spans="2:10" ht="11.1" customHeight="1">
      <c r="B133" s="172"/>
      <c r="C133" s="172" t="s">
        <v>1107</v>
      </c>
      <c r="D133" s="168"/>
      <c r="E133" s="168"/>
      <c r="G133" s="168">
        <v>1</v>
      </c>
      <c r="H133" s="168" t="s">
        <v>143</v>
      </c>
      <c r="I133" s="521">
        <v>0</v>
      </c>
      <c r="J133" s="199">
        <f>I133*G133</f>
        <v>0</v>
      </c>
    </row>
    <row r="134" spans="2:10" ht="11.1" customHeight="1">
      <c r="B134" s="172"/>
      <c r="C134" s="172" t="s">
        <v>1106</v>
      </c>
      <c r="D134" s="168"/>
      <c r="E134" s="168"/>
      <c r="G134" s="168">
        <v>1</v>
      </c>
      <c r="H134" s="168" t="s">
        <v>143</v>
      </c>
      <c r="I134" s="521">
        <v>0</v>
      </c>
      <c r="J134" s="199">
        <f>I134*G134</f>
        <v>0</v>
      </c>
    </row>
    <row r="135" spans="2:10" ht="11.1" customHeight="1">
      <c r="B135" s="172"/>
      <c r="C135" s="172" t="s">
        <v>1105</v>
      </c>
      <c r="D135" s="168"/>
      <c r="E135" s="168"/>
      <c r="G135" s="168">
        <v>1</v>
      </c>
      <c r="H135" s="168" t="s">
        <v>143</v>
      </c>
      <c r="I135" s="521">
        <v>0</v>
      </c>
      <c r="J135" s="199">
        <f>I135*G135</f>
        <v>0</v>
      </c>
    </row>
    <row r="136" spans="2:10" ht="11.1" customHeight="1">
      <c r="B136" s="172"/>
      <c r="C136" s="172" t="s">
        <v>1105</v>
      </c>
      <c r="D136" s="168"/>
      <c r="E136" s="168"/>
      <c r="G136" s="168">
        <v>1</v>
      </c>
      <c r="H136" s="168" t="s">
        <v>143</v>
      </c>
      <c r="I136" s="521">
        <v>0</v>
      </c>
      <c r="J136" s="199">
        <f>I136*G136</f>
        <v>0</v>
      </c>
    </row>
    <row r="137" ht="11.1" customHeight="1">
      <c r="J137" s="199"/>
    </row>
    <row r="138" ht="11.1" customHeight="1">
      <c r="J138" s="199"/>
    </row>
    <row r="143" spans="5:10" ht="13.5" customHeight="1">
      <c r="E143" s="198" t="s">
        <v>1104</v>
      </c>
      <c r="J143" s="196">
        <f>SUM(J20:J124,J127:J142)</f>
        <v>0</v>
      </c>
    </row>
    <row r="144" spans="5:10" ht="12" customHeight="1">
      <c r="E144" s="197"/>
      <c r="J144" s="196"/>
    </row>
    <row r="145" spans="5:10" ht="14.25" customHeight="1">
      <c r="E145" s="195"/>
      <c r="J145" s="194"/>
    </row>
    <row r="146" spans="5:10" ht="14.25" customHeight="1">
      <c r="E146" s="195"/>
      <c r="J146" s="194"/>
    </row>
    <row r="147" spans="5:10" ht="14.25" customHeight="1">
      <c r="E147" s="195"/>
      <c r="J147" s="194"/>
    </row>
    <row r="148" spans="5:10" ht="14.25" customHeight="1">
      <c r="E148" s="195"/>
      <c r="J148" s="194"/>
    </row>
    <row r="149" spans="5:10" ht="14.25" customHeight="1">
      <c r="E149" s="195"/>
      <c r="J149" s="194"/>
    </row>
    <row r="150" spans="5:10" ht="14.25" customHeight="1">
      <c r="E150" s="195"/>
      <c r="J150" s="194"/>
    </row>
    <row r="151" spans="5:10" ht="14.25" customHeight="1">
      <c r="E151" s="195"/>
      <c r="J151" s="194"/>
    </row>
    <row r="152" spans="5:10" ht="14.25" customHeight="1">
      <c r="E152" s="195"/>
      <c r="J152" s="194"/>
    </row>
    <row r="153" spans="5:10" ht="14.25" customHeight="1">
      <c r="E153" s="195"/>
      <c r="J153" s="194"/>
    </row>
    <row r="154" spans="5:10" ht="14.25" customHeight="1">
      <c r="E154" s="195"/>
      <c r="J154" s="194"/>
    </row>
    <row r="155" spans="5:10" ht="14.25" customHeight="1">
      <c r="E155" s="195"/>
      <c r="J155" s="194"/>
    </row>
    <row r="156" spans="5:10" ht="14.25" customHeight="1">
      <c r="E156" s="195"/>
      <c r="J156" s="194"/>
    </row>
    <row r="157" spans="5:10" ht="14.25" customHeight="1">
      <c r="E157" s="195"/>
      <c r="J157" s="194"/>
    </row>
    <row r="158" spans="5:10" ht="14.25" customHeight="1">
      <c r="E158" s="195"/>
      <c r="J158" s="194"/>
    </row>
    <row r="159" ht="11.1" customHeight="1">
      <c r="J159" s="193"/>
    </row>
    <row r="160" spans="1:10" ht="11.1" customHeight="1">
      <c r="A160" s="191"/>
      <c r="B160" s="191"/>
      <c r="C160" s="192"/>
      <c r="D160" s="192"/>
      <c r="E160" s="192"/>
      <c r="F160" s="191"/>
      <c r="G160" s="190"/>
      <c r="H160" s="189"/>
      <c r="I160" s="188"/>
      <c r="J160" s="188"/>
    </row>
    <row r="162" spans="3:10" ht="11.1" customHeight="1">
      <c r="C162" s="183" t="s">
        <v>1103</v>
      </c>
      <c r="D162" s="183"/>
      <c r="E162" s="294" t="s">
        <v>1102</v>
      </c>
      <c r="F162" s="294"/>
      <c r="G162" s="294"/>
      <c r="H162" s="294"/>
      <c r="I162" s="294"/>
      <c r="J162" s="294"/>
    </row>
    <row r="163" spans="3:10" ht="11.1" customHeight="1">
      <c r="C163" s="183"/>
      <c r="D163" s="183"/>
      <c r="E163" s="294"/>
      <c r="F163" s="294"/>
      <c r="G163" s="294"/>
      <c r="H163" s="294"/>
      <c r="I163" s="294"/>
      <c r="J163" s="294"/>
    </row>
    <row r="164" spans="1:37" s="175" customFormat="1" ht="11.1" customHeight="1">
      <c r="A164" s="171"/>
      <c r="B164" s="171"/>
      <c r="C164" s="187"/>
      <c r="D164" s="183"/>
      <c r="E164" s="294"/>
      <c r="F164" s="294"/>
      <c r="G164" s="294"/>
      <c r="H164" s="294"/>
      <c r="I164" s="294"/>
      <c r="J164" s="294"/>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68"/>
      <c r="AI164" s="168"/>
      <c r="AJ164" s="168"/>
      <c r="AK164" s="168"/>
    </row>
    <row r="165" spans="1:37" s="175" customFormat="1" ht="11.1" customHeight="1">
      <c r="A165" s="171"/>
      <c r="B165" s="171"/>
      <c r="C165" s="183"/>
      <c r="D165" s="183"/>
      <c r="E165" s="294"/>
      <c r="F165" s="294"/>
      <c r="G165" s="294"/>
      <c r="H165" s="294"/>
      <c r="I165" s="294"/>
      <c r="J165" s="294"/>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row>
    <row r="166" spans="1:37" s="175" customFormat="1" ht="11.1" customHeight="1">
      <c r="A166" s="171"/>
      <c r="B166" s="171"/>
      <c r="C166" s="183"/>
      <c r="D166" s="183"/>
      <c r="E166" s="294"/>
      <c r="F166" s="294"/>
      <c r="G166" s="294"/>
      <c r="H166" s="294"/>
      <c r="I166" s="294"/>
      <c r="J166" s="294"/>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68"/>
      <c r="AI166" s="168"/>
      <c r="AJ166" s="168"/>
      <c r="AK166" s="168"/>
    </row>
    <row r="167" spans="1:37" s="175" customFormat="1" ht="11.1" customHeight="1">
      <c r="A167" s="171"/>
      <c r="B167" s="171"/>
      <c r="C167" s="183"/>
      <c r="D167" s="183"/>
      <c r="E167" s="294"/>
      <c r="F167" s="294"/>
      <c r="G167" s="294"/>
      <c r="H167" s="294"/>
      <c r="I167" s="294"/>
      <c r="J167" s="294"/>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c r="AG167" s="168"/>
      <c r="AH167" s="168"/>
      <c r="AI167" s="168"/>
      <c r="AJ167" s="168"/>
      <c r="AK167" s="168"/>
    </row>
    <row r="168" spans="1:37" s="175" customFormat="1" ht="11.1" customHeight="1">
      <c r="A168" s="171"/>
      <c r="B168" s="171"/>
      <c r="C168" s="183"/>
      <c r="D168" s="183"/>
      <c r="E168" s="294"/>
      <c r="F168" s="294"/>
      <c r="G168" s="294"/>
      <c r="H168" s="294"/>
      <c r="I168" s="294"/>
      <c r="J168" s="294"/>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row>
    <row r="169" spans="1:37" s="175" customFormat="1" ht="11.1" customHeight="1">
      <c r="A169" s="171"/>
      <c r="B169" s="171"/>
      <c r="C169" s="183"/>
      <c r="D169" s="183"/>
      <c r="E169" s="185"/>
      <c r="F169" s="186"/>
      <c r="G169" s="185"/>
      <c r="H169" s="185"/>
      <c r="I169" s="185"/>
      <c r="J169" s="185"/>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c r="AG169" s="168"/>
      <c r="AH169" s="168"/>
      <c r="AI169" s="168"/>
      <c r="AJ169" s="168"/>
      <c r="AK169" s="168"/>
    </row>
    <row r="170" spans="1:37" s="175" customFormat="1" ht="11.1" customHeight="1">
      <c r="A170" s="171"/>
      <c r="B170" s="171"/>
      <c r="C170" s="183"/>
      <c r="D170" s="183"/>
      <c r="E170" s="184"/>
      <c r="F170" s="171"/>
      <c r="G170" s="170"/>
      <c r="H170" s="168"/>
      <c r="I170" s="169"/>
      <c r="J170" s="169"/>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c r="AJ170" s="168"/>
      <c r="AK170" s="168"/>
    </row>
    <row r="171" spans="1:37" s="175" customFormat="1" ht="11.1" customHeight="1">
      <c r="A171" s="171"/>
      <c r="B171" s="171"/>
      <c r="C171" s="184" t="s">
        <v>1101</v>
      </c>
      <c r="D171" s="184" t="s">
        <v>1096</v>
      </c>
      <c r="E171" s="184" t="s">
        <v>1100</v>
      </c>
      <c r="F171" s="171"/>
      <c r="G171" s="170"/>
      <c r="H171" s="168"/>
      <c r="I171" s="169"/>
      <c r="J171" s="169"/>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8"/>
      <c r="AJ171" s="168"/>
      <c r="AK171" s="168"/>
    </row>
    <row r="172" spans="1:37" s="175" customFormat="1" ht="11.1" customHeight="1">
      <c r="A172" s="171"/>
      <c r="B172" s="171"/>
      <c r="C172" s="182" t="s">
        <v>1099</v>
      </c>
      <c r="D172" s="184" t="s">
        <v>1096</v>
      </c>
      <c r="E172" s="184" t="s">
        <v>1098</v>
      </c>
      <c r="F172" s="171"/>
      <c r="G172" s="170"/>
      <c r="H172" s="168"/>
      <c r="I172" s="169"/>
      <c r="J172" s="169"/>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c r="AG172" s="168"/>
      <c r="AH172" s="168"/>
      <c r="AI172" s="168"/>
      <c r="AJ172" s="168"/>
      <c r="AK172" s="168"/>
    </row>
    <row r="173" spans="1:37" s="175" customFormat="1" ht="11.1" customHeight="1">
      <c r="A173" s="171"/>
      <c r="B173" s="171"/>
      <c r="C173" s="183" t="s">
        <v>1097</v>
      </c>
      <c r="D173" s="183" t="s">
        <v>1096</v>
      </c>
      <c r="E173" s="182" t="s">
        <v>1095</v>
      </c>
      <c r="F173" s="171"/>
      <c r="G173" s="170"/>
      <c r="H173" s="168"/>
      <c r="I173" s="169"/>
      <c r="J173" s="169"/>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8"/>
      <c r="AJ173" s="168"/>
      <c r="AK173" s="168"/>
    </row>
    <row r="174" spans="1:37" s="175" customFormat="1" ht="11.1" customHeight="1">
      <c r="A174" s="171"/>
      <c r="B174" s="171"/>
      <c r="C174" s="183"/>
      <c r="D174" s="183"/>
      <c r="E174" s="182"/>
      <c r="F174" s="171"/>
      <c r="G174" s="170"/>
      <c r="H174" s="168"/>
      <c r="I174" s="169"/>
      <c r="J174" s="169"/>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c r="AG174" s="168"/>
      <c r="AH174" s="168"/>
      <c r="AI174" s="168"/>
      <c r="AJ174" s="168"/>
      <c r="AK174" s="168"/>
    </row>
    <row r="175" spans="1:37" s="175" customFormat="1" ht="11.1" customHeight="1">
      <c r="A175" s="171"/>
      <c r="B175" s="171"/>
      <c r="C175" s="183"/>
      <c r="D175" s="183"/>
      <c r="E175" s="182"/>
      <c r="F175" s="171"/>
      <c r="G175" s="170"/>
      <c r="H175" s="168"/>
      <c r="I175" s="169"/>
      <c r="J175" s="169"/>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c r="AG175" s="168"/>
      <c r="AH175" s="168"/>
      <c r="AI175" s="168"/>
      <c r="AJ175" s="168"/>
      <c r="AK175" s="168"/>
    </row>
    <row r="176" spans="1:37" s="175" customFormat="1" ht="11.1" customHeight="1">
      <c r="A176" s="180"/>
      <c r="B176" s="180"/>
      <c r="C176" s="181"/>
      <c r="D176" s="181"/>
      <c r="E176" s="181"/>
      <c r="F176" s="180"/>
      <c r="G176" s="179"/>
      <c r="H176" s="178"/>
      <c r="I176" s="177"/>
      <c r="J176" s="176"/>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c r="AG176" s="168"/>
      <c r="AH176" s="168"/>
      <c r="AI176" s="168"/>
      <c r="AJ176" s="168"/>
      <c r="AK176" s="168"/>
    </row>
    <row r="177" spans="1:37" s="175" customFormat="1" ht="11.1" customHeight="1">
      <c r="A177" s="69"/>
      <c r="B177" s="171"/>
      <c r="C177" s="172"/>
      <c r="D177" s="172"/>
      <c r="E177" s="172"/>
      <c r="F177" s="171"/>
      <c r="G177" s="170"/>
      <c r="H177" s="168"/>
      <c r="I177" s="169"/>
      <c r="J177" s="169"/>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c r="AG177" s="168"/>
      <c r="AH177" s="168"/>
      <c r="AI177" s="168"/>
      <c r="AJ177" s="168"/>
      <c r="AK177" s="168"/>
    </row>
    <row r="178" spans="1:10" s="171" customFormat="1" ht="11.1" customHeight="1">
      <c r="A178" s="69"/>
      <c r="C178" s="172"/>
      <c r="D178" s="172"/>
      <c r="E178" s="172"/>
      <c r="G178" s="170"/>
      <c r="H178" s="168"/>
      <c r="I178" s="169"/>
      <c r="J178" s="169"/>
    </row>
    <row r="179" spans="1:10" s="171" customFormat="1" ht="11.1" customHeight="1">
      <c r="A179" s="69"/>
      <c r="C179" s="172"/>
      <c r="D179" s="172"/>
      <c r="E179" s="172"/>
      <c r="G179" s="170"/>
      <c r="H179" s="168"/>
      <c r="I179" s="169"/>
      <c r="J179" s="169"/>
    </row>
    <row r="180" spans="1:10" s="171" customFormat="1" ht="11.1" customHeight="1">
      <c r="A180" s="69"/>
      <c r="C180" s="172"/>
      <c r="D180" s="172"/>
      <c r="E180" s="172"/>
      <c r="G180" s="170"/>
      <c r="H180" s="168"/>
      <c r="I180" s="169"/>
      <c r="J180" s="169"/>
    </row>
    <row r="181" spans="1:10" s="171" customFormat="1" ht="11.1" customHeight="1">
      <c r="A181" s="69"/>
      <c r="C181" s="172"/>
      <c r="D181" s="172"/>
      <c r="E181" s="172"/>
      <c r="G181" s="170"/>
      <c r="H181" s="168"/>
      <c r="I181" s="169"/>
      <c r="J181" s="169"/>
    </row>
    <row r="182" spans="1:10" s="171" customFormat="1" ht="11.1" customHeight="1">
      <c r="A182" s="69"/>
      <c r="C182" s="172"/>
      <c r="D182" s="172"/>
      <c r="E182" s="172"/>
      <c r="G182" s="170"/>
      <c r="H182" s="168"/>
      <c r="I182" s="169"/>
      <c r="J182" s="169"/>
    </row>
    <row r="183" spans="1:10" s="171" customFormat="1" ht="11.1" customHeight="1">
      <c r="A183" s="69"/>
      <c r="C183" s="172"/>
      <c r="D183" s="172"/>
      <c r="E183" s="172"/>
      <c r="G183" s="170"/>
      <c r="H183" s="168"/>
      <c r="I183" s="169"/>
      <c r="J183" s="169"/>
    </row>
    <row r="184" spans="1:10" s="171" customFormat="1" ht="11.1" customHeight="1">
      <c r="A184" s="69"/>
      <c r="C184" s="172"/>
      <c r="D184" s="172"/>
      <c r="E184" s="172"/>
      <c r="G184" s="170"/>
      <c r="H184" s="168"/>
      <c r="I184" s="169"/>
      <c r="J184" s="169"/>
    </row>
    <row r="185" spans="1:10" s="171" customFormat="1" ht="11.1" customHeight="1">
      <c r="A185" s="69"/>
      <c r="C185" s="172"/>
      <c r="D185" s="172"/>
      <c r="E185" s="172"/>
      <c r="G185" s="170"/>
      <c r="H185" s="168"/>
      <c r="I185" s="169"/>
      <c r="J185" s="169"/>
    </row>
    <row r="186" spans="1:10" s="171" customFormat="1" ht="11.1" customHeight="1">
      <c r="A186" s="69"/>
      <c r="C186" s="172"/>
      <c r="D186" s="172"/>
      <c r="E186" s="172"/>
      <c r="G186" s="170"/>
      <c r="H186" s="168"/>
      <c r="I186" s="169"/>
      <c r="J186" s="169"/>
    </row>
    <row r="187" spans="1:10" s="171" customFormat="1" ht="11.1" customHeight="1">
      <c r="A187" s="69"/>
      <c r="C187" s="172"/>
      <c r="D187" s="172"/>
      <c r="E187" s="172"/>
      <c r="G187" s="170"/>
      <c r="H187" s="168"/>
      <c r="I187" s="169"/>
      <c r="J187" s="169"/>
    </row>
    <row r="188" spans="1:10" s="171" customFormat="1" ht="11.1" customHeight="1">
      <c r="A188" s="69"/>
      <c r="C188" s="172"/>
      <c r="D188" s="172"/>
      <c r="E188" s="172"/>
      <c r="G188" s="170"/>
      <c r="H188" s="168"/>
      <c r="I188" s="169"/>
      <c r="J188" s="169"/>
    </row>
    <row r="189" spans="1:10" s="171" customFormat="1" ht="11.1" customHeight="1">
      <c r="A189" s="69"/>
      <c r="C189" s="172"/>
      <c r="D189" s="172"/>
      <c r="E189" s="172"/>
      <c r="G189" s="170"/>
      <c r="H189" s="168"/>
      <c r="I189" s="169"/>
      <c r="J189" s="169"/>
    </row>
    <row r="190" spans="1:10" s="171" customFormat="1" ht="11.1" customHeight="1">
      <c r="A190" s="174"/>
      <c r="C190" s="172"/>
      <c r="D190" s="172"/>
      <c r="G190" s="170"/>
      <c r="H190" s="168"/>
      <c r="I190" s="169"/>
      <c r="J190" s="169"/>
    </row>
    <row r="191" spans="1:10" s="171" customFormat="1" ht="11.1" customHeight="1">
      <c r="A191" s="69"/>
      <c r="C191" s="172"/>
      <c r="D191" s="172"/>
      <c r="G191" s="170"/>
      <c r="H191" s="168"/>
      <c r="I191" s="169"/>
      <c r="J191" s="169"/>
    </row>
    <row r="192" spans="1:10" s="171" customFormat="1" ht="11.1" customHeight="1">
      <c r="A192" s="173"/>
      <c r="C192" s="172"/>
      <c r="D192" s="172"/>
      <c r="G192" s="170"/>
      <c r="H192" s="168"/>
      <c r="I192" s="169"/>
      <c r="J192" s="169"/>
    </row>
    <row r="193" spans="1:10" s="171" customFormat="1" ht="11.1" customHeight="1">
      <c r="A193" s="173"/>
      <c r="C193" s="172"/>
      <c r="D193" s="172"/>
      <c r="G193" s="170"/>
      <c r="H193" s="168"/>
      <c r="I193" s="169"/>
      <c r="J193" s="169"/>
    </row>
    <row r="194" spans="1:10" s="171" customFormat="1" ht="11.1" customHeight="1">
      <c r="A194" s="69"/>
      <c r="C194" s="172"/>
      <c r="D194" s="172"/>
      <c r="E194" s="172"/>
      <c r="G194" s="170"/>
      <c r="H194" s="168"/>
      <c r="I194" s="169"/>
      <c r="J194" s="169"/>
    </row>
    <row r="195" spans="1:10" s="171" customFormat="1" ht="11.1" customHeight="1">
      <c r="A195" s="173"/>
      <c r="C195" s="172"/>
      <c r="D195" s="172"/>
      <c r="E195" s="172"/>
      <c r="G195" s="170"/>
      <c r="H195" s="168"/>
      <c r="I195" s="169"/>
      <c r="J195" s="169"/>
    </row>
    <row r="196" spans="1:10" s="171" customFormat="1" ht="11.1" customHeight="1">
      <c r="A196" s="69"/>
      <c r="C196" s="172"/>
      <c r="D196" s="172"/>
      <c r="E196" s="172"/>
      <c r="G196" s="170"/>
      <c r="H196" s="168"/>
      <c r="I196" s="169"/>
      <c r="J196" s="169"/>
    </row>
    <row r="197" spans="1:10" s="171" customFormat="1" ht="11.1" customHeight="1">
      <c r="A197" s="173"/>
      <c r="C197" s="172"/>
      <c r="D197" s="172"/>
      <c r="E197" s="172"/>
      <c r="G197" s="170"/>
      <c r="H197" s="168"/>
      <c r="I197" s="169"/>
      <c r="J197" s="169"/>
    </row>
    <row r="198" spans="1:10" s="171" customFormat="1" ht="11.1" customHeight="1">
      <c r="A198" s="69"/>
      <c r="C198" s="172"/>
      <c r="D198" s="172"/>
      <c r="E198" s="172"/>
      <c r="G198" s="170"/>
      <c r="H198" s="168"/>
      <c r="I198" s="169"/>
      <c r="J198" s="169"/>
    </row>
    <row r="199" spans="1:10" s="171" customFormat="1" ht="11.1" customHeight="1">
      <c r="A199" s="173"/>
      <c r="C199" s="172"/>
      <c r="D199" s="172"/>
      <c r="E199" s="172"/>
      <c r="G199" s="170"/>
      <c r="H199" s="168"/>
      <c r="I199" s="169"/>
      <c r="J199" s="169"/>
    </row>
    <row r="200" spans="1:10" s="171" customFormat="1" ht="11.1" customHeight="1">
      <c r="A200" s="69"/>
      <c r="C200" s="172"/>
      <c r="D200" s="172"/>
      <c r="E200" s="172"/>
      <c r="G200" s="170"/>
      <c r="H200" s="168"/>
      <c r="I200" s="169"/>
      <c r="J200" s="169"/>
    </row>
    <row r="201" spans="1:10" s="171" customFormat="1" ht="11.1" customHeight="1">
      <c r="A201" s="173"/>
      <c r="C201" s="172"/>
      <c r="D201" s="172"/>
      <c r="E201" s="172"/>
      <c r="G201" s="170"/>
      <c r="H201" s="168"/>
      <c r="I201" s="169"/>
      <c r="J201" s="169"/>
    </row>
    <row r="202" spans="1:10" s="171" customFormat="1" ht="11.1" customHeight="1">
      <c r="A202" s="173"/>
      <c r="C202" s="172"/>
      <c r="D202" s="172"/>
      <c r="E202" s="172"/>
      <c r="G202" s="170"/>
      <c r="H202" s="168"/>
      <c r="I202" s="169"/>
      <c r="J202" s="169"/>
    </row>
  </sheetData>
  <sheetProtection algorithmName="SHA-512" hashValue="u3XGBhcCyGOQaTM4WvBAvRzFDmUvqlDG1XT4kh2FP0ZW5GDLkSv/mSmD2aUtx+E9u+bMRj4A9OM7WwQWNzO0vA==" saltValue="Pdjy8eeMpa3Sn2wHMObZfQ==" spinCount="100000" sheet="1" objects="1" scenarios="1" selectLockedCells="1"/>
  <mergeCells count="2">
    <mergeCell ref="A1:J5"/>
    <mergeCell ref="E162:J168"/>
  </mergeCells>
  <printOptions/>
  <pageMargins left="0.7086614173228347" right="0.7086614173228347" top="0.6299212598425197" bottom="0.5905511811023623" header="0.5118110236220472" footer="0.5118110236220472"/>
  <pageSetup fitToHeight="10" fitToWidth="1" horizontalDpi="300" verticalDpi="300" orientation="portrait" paperSize="9" scale="76"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72B97-F18F-4095-B613-4F1BD07BF540}">
  <sheetPr>
    <pageSetUpPr fitToPage="1"/>
  </sheetPr>
  <dimension ref="A1:I19"/>
  <sheetViews>
    <sheetView showGridLines="0" tabSelected="1" workbookViewId="0" topLeftCell="A1">
      <selection activeCell="F18" sqref="F18"/>
    </sheetView>
  </sheetViews>
  <sheetFormatPr defaultColWidth="9.00390625" defaultRowHeight="15"/>
  <cols>
    <col min="1" max="1" width="4.28125" style="211" customWidth="1"/>
    <col min="2" max="2" width="8.00390625" style="22" customWidth="1"/>
    <col min="3" max="3" width="45.57421875" style="22" customWidth="1"/>
    <col min="4" max="4" width="4.7109375" style="22" customWidth="1"/>
    <col min="5" max="5" width="9.7109375" style="20" customWidth="1"/>
    <col min="6" max="6" width="11.421875" style="210" customWidth="1"/>
    <col min="7" max="7" width="15.28125" style="210" customWidth="1"/>
    <col min="8" max="8" width="11.421875" style="20" customWidth="1"/>
    <col min="9" max="9" width="11.421875" style="19" customWidth="1"/>
    <col min="10" max="10" width="19.421875" style="19" customWidth="1"/>
    <col min="11" max="255" width="9.00390625" style="19" customWidth="1"/>
    <col min="256" max="256" width="3.28125" style="19" customWidth="1"/>
    <col min="257" max="257" width="10.28125" style="19" customWidth="1"/>
    <col min="258" max="258" width="44.00390625" style="19" customWidth="1"/>
    <col min="259" max="259" width="4.7109375" style="19" customWidth="1"/>
    <col min="260" max="260" width="9.7109375" style="19" customWidth="1"/>
    <col min="261" max="261" width="11.421875" style="19" customWidth="1"/>
    <col min="262" max="262" width="15.28125" style="19" customWidth="1"/>
    <col min="263" max="263" width="11.421875" style="19" customWidth="1"/>
    <col min="264" max="511" width="9.00390625" style="19" customWidth="1"/>
    <col min="512" max="512" width="3.28125" style="19" customWidth="1"/>
    <col min="513" max="513" width="10.28125" style="19" customWidth="1"/>
    <col min="514" max="514" width="44.00390625" style="19" customWidth="1"/>
    <col min="515" max="515" width="4.7109375" style="19" customWidth="1"/>
    <col min="516" max="516" width="9.7109375" style="19" customWidth="1"/>
    <col min="517" max="517" width="11.421875" style="19" customWidth="1"/>
    <col min="518" max="518" width="15.28125" style="19" customWidth="1"/>
    <col min="519" max="519" width="11.421875" style="19" customWidth="1"/>
    <col min="520" max="767" width="9.00390625" style="19" customWidth="1"/>
    <col min="768" max="768" width="3.28125" style="19" customWidth="1"/>
    <col min="769" max="769" width="10.28125" style="19" customWidth="1"/>
    <col min="770" max="770" width="44.00390625" style="19" customWidth="1"/>
    <col min="771" max="771" width="4.7109375" style="19" customWidth="1"/>
    <col min="772" max="772" width="9.7109375" style="19" customWidth="1"/>
    <col min="773" max="773" width="11.421875" style="19" customWidth="1"/>
    <col min="774" max="774" width="15.28125" style="19" customWidth="1"/>
    <col min="775" max="775" width="11.421875" style="19" customWidth="1"/>
    <col min="776" max="1023" width="9.00390625" style="19" customWidth="1"/>
    <col min="1024" max="1024" width="3.28125" style="19" customWidth="1"/>
    <col min="1025" max="16384" width="9.00390625" style="18" customWidth="1"/>
  </cols>
  <sheetData>
    <row r="1" spans="1:8" s="19" customFormat="1" ht="27.75" customHeight="1">
      <c r="A1" s="261" t="s">
        <v>652</v>
      </c>
      <c r="B1" s="261"/>
      <c r="C1" s="261"/>
      <c r="D1" s="261"/>
      <c r="E1" s="261"/>
      <c r="F1" s="261"/>
      <c r="G1" s="261"/>
      <c r="H1" s="261"/>
    </row>
    <row r="2" spans="1:9" s="19" customFormat="1" ht="12.75" customHeight="1">
      <c r="A2" s="262" t="s">
        <v>1203</v>
      </c>
      <c r="B2" s="262"/>
      <c r="C2" s="262"/>
      <c r="D2" s="262"/>
      <c r="E2" s="262"/>
      <c r="F2" s="262"/>
      <c r="G2" s="262"/>
      <c r="H2" s="262"/>
      <c r="I2" s="262"/>
    </row>
    <row r="3" spans="1:8" s="19" customFormat="1" ht="12.75" customHeight="1">
      <c r="A3" s="63"/>
      <c r="B3" s="63"/>
      <c r="C3" s="63"/>
      <c r="D3" s="63"/>
      <c r="E3" s="63"/>
      <c r="F3" s="63"/>
      <c r="G3" s="63"/>
      <c r="H3" s="63"/>
    </row>
    <row r="4" spans="1:8" s="19" customFormat="1" ht="13.5" customHeight="1">
      <c r="A4" s="64"/>
      <c r="B4" s="63"/>
      <c r="C4" s="64"/>
      <c r="D4" s="63"/>
      <c r="E4" s="63"/>
      <c r="F4" s="63"/>
      <c r="G4" s="63"/>
      <c r="H4" s="63"/>
    </row>
    <row r="5" spans="1:8" s="19" customFormat="1" ht="6.75" customHeight="1">
      <c r="A5" s="238"/>
      <c r="B5" s="60"/>
      <c r="C5" s="61"/>
      <c r="D5" s="60"/>
      <c r="E5" s="59"/>
      <c r="F5" s="237"/>
      <c r="G5" s="237"/>
      <c r="H5" s="57"/>
    </row>
    <row r="6" spans="1:8" s="19" customFormat="1" ht="12.75" customHeight="1">
      <c r="A6" s="53" t="s">
        <v>650</v>
      </c>
      <c r="B6" s="53"/>
      <c r="C6" s="53"/>
      <c r="D6" s="53"/>
      <c r="E6" s="53"/>
      <c r="F6" s="53"/>
      <c r="G6" s="53"/>
      <c r="H6" s="53"/>
    </row>
    <row r="7" spans="1:8" s="19" customFormat="1" ht="12.75" customHeight="1">
      <c r="A7" s="53" t="s">
        <v>649</v>
      </c>
      <c r="B7" s="53"/>
      <c r="C7" s="53"/>
      <c r="D7" s="53"/>
      <c r="E7" s="53"/>
      <c r="F7" s="53"/>
      <c r="G7" s="53" t="s">
        <v>647</v>
      </c>
      <c r="H7" s="53" t="s">
        <v>1202</v>
      </c>
    </row>
    <row r="8" spans="1:8" s="19" customFormat="1" ht="12.75" customHeight="1">
      <c r="A8" s="53" t="s">
        <v>646</v>
      </c>
      <c r="B8" s="56"/>
      <c r="C8" s="56"/>
      <c r="D8" s="56"/>
      <c r="E8" s="55"/>
      <c r="F8" s="236"/>
      <c r="G8" s="53" t="s">
        <v>645</v>
      </c>
      <c r="H8" s="52">
        <v>45083</v>
      </c>
    </row>
    <row r="9" spans="1:8" s="19" customFormat="1" ht="6.75" customHeight="1">
      <c r="A9" s="49"/>
      <c r="B9" s="49"/>
      <c r="C9" s="49"/>
      <c r="D9" s="49"/>
      <c r="E9" s="49"/>
      <c r="F9" s="49"/>
      <c r="G9" s="49"/>
      <c r="H9" s="49"/>
    </row>
    <row r="10" spans="1:9" s="19" customFormat="1" ht="28.5" customHeight="1">
      <c r="A10" s="234" t="s">
        <v>644</v>
      </c>
      <c r="B10" s="234" t="s">
        <v>643</v>
      </c>
      <c r="C10" s="234" t="s">
        <v>642</v>
      </c>
      <c r="D10" s="234" t="s">
        <v>557</v>
      </c>
      <c r="E10" s="234" t="s">
        <v>641</v>
      </c>
      <c r="F10" s="234" t="s">
        <v>640</v>
      </c>
      <c r="G10" s="234" t="s">
        <v>639</v>
      </c>
      <c r="H10" s="234" t="s">
        <v>638</v>
      </c>
      <c r="I10" s="235" t="s">
        <v>637</v>
      </c>
    </row>
    <row r="11" spans="1:9" s="19" customFormat="1" ht="12.75" customHeight="1" hidden="1">
      <c r="A11" s="234" t="s">
        <v>2</v>
      </c>
      <c r="B11" s="234" t="s">
        <v>151</v>
      </c>
      <c r="C11" s="234" t="s">
        <v>320</v>
      </c>
      <c r="D11" s="234" t="s">
        <v>517</v>
      </c>
      <c r="E11" s="234" t="s">
        <v>35</v>
      </c>
      <c r="F11" s="234" t="s">
        <v>510</v>
      </c>
      <c r="G11" s="234" t="s">
        <v>178</v>
      </c>
      <c r="H11" s="234" t="s">
        <v>501</v>
      </c>
      <c r="I11" s="44"/>
    </row>
    <row r="12" spans="1:9" s="19" customFormat="1" ht="5.25" customHeight="1">
      <c r="A12" s="49"/>
      <c r="B12" s="49"/>
      <c r="C12" s="49"/>
      <c r="D12" s="49"/>
      <c r="E12" s="49"/>
      <c r="F12" s="49"/>
      <c r="G12" s="49"/>
      <c r="H12" s="49"/>
      <c r="I12" s="44"/>
    </row>
    <row r="13" spans="1:9" s="19" customFormat="1" ht="30.75" customHeight="1">
      <c r="A13" s="233"/>
      <c r="B13" s="47" t="s">
        <v>636</v>
      </c>
      <c r="C13" s="47" t="s">
        <v>635</v>
      </c>
      <c r="D13" s="47"/>
      <c r="E13" s="45"/>
      <c r="F13" s="232"/>
      <c r="G13" s="232">
        <f>G15</f>
        <v>0</v>
      </c>
      <c r="H13" s="45"/>
      <c r="I13" s="44"/>
    </row>
    <row r="14" spans="1:9" s="19" customFormat="1" ht="12.95" customHeight="1">
      <c r="A14" s="231"/>
      <c r="B14" s="41"/>
      <c r="C14" s="40"/>
      <c r="D14" s="39"/>
      <c r="E14" s="38"/>
      <c r="F14" s="38"/>
      <c r="G14" s="38"/>
      <c r="H14" s="33"/>
      <c r="I14" s="37"/>
    </row>
    <row r="15" spans="1:9" s="19" customFormat="1" ht="12.95" customHeight="1">
      <c r="A15" s="230"/>
      <c r="B15" s="229"/>
      <c r="C15" s="229" t="s">
        <v>577</v>
      </c>
      <c r="D15" s="229"/>
      <c r="E15" s="227"/>
      <c r="F15" s="228"/>
      <c r="G15" s="228">
        <f>SUM(G16:G19)</f>
        <v>0</v>
      </c>
      <c r="H15" s="227"/>
      <c r="I15" s="226"/>
    </row>
    <row r="16" spans="1:9" s="225" customFormat="1" ht="25.5">
      <c r="A16" s="218">
        <v>1</v>
      </c>
      <c r="B16" s="217"/>
      <c r="C16" s="223" t="s">
        <v>1201</v>
      </c>
      <c r="D16" s="222" t="s">
        <v>1198</v>
      </c>
      <c r="E16" s="224">
        <v>68.6</v>
      </c>
      <c r="F16" s="523">
        <v>0</v>
      </c>
      <c r="G16" s="224">
        <f>E16*F16</f>
        <v>0</v>
      </c>
      <c r="H16" s="220"/>
      <c r="I16" s="219"/>
    </row>
    <row r="17" spans="1:9" s="22" customFormat="1" ht="238.5" customHeight="1">
      <c r="A17" s="218"/>
      <c r="B17" s="217"/>
      <c r="C17" s="216" t="s">
        <v>1200</v>
      </c>
      <c r="D17" s="222"/>
      <c r="E17" s="224"/>
      <c r="F17" s="224"/>
      <c r="G17" s="224"/>
      <c r="H17" s="220"/>
      <c r="I17" s="219"/>
    </row>
    <row r="18" spans="1:9" s="22" customFormat="1" ht="25.5">
      <c r="A18" s="218">
        <v>2</v>
      </c>
      <c r="B18" s="217"/>
      <c r="C18" s="223" t="s">
        <v>1199</v>
      </c>
      <c r="D18" s="222" t="s">
        <v>1198</v>
      </c>
      <c r="E18" s="221">
        <v>116.4</v>
      </c>
      <c r="F18" s="522">
        <v>0</v>
      </c>
      <c r="G18" s="221">
        <f>E18*F18</f>
        <v>0</v>
      </c>
      <c r="H18" s="220"/>
      <c r="I18" s="219"/>
    </row>
    <row r="19" spans="1:9" s="19" customFormat="1" ht="101.25">
      <c r="A19" s="218"/>
      <c r="B19" s="217"/>
      <c r="C19" s="216" t="s">
        <v>1197</v>
      </c>
      <c r="D19" s="215"/>
      <c r="E19" s="214"/>
      <c r="F19" s="214"/>
      <c r="G19" s="214"/>
      <c r="H19" s="213"/>
      <c r="I19" s="212"/>
    </row>
    <row r="1048351" ht="12.75" customHeight="1"/>
    <row r="1048352" ht="12.75" customHeight="1"/>
    <row r="1048353" ht="12.75" customHeight="1"/>
    <row r="1048354" ht="12.75" customHeight="1"/>
    <row r="1048355" ht="12.75" customHeight="1"/>
    <row r="1048356" ht="12.75" customHeight="1"/>
    <row r="1048357" ht="12.75" customHeight="1"/>
    <row r="1048358" ht="12.75" customHeight="1"/>
    <row r="1048359" ht="12.75" customHeight="1"/>
    <row r="1048360" ht="12.75" customHeight="1"/>
    <row r="1048361" ht="12.75" customHeight="1"/>
    <row r="1048362" ht="12.75" customHeight="1"/>
    <row r="1048363" ht="12.75" customHeight="1"/>
    <row r="1048364" ht="12.75" customHeight="1"/>
    <row r="1048365" ht="12.75" customHeight="1"/>
    <row r="1048366" ht="12.75" customHeight="1"/>
    <row r="1048367" ht="12.75" customHeight="1"/>
    <row r="1048368" ht="12.75" customHeight="1"/>
    <row r="1048369" ht="12.75" customHeight="1"/>
    <row r="1048370" ht="12.75" customHeight="1"/>
    <row r="1048371" ht="12.75" customHeight="1"/>
    <row r="1048372" ht="12.75" customHeight="1"/>
    <row r="1048373" ht="12.75" customHeight="1"/>
    <row r="1048374" ht="12.75" customHeight="1"/>
    <row r="1048375" ht="12.75" customHeight="1"/>
    <row r="1048376" ht="12.75" customHeight="1"/>
    <row r="1048377" ht="12.75" customHeight="1"/>
    <row r="1048378" ht="12.75" customHeight="1"/>
    <row r="1048379" ht="12.75" customHeight="1"/>
    <row r="1048380" ht="12.75" customHeight="1"/>
    <row r="1048381" ht="12.75" customHeight="1"/>
    <row r="1048382" ht="12.75" customHeight="1"/>
    <row r="1048383" ht="12.75" customHeight="1"/>
    <row r="1048384" ht="12.75" customHeight="1"/>
    <row r="1048385" ht="12.75" customHeight="1"/>
    <row r="1048386" ht="12.75" customHeight="1"/>
    <row r="1048387" ht="12.75" customHeight="1"/>
    <row r="1048388" ht="12.75" customHeight="1"/>
    <row r="1048389" ht="12.75" customHeight="1"/>
    <row r="1048390" ht="12.75" customHeight="1"/>
    <row r="1048391" ht="12.75" customHeight="1"/>
    <row r="1048392" ht="12.75" customHeight="1"/>
    <row r="1048393" ht="12.75" customHeight="1"/>
    <row r="1048394" ht="12.75" customHeight="1"/>
    <row r="1048395" ht="12.75" customHeight="1"/>
    <row r="1048396" ht="12.75" customHeight="1"/>
    <row r="1048397" ht="12.75" customHeight="1"/>
    <row r="1048398" ht="12.75" customHeight="1"/>
    <row r="1048399" ht="12.75" customHeight="1"/>
    <row r="1048400" ht="12.75" customHeight="1"/>
    <row r="1048401" ht="12.75" customHeight="1"/>
    <row r="1048402" ht="12.75" customHeight="1"/>
    <row r="1048403" ht="12.75" customHeight="1"/>
    <row r="1048404" ht="12.75" customHeight="1"/>
    <row r="1048405" ht="12.75" customHeight="1"/>
    <row r="1048406" ht="12.75" customHeight="1"/>
    <row r="1048407" ht="12.75" customHeight="1"/>
    <row r="1048408" ht="12.75" customHeight="1"/>
    <row r="1048409" ht="12.75" customHeight="1"/>
    <row r="1048410" ht="12.75" customHeight="1"/>
    <row r="1048411" ht="12.75" customHeight="1"/>
    <row r="1048412" ht="12.75" customHeight="1"/>
    <row r="1048413" ht="12.75" customHeight="1"/>
    <row r="1048414" ht="12.75" customHeight="1"/>
    <row r="1048415" ht="12.75" customHeight="1"/>
    <row r="1048416" ht="12.75" customHeight="1"/>
    <row r="1048417" ht="12.75" customHeight="1"/>
    <row r="1048418" ht="12.75" customHeight="1"/>
    <row r="1048419" ht="12.75" customHeight="1"/>
    <row r="1048420" ht="12.75" customHeight="1"/>
    <row r="1048421" ht="12.75" customHeight="1"/>
    <row r="1048422" ht="12.75" customHeight="1"/>
    <row r="1048423" ht="12.75" customHeight="1"/>
    <row r="1048424" ht="12.75" customHeight="1"/>
    <row r="1048425" ht="12.75" customHeight="1"/>
    <row r="1048426" ht="12.75" customHeight="1"/>
    <row r="1048427" ht="12.75" customHeight="1"/>
    <row r="1048428" ht="12.75" customHeight="1"/>
    <row r="1048429" ht="12.75" customHeight="1"/>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sheetData>
  <sheetProtection algorithmName="SHA-512" hashValue="Hs2dTanfuVnP5n5vQT+1BDt7bHICkKUdCJogTcp5rIRbKbn4xaT872vPK2WC6rhQslyriQ367VQnvRdL1v5NVA==" saltValue="BNTrVnvumJ8lCjopTyXIDw==" spinCount="100000" sheet="1" objects="1" scenarios="1" selectLockedCells="1"/>
  <mergeCells count="2">
    <mergeCell ref="A1:H1"/>
    <mergeCell ref="A2:I2"/>
  </mergeCells>
  <printOptions/>
  <pageMargins left="0.39375" right="0.39375" top="0.7875" bottom="0.7875" header="0.511805555555555" footer="0"/>
  <pageSetup fitToHeight="100" fitToWidth="1" horizontalDpi="300" verticalDpi="300" orientation="portrait" paperSize="9" r:id="rId1"/>
  <headerFooter>
    <oddFooter>&amp;C   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5B203-7BDE-4974-9FEC-AF115A127A74}">
  <dimension ref="A1:A1"/>
  <sheetViews>
    <sheetView workbookViewId="0" topLeftCell="A1">
      <selection activeCell="D35" sqref="D35"/>
    </sheetView>
  </sheetViews>
  <sheetFormatPr defaultColWidth="9.140625" defaultRowHeight="15"/>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F42AF-7B27-4049-BA7B-956A4005970C}">
  <sheetPr>
    <pageSetUpPr fitToPage="1"/>
  </sheetPr>
  <dimension ref="A1:P23"/>
  <sheetViews>
    <sheetView showOutlineSymbols="0" workbookViewId="0" topLeftCell="A1">
      <pane ySplit="11" topLeftCell="A12" activePane="bottomLeft" state="frozen"/>
      <selection pane="bottomLeft" activeCell="S1" sqref="S1"/>
    </sheetView>
  </sheetViews>
  <sheetFormatPr defaultColWidth="12.140625" defaultRowHeight="15" customHeight="1"/>
  <cols>
    <col min="1" max="1" width="7.57421875" style="2" customWidth="1"/>
    <col min="2" max="8" width="15.7109375" style="2" customWidth="1"/>
    <col min="9" max="12" width="14.28125" style="2" customWidth="1"/>
    <col min="13" max="16" width="12.140625" style="2" hidden="1" customWidth="1"/>
    <col min="17" max="16384" width="12.140625" style="1" customWidth="1"/>
  </cols>
  <sheetData>
    <row r="1" spans="1:16" ht="54.75" customHeight="1">
      <c r="A1" s="259" t="s">
        <v>592</v>
      </c>
      <c r="B1" s="259"/>
      <c r="C1" s="259"/>
      <c r="D1" s="259"/>
      <c r="E1" s="259"/>
      <c r="F1" s="259"/>
      <c r="G1" s="259"/>
      <c r="H1" s="259"/>
      <c r="I1" s="259"/>
      <c r="J1" s="259"/>
      <c r="K1" s="259"/>
      <c r="L1" s="259"/>
      <c r="M1" s="3"/>
      <c r="N1" s="3"/>
      <c r="O1" s="3"/>
      <c r="P1" s="3"/>
    </row>
    <row r="2" spans="1:16" ht="15" customHeight="1">
      <c r="A2" s="251" t="s">
        <v>573</v>
      </c>
      <c r="B2" s="251"/>
      <c r="C2" s="251"/>
      <c r="D2" s="252" t="str">
        <f>'[2]Stavební rozpočet'!D2</f>
        <v>REKONSTRUKCE RODNÉHO BYTU B.SMETANY - ZÁMECKÝ PIVOVAR LITOMYŠL</v>
      </c>
      <c r="E2" s="252"/>
      <c r="F2" s="252"/>
      <c r="G2" s="253" t="s">
        <v>572</v>
      </c>
      <c r="H2" s="253" t="str">
        <f>'[2]Stavební rozpočet'!F2</f>
        <v xml:space="preserve"> </v>
      </c>
      <c r="I2" s="253" t="s">
        <v>571</v>
      </c>
      <c r="J2" s="260" t="str">
        <f>'[2]Stavební rozpočet'!I2</f>
        <v>Město Litomyšl</v>
      </c>
      <c r="K2" s="260"/>
      <c r="L2" s="260"/>
      <c r="M2" s="3"/>
      <c r="N2" s="3"/>
      <c r="O2" s="3"/>
      <c r="P2" s="3"/>
    </row>
    <row r="3" spans="1:16" ht="15" customHeight="1">
      <c r="A3" s="251"/>
      <c r="B3" s="251"/>
      <c r="C3" s="251"/>
      <c r="D3" s="252"/>
      <c r="E3" s="252"/>
      <c r="F3" s="252"/>
      <c r="G3" s="253"/>
      <c r="H3" s="253"/>
      <c r="I3" s="253"/>
      <c r="J3" s="253"/>
      <c r="K3" s="260"/>
      <c r="L3" s="260"/>
      <c r="M3" s="3"/>
      <c r="N3" s="3"/>
      <c r="O3" s="3"/>
      <c r="P3" s="3"/>
    </row>
    <row r="4" spans="1:16" ht="15" customHeight="1">
      <c r="A4" s="248" t="s">
        <v>570</v>
      </c>
      <c r="B4" s="248"/>
      <c r="C4" s="248"/>
      <c r="D4" s="249" t="str">
        <f>'[2]Stavební rozpočet'!D4</f>
        <v xml:space="preserve"> </v>
      </c>
      <c r="E4" s="249"/>
      <c r="F4" s="249"/>
      <c r="G4" s="249" t="s">
        <v>569</v>
      </c>
      <c r="H4" s="249" t="str">
        <f>'[2]Stavební rozpočet'!F4</f>
        <v>11.05.2023</v>
      </c>
      <c r="I4" s="249" t="s">
        <v>568</v>
      </c>
      <c r="J4" s="255" t="str">
        <f>'[2]Stavební rozpočet'!I4</f>
        <v>KIP spol. s r.o. Litomyšl</v>
      </c>
      <c r="K4" s="255"/>
      <c r="L4" s="255"/>
      <c r="M4" s="3"/>
      <c r="N4" s="3"/>
      <c r="O4" s="3"/>
      <c r="P4" s="3"/>
    </row>
    <row r="5" spans="1:16" ht="15" customHeight="1">
      <c r="A5" s="248"/>
      <c r="B5" s="248"/>
      <c r="C5" s="248"/>
      <c r="D5" s="249"/>
      <c r="E5" s="249"/>
      <c r="F5" s="249"/>
      <c r="G5" s="249"/>
      <c r="H5" s="249"/>
      <c r="I5" s="249"/>
      <c r="J5" s="249"/>
      <c r="K5" s="255"/>
      <c r="L5" s="255"/>
      <c r="M5" s="3"/>
      <c r="N5" s="3"/>
      <c r="O5" s="3"/>
      <c r="P5" s="3"/>
    </row>
    <row r="6" spans="1:16" ht="15" customHeight="1">
      <c r="A6" s="248" t="s">
        <v>567</v>
      </c>
      <c r="B6" s="248"/>
      <c r="C6" s="248"/>
      <c r="D6" s="249" t="str">
        <f>'[2]Stavební rozpočet'!D6</f>
        <v>LITOMYŠL</v>
      </c>
      <c r="E6" s="249"/>
      <c r="F6" s="249"/>
      <c r="G6" s="249" t="s">
        <v>566</v>
      </c>
      <c r="H6" s="249" t="str">
        <f>'[2]Stavební rozpočet'!F6</f>
        <v xml:space="preserve"> </v>
      </c>
      <c r="I6" s="249" t="s">
        <v>565</v>
      </c>
      <c r="J6" s="255" t="str">
        <f>'[2]Stavební rozpočet'!I6</f>
        <v> </v>
      </c>
      <c r="K6" s="255"/>
      <c r="L6" s="255"/>
      <c r="M6" s="3"/>
      <c r="N6" s="3"/>
      <c r="O6" s="3"/>
      <c r="P6" s="3"/>
    </row>
    <row r="7" spans="1:16" ht="15" customHeight="1">
      <c r="A7" s="248"/>
      <c r="B7" s="248"/>
      <c r="C7" s="248"/>
      <c r="D7" s="249"/>
      <c r="E7" s="249"/>
      <c r="F7" s="249"/>
      <c r="G7" s="249"/>
      <c r="H7" s="249"/>
      <c r="I7" s="249"/>
      <c r="J7" s="249"/>
      <c r="K7" s="255"/>
      <c r="L7" s="255"/>
      <c r="M7" s="3"/>
      <c r="N7" s="3"/>
      <c r="O7" s="3"/>
      <c r="P7" s="3"/>
    </row>
    <row r="8" spans="1:16" ht="15" customHeight="1">
      <c r="A8" s="248" t="s">
        <v>564</v>
      </c>
      <c r="B8" s="248"/>
      <c r="C8" s="248"/>
      <c r="D8" s="249" t="str">
        <f>'[2]Stavební rozpočet'!D8</f>
        <v xml:space="preserve"> </v>
      </c>
      <c r="E8" s="249"/>
      <c r="F8" s="249"/>
      <c r="G8" s="249" t="s">
        <v>563</v>
      </c>
      <c r="H8" s="249" t="str">
        <f>'[2]Stavební rozpočet'!F8</f>
        <v>11.05.2023</v>
      </c>
      <c r="I8" s="249" t="s">
        <v>562</v>
      </c>
      <c r="J8" s="255" t="str">
        <f>'[2]Stavební rozpočet'!I8</f>
        <v>MARTIN ČERNÝ, DIS.</v>
      </c>
      <c r="K8" s="255"/>
      <c r="L8" s="255"/>
      <c r="M8" s="3"/>
      <c r="N8" s="3"/>
      <c r="O8" s="3"/>
      <c r="P8" s="3"/>
    </row>
    <row r="9" spans="1:16" ht="15" customHeight="1" thickBot="1">
      <c r="A9" s="248"/>
      <c r="B9" s="248"/>
      <c r="C9" s="248"/>
      <c r="D9" s="249"/>
      <c r="E9" s="249"/>
      <c r="F9" s="249"/>
      <c r="G9" s="249"/>
      <c r="H9" s="249"/>
      <c r="I9" s="249"/>
      <c r="J9" s="249"/>
      <c r="K9" s="255"/>
      <c r="L9" s="255"/>
      <c r="M9" s="3"/>
      <c r="N9" s="3"/>
      <c r="O9" s="3"/>
      <c r="P9" s="3"/>
    </row>
    <row r="10" spans="1:16" ht="15" customHeight="1">
      <c r="A10" s="17" t="s">
        <v>12</v>
      </c>
      <c r="B10" s="256" t="s">
        <v>12</v>
      </c>
      <c r="C10" s="256"/>
      <c r="D10" s="256"/>
      <c r="E10" s="256"/>
      <c r="F10" s="256"/>
      <c r="G10" s="256"/>
      <c r="H10" s="256"/>
      <c r="I10" s="257" t="s">
        <v>554</v>
      </c>
      <c r="J10" s="257"/>
      <c r="K10" s="257"/>
      <c r="L10" s="16" t="s">
        <v>553</v>
      </c>
      <c r="M10" s="3"/>
      <c r="N10" s="3"/>
      <c r="O10" s="3"/>
      <c r="P10" s="3"/>
    </row>
    <row r="11" spans="1:16" ht="15" customHeight="1" thickBot="1">
      <c r="A11" s="15" t="s">
        <v>560</v>
      </c>
      <c r="B11" s="258" t="s">
        <v>558</v>
      </c>
      <c r="C11" s="258"/>
      <c r="D11" s="258"/>
      <c r="E11" s="258"/>
      <c r="F11" s="258"/>
      <c r="G11" s="258"/>
      <c r="H11" s="258"/>
      <c r="I11" s="10" t="s">
        <v>547</v>
      </c>
      <c r="J11" s="11" t="s">
        <v>546</v>
      </c>
      <c r="K11" s="12" t="s">
        <v>544</v>
      </c>
      <c r="L11" s="12" t="s">
        <v>544</v>
      </c>
      <c r="M11" s="3"/>
      <c r="N11" s="3"/>
      <c r="O11" s="3"/>
      <c r="P11" s="3"/>
    </row>
    <row r="12" spans="1:16" ht="15" customHeight="1">
      <c r="A12" s="9" t="s">
        <v>7</v>
      </c>
      <c r="B12" s="250" t="s">
        <v>530</v>
      </c>
      <c r="C12" s="250"/>
      <c r="D12" s="250"/>
      <c r="E12" s="250"/>
      <c r="F12" s="250"/>
      <c r="G12" s="250"/>
      <c r="H12" s="250"/>
      <c r="I12" s="6">
        <f>'Stavební rozpočet (D.1.1)'!I12</f>
        <v>0</v>
      </c>
      <c r="J12" s="6">
        <f>'Stavební rozpočet (D.1.1)'!J12</f>
        <v>0</v>
      </c>
      <c r="K12" s="6">
        <f>'Stavební rozpočet (D.1.1)'!K12</f>
        <v>0</v>
      </c>
      <c r="L12" s="14">
        <f>'Stavební rozpočet (D.1.1)'!M12</f>
        <v>91.839390315</v>
      </c>
      <c r="M12" s="7" t="s">
        <v>576</v>
      </c>
      <c r="N12" s="6">
        <f aca="true" t="shared" si="0" ref="N12:N19">IF(M12="F",0,K12)</f>
        <v>0</v>
      </c>
      <c r="O12" s="8" t="s">
        <v>7</v>
      </c>
      <c r="P12" s="6">
        <f aca="true" t="shared" si="1" ref="P12:P19">IF(M12="T",0,K12)</f>
        <v>0</v>
      </c>
    </row>
    <row r="13" spans="1:16" ht="15" customHeight="1">
      <c r="A13" s="9" t="s">
        <v>590</v>
      </c>
      <c r="B13" s="250" t="s">
        <v>591</v>
      </c>
      <c r="C13" s="250"/>
      <c r="D13" s="250"/>
      <c r="E13" s="250"/>
      <c r="F13" s="250"/>
      <c r="G13" s="250"/>
      <c r="H13" s="250"/>
      <c r="I13" s="6">
        <f>0</f>
        <v>0</v>
      </c>
      <c r="J13" s="6">
        <f>'D.1.4.1 - ZTI a VZT'!G13</f>
        <v>0</v>
      </c>
      <c r="K13" s="6">
        <f>J13+I13</f>
        <v>0</v>
      </c>
      <c r="L13" s="14">
        <f>'[2]Stavební rozpočet'!M334</f>
        <v>0</v>
      </c>
      <c r="M13" s="7" t="s">
        <v>576</v>
      </c>
      <c r="N13" s="6">
        <f t="shared" si="0"/>
        <v>0</v>
      </c>
      <c r="O13" s="8" t="s">
        <v>590</v>
      </c>
      <c r="P13" s="6">
        <f t="shared" si="1"/>
        <v>0</v>
      </c>
    </row>
    <row r="14" spans="1:16" ht="15" customHeight="1">
      <c r="A14" s="9" t="s">
        <v>588</v>
      </c>
      <c r="B14" s="250" t="s">
        <v>589</v>
      </c>
      <c r="C14" s="250"/>
      <c r="D14" s="250"/>
      <c r="E14" s="250"/>
      <c r="F14" s="250"/>
      <c r="G14" s="250"/>
      <c r="H14" s="250"/>
      <c r="I14" s="6">
        <v>0</v>
      </c>
      <c r="J14" s="6">
        <f>'D.1.4.2 Vytápěn a chalzení'!G13</f>
        <v>0</v>
      </c>
      <c r="K14" s="6">
        <f aca="true" t="shared" si="2" ref="K14:K20">J14+I14</f>
        <v>0</v>
      </c>
      <c r="L14" s="14">
        <f>'[2]Stavební rozpočet'!M338</f>
        <v>0</v>
      </c>
      <c r="M14" s="7" t="s">
        <v>576</v>
      </c>
      <c r="N14" s="6">
        <f t="shared" si="0"/>
        <v>0</v>
      </c>
      <c r="O14" s="8" t="s">
        <v>588</v>
      </c>
      <c r="P14" s="6">
        <f t="shared" si="1"/>
        <v>0</v>
      </c>
    </row>
    <row r="15" spans="1:16" ht="15" customHeight="1">
      <c r="A15" s="9" t="s">
        <v>586</v>
      </c>
      <c r="B15" s="250" t="s">
        <v>587</v>
      </c>
      <c r="C15" s="250"/>
      <c r="D15" s="250"/>
      <c r="E15" s="250"/>
      <c r="F15" s="250"/>
      <c r="G15" s="250"/>
      <c r="H15" s="250"/>
      <c r="I15" s="6">
        <v>0</v>
      </c>
      <c r="J15" s="6">
        <f>'D.1.4.3 Silnoproud'!G146</f>
        <v>0</v>
      </c>
      <c r="K15" s="6">
        <f t="shared" si="2"/>
        <v>0</v>
      </c>
      <c r="L15" s="14">
        <f>'[2]Stavební rozpočet'!M339</f>
        <v>0</v>
      </c>
      <c r="M15" s="7" t="s">
        <v>576</v>
      </c>
      <c r="N15" s="6">
        <f t="shared" si="0"/>
        <v>0</v>
      </c>
      <c r="O15" s="8" t="s">
        <v>586</v>
      </c>
      <c r="P15" s="6">
        <f t="shared" si="1"/>
        <v>0</v>
      </c>
    </row>
    <row r="16" spans="1:16" ht="15" customHeight="1">
      <c r="A16" s="9" t="s">
        <v>584</v>
      </c>
      <c r="B16" s="250" t="s">
        <v>585</v>
      </c>
      <c r="C16" s="250"/>
      <c r="D16" s="250"/>
      <c r="E16" s="250"/>
      <c r="F16" s="250"/>
      <c r="G16" s="250"/>
      <c r="H16" s="250"/>
      <c r="I16" s="6">
        <f>'D.1.4.4 Slaboproud'!F94</f>
        <v>0</v>
      </c>
      <c r="J16" s="6">
        <f>'D.1.4.4 Slaboproud'!H94</f>
        <v>0</v>
      </c>
      <c r="K16" s="6">
        <f t="shared" si="2"/>
        <v>0</v>
      </c>
      <c r="L16" s="14">
        <f>'[2]Stavební rozpočet'!M340</f>
        <v>0</v>
      </c>
      <c r="M16" s="7" t="s">
        <v>576</v>
      </c>
      <c r="N16" s="6">
        <f t="shared" si="0"/>
        <v>0</v>
      </c>
      <c r="O16" s="8" t="s">
        <v>584</v>
      </c>
      <c r="P16" s="6">
        <f t="shared" si="1"/>
        <v>0</v>
      </c>
    </row>
    <row r="17" spans="1:16" ht="15" customHeight="1">
      <c r="A17" s="9" t="s">
        <v>582</v>
      </c>
      <c r="B17" s="250" t="s">
        <v>583</v>
      </c>
      <c r="C17" s="250"/>
      <c r="D17" s="250"/>
      <c r="E17" s="250"/>
      <c r="F17" s="250"/>
      <c r="G17" s="250"/>
      <c r="H17" s="250"/>
      <c r="I17" s="6">
        <v>0</v>
      </c>
      <c r="J17" s="6">
        <f>'D.1.4.5 Sanace vlhkeho zdiva'!G8+'D.1.4.5 Sanace vlhkeho zdiva'!G46+'D.1.4.5 Sanace vlhkeho zdiva'!G52+'D.1.4.5 Sanace vlhkeho zdiva'!G73+'D.1.4.5 Sanace vlhkeho zdiva'!G79+'D.1.4.5 Sanace vlhkeho zdiva'!G99+'D.1.4.5 Sanace vlhkeho zdiva'!G116</f>
        <v>0</v>
      </c>
      <c r="K17" s="6">
        <f t="shared" si="2"/>
        <v>0</v>
      </c>
      <c r="L17" s="14">
        <f>'[2]Stavební rozpočet'!M341</f>
        <v>0</v>
      </c>
      <c r="M17" s="7" t="s">
        <v>576</v>
      </c>
      <c r="N17" s="6">
        <f t="shared" si="0"/>
        <v>0</v>
      </c>
      <c r="O17" s="8" t="s">
        <v>582</v>
      </c>
      <c r="P17" s="6">
        <f t="shared" si="1"/>
        <v>0</v>
      </c>
    </row>
    <row r="18" spans="1:16" ht="15" customHeight="1">
      <c r="A18" s="9" t="s">
        <v>580</v>
      </c>
      <c r="B18" s="250" t="s">
        <v>581</v>
      </c>
      <c r="C18" s="250"/>
      <c r="D18" s="250"/>
      <c r="E18" s="250"/>
      <c r="F18" s="250"/>
      <c r="G18" s="250"/>
      <c r="H18" s="250"/>
      <c r="I18" s="6">
        <v>0</v>
      </c>
      <c r="J18" s="6">
        <f>'D.1.4.6. Prostorová akustika'!G19</f>
        <v>0</v>
      </c>
      <c r="K18" s="6">
        <f t="shared" si="2"/>
        <v>0</v>
      </c>
      <c r="L18" s="14">
        <f>'[2]Stavební rozpočet'!M342</f>
        <v>0</v>
      </c>
      <c r="M18" s="7" t="s">
        <v>576</v>
      </c>
      <c r="N18" s="6">
        <f t="shared" si="0"/>
        <v>0</v>
      </c>
      <c r="O18" s="8" t="s">
        <v>580</v>
      </c>
      <c r="P18" s="6">
        <f t="shared" si="1"/>
        <v>0</v>
      </c>
    </row>
    <row r="19" spans="1:16" ht="15" customHeight="1">
      <c r="A19" s="9" t="s">
        <v>578</v>
      </c>
      <c r="B19" s="250" t="s">
        <v>579</v>
      </c>
      <c r="C19" s="250"/>
      <c r="D19" s="250"/>
      <c r="E19" s="250"/>
      <c r="F19" s="250"/>
      <c r="G19" s="250"/>
      <c r="H19" s="250"/>
      <c r="I19" s="6">
        <v>0</v>
      </c>
      <c r="J19" s="6">
        <f>'D.1.4.7 Osvětlení'!J143</f>
        <v>0</v>
      </c>
      <c r="K19" s="6">
        <f t="shared" si="2"/>
        <v>0</v>
      </c>
      <c r="L19" s="14">
        <f>'[2]Stavební rozpočet'!M343</f>
        <v>0</v>
      </c>
      <c r="M19" s="7" t="s">
        <v>576</v>
      </c>
      <c r="N19" s="6">
        <f t="shared" si="0"/>
        <v>0</v>
      </c>
      <c r="O19" s="8" t="s">
        <v>578</v>
      </c>
      <c r="P19" s="6">
        <f t="shared" si="1"/>
        <v>0</v>
      </c>
    </row>
    <row r="20" spans="1:16" ht="15" customHeight="1">
      <c r="A20" s="13" t="s">
        <v>575</v>
      </c>
      <c r="B20" s="247" t="s">
        <v>577</v>
      </c>
      <c r="C20" s="247"/>
      <c r="D20" s="247"/>
      <c r="E20" s="247"/>
      <c r="F20" s="247"/>
      <c r="G20" s="247"/>
      <c r="H20" s="247"/>
      <c r="I20" s="244">
        <v>0</v>
      </c>
      <c r="J20" s="244">
        <f>'D1.1.4.9 - obklad stěn'!G13</f>
        <v>0</v>
      </c>
      <c r="K20" s="244">
        <f t="shared" si="2"/>
        <v>0</v>
      </c>
      <c r="L20" s="245">
        <f>'[2]Stavební rozpočet'!M349</f>
        <v>0</v>
      </c>
      <c r="M20" s="7" t="s">
        <v>576</v>
      </c>
      <c r="N20" s="6">
        <f>IF(M20="F",0,K20)</f>
        <v>0</v>
      </c>
      <c r="O20" s="8" t="s">
        <v>575</v>
      </c>
      <c r="P20" s="6">
        <f>IF(M20="T",0,K20)</f>
        <v>0</v>
      </c>
    </row>
    <row r="21" spans="1:16" ht="15" customHeight="1">
      <c r="A21" s="3"/>
      <c r="B21" s="3"/>
      <c r="C21" s="3"/>
      <c r="D21" s="3"/>
      <c r="E21" s="3"/>
      <c r="F21" s="3"/>
      <c r="G21" s="3"/>
      <c r="H21" s="3"/>
      <c r="I21" s="254" t="s">
        <v>1</v>
      </c>
      <c r="J21" s="254"/>
      <c r="K21" s="5">
        <f>SUM(K12:K20)</f>
        <v>0</v>
      </c>
      <c r="L21" s="3"/>
      <c r="M21" s="3"/>
      <c r="N21" s="3"/>
      <c r="O21" s="3"/>
      <c r="P21" s="3"/>
    </row>
    <row r="22" spans="1:16" ht="15" customHeight="1">
      <c r="A22" s="4" t="s">
        <v>0</v>
      </c>
      <c r="B22" s="3"/>
      <c r="C22" s="3"/>
      <c r="D22" s="3"/>
      <c r="E22" s="3"/>
      <c r="F22" s="3"/>
      <c r="G22" s="3"/>
      <c r="H22" s="3"/>
      <c r="I22" s="3"/>
      <c r="J22" s="3"/>
      <c r="K22" s="3"/>
      <c r="L22" s="3"/>
      <c r="M22" s="3"/>
      <c r="N22" s="3"/>
      <c r="O22" s="3"/>
      <c r="P22" s="3"/>
    </row>
    <row r="23" spans="1:12" ht="12.75" customHeight="1">
      <c r="A23" s="246"/>
      <c r="B23" s="246"/>
      <c r="C23" s="246"/>
      <c r="D23" s="246"/>
      <c r="E23" s="246"/>
      <c r="F23" s="246"/>
      <c r="G23" s="246"/>
      <c r="H23" s="246"/>
      <c r="I23" s="246"/>
      <c r="J23" s="246"/>
      <c r="K23" s="246"/>
      <c r="L23" s="246"/>
    </row>
  </sheetData>
  <sheetProtection algorithmName="SHA-512" hashValue="73txHv+Odty0IzhHfJdQRXfEXYLumUp67dMF7Tpv6c8746LFobTB9v0A5gucDAp94hux0Hjfb+pWhgCCZ88obQ==" saltValue="r6ZiuX33xWcEMRMN5iyTaQ==" spinCount="100000" sheet="1" selectLockedCells="1" selectUnlockedCells="1"/>
  <mergeCells count="39">
    <mergeCell ref="A1:L1"/>
    <mergeCell ref="A2:C3"/>
    <mergeCell ref="D2:F3"/>
    <mergeCell ref="G2:G3"/>
    <mergeCell ref="H2:H3"/>
    <mergeCell ref="I2:I3"/>
    <mergeCell ref="J2:L3"/>
    <mergeCell ref="J4:L5"/>
    <mergeCell ref="A6:C7"/>
    <mergeCell ref="D6:F7"/>
    <mergeCell ref="G6:G7"/>
    <mergeCell ref="H6:H7"/>
    <mergeCell ref="I6:I7"/>
    <mergeCell ref="J6:L7"/>
    <mergeCell ref="A4:C5"/>
    <mergeCell ref="D4:F5"/>
    <mergeCell ref="G4:G5"/>
    <mergeCell ref="H4:H5"/>
    <mergeCell ref="I4:I5"/>
    <mergeCell ref="J8:L9"/>
    <mergeCell ref="B10:H10"/>
    <mergeCell ref="I10:K10"/>
    <mergeCell ref="B11:H11"/>
    <mergeCell ref="B12:H12"/>
    <mergeCell ref="A8:C9"/>
    <mergeCell ref="D8:F9"/>
    <mergeCell ref="G8:G9"/>
    <mergeCell ref="H8:H9"/>
    <mergeCell ref="I8:I9"/>
    <mergeCell ref="B13:H13"/>
    <mergeCell ref="B14:H14"/>
    <mergeCell ref="B20:H20"/>
    <mergeCell ref="I21:J21"/>
    <mergeCell ref="A23:L23"/>
    <mergeCell ref="B15:H15"/>
    <mergeCell ref="B16:H16"/>
    <mergeCell ref="B17:H17"/>
    <mergeCell ref="B18:H18"/>
    <mergeCell ref="B19:H19"/>
  </mergeCells>
  <printOptions/>
  <pageMargins left="0.39375" right="0.39375" top="0.5909722222222222" bottom="0.5909722222222222" header="0.5118110236220472" footer="0.5118110236220472"/>
  <pageSetup fitToHeight="0" fitToWidth="1" horizontalDpi="300" verticalDpi="300" orientation="landscape" paperSize="9" scale="8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95563-866E-4500-B744-AE3631306F99}">
  <sheetPr>
    <pageSetUpPr fitToPage="1"/>
  </sheetPr>
  <dimension ref="A1:BU360"/>
  <sheetViews>
    <sheetView showOutlineSymbols="0" workbookViewId="0" topLeftCell="A1">
      <pane ySplit="11" topLeftCell="A12" activePane="bottomLeft" state="frozen"/>
      <selection pane="topLeft" activeCell="H24" sqref="H24"/>
      <selection pane="bottomLeft" activeCell="H14" sqref="H14"/>
    </sheetView>
  </sheetViews>
  <sheetFormatPr defaultColWidth="12.140625" defaultRowHeight="15" customHeight="1"/>
  <cols>
    <col min="1" max="1" width="4.00390625" style="326" customWidth="1"/>
    <col min="2" max="2" width="7.57421875" style="326" customWidth="1"/>
    <col min="3" max="3" width="17.8515625" style="326" customWidth="1"/>
    <col min="4" max="4" width="53.7109375" style="326" customWidth="1"/>
    <col min="5" max="5" width="25.28125" style="326" customWidth="1"/>
    <col min="6" max="6" width="7.421875" style="326" customWidth="1"/>
    <col min="7" max="7" width="12.8515625" style="326" customWidth="1"/>
    <col min="8" max="8" width="9.57421875" style="326" customWidth="1"/>
    <col min="9" max="9" width="13.28125" style="326" customWidth="1"/>
    <col min="10" max="10" width="14.421875" style="326" customWidth="1"/>
    <col min="11" max="11" width="15.7109375" style="326" customWidth="1"/>
    <col min="12" max="13" width="11.7109375" style="326" customWidth="1"/>
    <col min="14" max="14" width="13.421875" style="326" customWidth="1"/>
    <col min="15" max="24" width="12.140625" style="296" customWidth="1"/>
    <col min="25" max="74" width="12.140625" style="326" hidden="1" customWidth="1"/>
    <col min="75" max="16384" width="12.140625" style="296" customWidth="1"/>
  </cols>
  <sheetData>
    <row r="1" spans="1:73" ht="54.75" customHeight="1">
      <c r="A1" s="345" t="s">
        <v>574</v>
      </c>
      <c r="B1" s="345"/>
      <c r="C1" s="345"/>
      <c r="D1" s="345"/>
      <c r="E1" s="345"/>
      <c r="F1" s="345"/>
      <c r="G1" s="345"/>
      <c r="H1" s="345"/>
      <c r="I1" s="345"/>
      <c r="J1" s="345"/>
      <c r="K1" s="345"/>
      <c r="L1" s="345"/>
      <c r="M1" s="345"/>
      <c r="N1" s="345"/>
      <c r="O1" s="346"/>
      <c r="P1" s="346"/>
      <c r="Q1" s="346"/>
      <c r="R1" s="346"/>
      <c r="S1" s="346"/>
      <c r="T1" s="346"/>
      <c r="U1" s="346"/>
      <c r="V1" s="346"/>
      <c r="W1" s="346"/>
      <c r="X1" s="346"/>
      <c r="Y1" s="311"/>
      <c r="Z1" s="311"/>
      <c r="AA1" s="311"/>
      <c r="AB1" s="311"/>
      <c r="AC1" s="311"/>
      <c r="AD1" s="311"/>
      <c r="AE1" s="311"/>
      <c r="AF1" s="311"/>
      <c r="AG1" s="311"/>
      <c r="AH1" s="311"/>
      <c r="AI1" s="311"/>
      <c r="AJ1" s="311"/>
      <c r="AK1" s="311"/>
      <c r="AL1" s="311"/>
      <c r="AM1" s="311"/>
      <c r="AN1" s="311"/>
      <c r="AO1" s="311"/>
      <c r="AP1" s="311"/>
      <c r="AQ1" s="311"/>
      <c r="AR1" s="311"/>
      <c r="AS1" s="347">
        <f>SUM(AJ1:AJ2)</f>
        <v>0</v>
      </c>
      <c r="AT1" s="347">
        <f>SUM(AK1:AK2)</f>
        <v>0</v>
      </c>
      <c r="AU1" s="347">
        <f>SUM(AL1:AL2)</f>
        <v>0</v>
      </c>
      <c r="AV1" s="311"/>
      <c r="AW1" s="311"/>
      <c r="AX1" s="311"/>
      <c r="AY1" s="311"/>
      <c r="AZ1" s="311"/>
      <c r="BA1" s="311"/>
      <c r="BB1" s="311"/>
      <c r="BC1" s="311"/>
      <c r="BD1" s="311"/>
      <c r="BE1" s="311"/>
      <c r="BF1" s="311"/>
      <c r="BG1" s="311"/>
      <c r="BH1" s="311"/>
      <c r="BI1" s="311"/>
      <c r="BJ1" s="311"/>
      <c r="BK1" s="311"/>
      <c r="BL1" s="311"/>
      <c r="BM1" s="311"/>
      <c r="BN1" s="311"/>
      <c r="BO1" s="311"/>
      <c r="BP1" s="311"/>
      <c r="BQ1" s="311"/>
      <c r="BR1" s="311"/>
      <c r="BS1" s="311"/>
      <c r="BT1" s="311"/>
      <c r="BU1" s="311"/>
    </row>
    <row r="2" spans="1:73" ht="15" customHeight="1">
      <c r="A2" s="297" t="s">
        <v>573</v>
      </c>
      <c r="B2" s="297"/>
      <c r="C2" s="297"/>
      <c r="D2" s="298" t="str">
        <f>'[2]Stavební rozpočet'!D2</f>
        <v>REKONSTRUKCE RODNÉHO BYTU B.SMETANY - ZÁMECKÝ PIVOVAR LITOMYŠL</v>
      </c>
      <c r="E2" s="348" t="s">
        <v>572</v>
      </c>
      <c r="F2" s="299" t="str">
        <f>'[2]Stavební rozpočet'!F2</f>
        <v xml:space="preserve"> </v>
      </c>
      <c r="G2" s="299"/>
      <c r="H2" s="299" t="s">
        <v>571</v>
      </c>
      <c r="I2" s="349" t="str">
        <f>'[2]Stavební rozpočet'!I2</f>
        <v>Město Litomyšl</v>
      </c>
      <c r="J2" s="349"/>
      <c r="K2" s="349"/>
      <c r="L2" s="349"/>
      <c r="M2" s="349"/>
      <c r="N2" s="349"/>
      <c r="O2" s="346"/>
      <c r="P2" s="346"/>
      <c r="Q2" s="346"/>
      <c r="R2" s="346"/>
      <c r="S2" s="346"/>
      <c r="T2" s="346"/>
      <c r="U2" s="346"/>
      <c r="V2" s="346"/>
      <c r="W2" s="346"/>
      <c r="X2" s="346"/>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row>
    <row r="3" spans="1:73" ht="15" customHeight="1">
      <c r="A3" s="297"/>
      <c r="B3" s="297"/>
      <c r="C3" s="297"/>
      <c r="D3" s="298"/>
      <c r="E3" s="348"/>
      <c r="F3" s="348"/>
      <c r="G3" s="299"/>
      <c r="H3" s="299"/>
      <c r="I3" s="299"/>
      <c r="J3" s="349"/>
      <c r="K3" s="349"/>
      <c r="L3" s="349"/>
      <c r="M3" s="349"/>
      <c r="N3" s="349"/>
      <c r="O3" s="346"/>
      <c r="P3" s="346"/>
      <c r="Q3" s="346"/>
      <c r="R3" s="346"/>
      <c r="S3" s="346"/>
      <c r="T3" s="346"/>
      <c r="U3" s="346"/>
      <c r="V3" s="346"/>
      <c r="W3" s="346"/>
      <c r="X3" s="346"/>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c r="BK3" s="311"/>
      <c r="BL3" s="311"/>
      <c r="BM3" s="311"/>
      <c r="BN3" s="311"/>
      <c r="BO3" s="311"/>
      <c r="BP3" s="311"/>
      <c r="BQ3" s="311"/>
      <c r="BR3" s="311"/>
      <c r="BS3" s="311"/>
      <c r="BT3" s="311"/>
      <c r="BU3" s="311"/>
    </row>
    <row r="4" spans="1:73" ht="15" customHeight="1">
      <c r="A4" s="301" t="s">
        <v>570</v>
      </c>
      <c r="B4" s="301"/>
      <c r="C4" s="301"/>
      <c r="D4" s="302" t="str">
        <f>'[2]Stavební rozpočet'!D4</f>
        <v xml:space="preserve"> </v>
      </c>
      <c r="E4" s="304" t="s">
        <v>569</v>
      </c>
      <c r="F4" s="302" t="str">
        <f>'[2]Stavební rozpočet'!F4</f>
        <v>11.05.2023</v>
      </c>
      <c r="G4" s="302"/>
      <c r="H4" s="302" t="s">
        <v>568</v>
      </c>
      <c r="I4" s="350" t="str">
        <f>'[2]Stavební rozpočet'!I4</f>
        <v>KIP spol. s r.o. Litomyšl</v>
      </c>
      <c r="J4" s="350"/>
      <c r="K4" s="350"/>
      <c r="L4" s="350"/>
      <c r="M4" s="350"/>
      <c r="N4" s="350"/>
      <c r="O4" s="346"/>
      <c r="P4" s="346"/>
      <c r="Q4" s="346"/>
      <c r="R4" s="346"/>
      <c r="S4" s="346"/>
      <c r="T4" s="346"/>
      <c r="U4" s="346"/>
      <c r="V4" s="346"/>
      <c r="W4" s="346"/>
      <c r="X4" s="346"/>
      <c r="Y4" s="311"/>
      <c r="Z4" s="311"/>
      <c r="AA4" s="311"/>
      <c r="AB4" s="311"/>
      <c r="AC4" s="311"/>
      <c r="AD4" s="311"/>
      <c r="AE4" s="311"/>
      <c r="AF4" s="311"/>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row>
    <row r="5" spans="1:73" ht="15" customHeight="1">
      <c r="A5" s="301"/>
      <c r="B5" s="301"/>
      <c r="C5" s="301"/>
      <c r="D5" s="302"/>
      <c r="E5" s="302"/>
      <c r="F5" s="302"/>
      <c r="G5" s="302"/>
      <c r="H5" s="302"/>
      <c r="I5" s="302"/>
      <c r="J5" s="350"/>
      <c r="K5" s="350"/>
      <c r="L5" s="350"/>
      <c r="M5" s="350"/>
      <c r="N5" s="350"/>
      <c r="O5" s="346"/>
      <c r="P5" s="346"/>
      <c r="Q5" s="346"/>
      <c r="R5" s="346"/>
      <c r="S5" s="346"/>
      <c r="T5" s="346"/>
      <c r="U5" s="346"/>
      <c r="V5" s="346"/>
      <c r="W5" s="346"/>
      <c r="X5" s="346"/>
      <c r="Y5" s="311"/>
      <c r="Z5" s="311"/>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row>
    <row r="6" spans="1:73" ht="15" customHeight="1">
      <c r="A6" s="301" t="s">
        <v>567</v>
      </c>
      <c r="B6" s="301"/>
      <c r="C6" s="301"/>
      <c r="D6" s="302" t="str">
        <f>'[2]Stavební rozpočet'!D6</f>
        <v>LITOMYŠL</v>
      </c>
      <c r="E6" s="304" t="s">
        <v>566</v>
      </c>
      <c r="F6" s="302" t="str">
        <f>'[2]Stavební rozpočet'!F6</f>
        <v xml:space="preserve"> </v>
      </c>
      <c r="G6" s="302"/>
      <c r="H6" s="302" t="s">
        <v>565</v>
      </c>
      <c r="I6" s="350" t="str">
        <f>'[2]Stavební rozpočet'!I6</f>
        <v> </v>
      </c>
      <c r="J6" s="350"/>
      <c r="K6" s="350"/>
      <c r="L6" s="350"/>
      <c r="M6" s="350"/>
      <c r="N6" s="350"/>
      <c r="O6" s="346"/>
      <c r="P6" s="346"/>
      <c r="Q6" s="346"/>
      <c r="R6" s="346"/>
      <c r="S6" s="346"/>
      <c r="T6" s="346"/>
      <c r="U6" s="346"/>
      <c r="V6" s="346"/>
      <c r="W6" s="346"/>
      <c r="X6" s="346"/>
      <c r="Y6" s="311"/>
      <c r="Z6" s="311"/>
      <c r="AA6" s="311"/>
      <c r="AB6" s="311"/>
      <c r="AC6" s="311"/>
      <c r="AD6" s="311"/>
      <c r="AE6" s="311"/>
      <c r="AF6" s="311"/>
      <c r="AG6" s="311"/>
      <c r="AH6" s="311"/>
      <c r="AI6" s="311"/>
      <c r="AJ6" s="311"/>
      <c r="AK6" s="311"/>
      <c r="AL6" s="311"/>
      <c r="AM6" s="311"/>
      <c r="AN6" s="311"/>
      <c r="AO6" s="311"/>
      <c r="AP6" s="311"/>
      <c r="AQ6" s="311"/>
      <c r="AR6" s="311"/>
      <c r="AS6" s="311"/>
      <c r="AT6" s="311"/>
      <c r="AU6" s="311"/>
      <c r="AV6" s="311"/>
      <c r="AW6" s="311"/>
      <c r="AX6" s="311"/>
      <c r="AY6" s="311"/>
      <c r="AZ6" s="311"/>
      <c r="BA6" s="311"/>
      <c r="BB6" s="311"/>
      <c r="BC6" s="311"/>
      <c r="BD6" s="311"/>
      <c r="BE6" s="311"/>
      <c r="BF6" s="311"/>
      <c r="BG6" s="311"/>
      <c r="BH6" s="311"/>
      <c r="BI6" s="311"/>
      <c r="BJ6" s="311"/>
      <c r="BK6" s="311"/>
      <c r="BL6" s="311"/>
      <c r="BM6" s="311"/>
      <c r="BN6" s="311"/>
      <c r="BO6" s="311"/>
      <c r="BP6" s="311"/>
      <c r="BQ6" s="311"/>
      <c r="BR6" s="311"/>
      <c r="BS6" s="311"/>
      <c r="BT6" s="311"/>
      <c r="BU6" s="311"/>
    </row>
    <row r="7" spans="1:73" ht="15" customHeight="1">
      <c r="A7" s="301"/>
      <c r="B7" s="301"/>
      <c r="C7" s="301"/>
      <c r="D7" s="302"/>
      <c r="E7" s="302"/>
      <c r="F7" s="302"/>
      <c r="G7" s="302"/>
      <c r="H7" s="302"/>
      <c r="I7" s="302"/>
      <c r="J7" s="350"/>
      <c r="K7" s="350"/>
      <c r="L7" s="350"/>
      <c r="M7" s="350"/>
      <c r="N7" s="350"/>
      <c r="O7" s="346"/>
      <c r="P7" s="346"/>
      <c r="Q7" s="346"/>
      <c r="R7" s="346"/>
      <c r="S7" s="346"/>
      <c r="T7" s="346"/>
      <c r="U7" s="346"/>
      <c r="V7" s="346"/>
      <c r="W7" s="346"/>
      <c r="X7" s="346"/>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row>
    <row r="8" spans="1:73" ht="15" customHeight="1">
      <c r="A8" s="301" t="s">
        <v>564</v>
      </c>
      <c r="B8" s="301"/>
      <c r="C8" s="301"/>
      <c r="D8" s="302" t="str">
        <f>'[2]Stavební rozpočet'!D8</f>
        <v xml:space="preserve"> </v>
      </c>
      <c r="E8" s="304" t="s">
        <v>563</v>
      </c>
      <c r="F8" s="302" t="str">
        <f>'[2]Stavební rozpočet'!F8</f>
        <v>11.05.2023</v>
      </c>
      <c r="G8" s="302"/>
      <c r="H8" s="302" t="s">
        <v>562</v>
      </c>
      <c r="I8" s="350" t="str">
        <f>'[2]Stavební rozpočet'!I8</f>
        <v>MARTIN ČERNÝ, DIS.</v>
      </c>
      <c r="J8" s="350"/>
      <c r="K8" s="350"/>
      <c r="L8" s="350"/>
      <c r="M8" s="350"/>
      <c r="N8" s="350"/>
      <c r="O8" s="346"/>
      <c r="P8" s="346"/>
      <c r="Q8" s="346"/>
      <c r="R8" s="346"/>
      <c r="S8" s="346"/>
      <c r="T8" s="346"/>
      <c r="U8" s="346"/>
      <c r="V8" s="346"/>
      <c r="W8" s="346"/>
      <c r="X8" s="346"/>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row>
    <row r="9" spans="1:73" ht="15" customHeight="1" thickBot="1">
      <c r="A9" s="301"/>
      <c r="B9" s="301"/>
      <c r="C9" s="301"/>
      <c r="D9" s="302"/>
      <c r="E9" s="302"/>
      <c r="F9" s="302"/>
      <c r="G9" s="302"/>
      <c r="H9" s="302"/>
      <c r="I9" s="302"/>
      <c r="J9" s="350"/>
      <c r="K9" s="350"/>
      <c r="L9" s="350"/>
      <c r="M9" s="350"/>
      <c r="N9" s="350"/>
      <c r="O9" s="346"/>
      <c r="P9" s="346"/>
      <c r="Q9" s="346"/>
      <c r="R9" s="346"/>
      <c r="S9" s="346"/>
      <c r="T9" s="346"/>
      <c r="U9" s="346"/>
      <c r="V9" s="346"/>
      <c r="W9" s="346"/>
      <c r="X9" s="346"/>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row>
    <row r="10" spans="1:73" ht="15" customHeight="1">
      <c r="A10" s="330" t="s">
        <v>561</v>
      </c>
      <c r="B10" s="331" t="s">
        <v>560</v>
      </c>
      <c r="C10" s="331" t="s">
        <v>559</v>
      </c>
      <c r="D10" s="332" t="s">
        <v>558</v>
      </c>
      <c r="E10" s="332"/>
      <c r="F10" s="331" t="s">
        <v>557</v>
      </c>
      <c r="G10" s="333" t="s">
        <v>556</v>
      </c>
      <c r="H10" s="334" t="s">
        <v>555</v>
      </c>
      <c r="I10" s="335" t="s">
        <v>554</v>
      </c>
      <c r="J10" s="335"/>
      <c r="K10" s="335"/>
      <c r="L10" s="336" t="s">
        <v>553</v>
      </c>
      <c r="M10" s="336"/>
      <c r="N10" s="337" t="s">
        <v>552</v>
      </c>
      <c r="O10" s="346"/>
      <c r="P10" s="346"/>
      <c r="Q10" s="346"/>
      <c r="R10" s="346"/>
      <c r="S10" s="346"/>
      <c r="T10" s="346"/>
      <c r="U10" s="346"/>
      <c r="V10" s="346"/>
      <c r="W10" s="346"/>
      <c r="X10" s="346"/>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51" t="s">
        <v>551</v>
      </c>
      <c r="BL10" s="352" t="s">
        <v>550</v>
      </c>
      <c r="BM10" s="311"/>
      <c r="BN10" s="311"/>
      <c r="BO10" s="311"/>
      <c r="BP10" s="311"/>
      <c r="BQ10" s="311"/>
      <c r="BR10" s="311"/>
      <c r="BS10" s="311"/>
      <c r="BT10" s="311"/>
      <c r="BU10" s="311"/>
    </row>
    <row r="11" spans="1:73" ht="15" customHeight="1" thickBot="1">
      <c r="A11" s="338" t="s">
        <v>12</v>
      </c>
      <c r="B11" s="339" t="s">
        <v>12</v>
      </c>
      <c r="C11" s="339" t="s">
        <v>12</v>
      </c>
      <c r="D11" s="340" t="s">
        <v>549</v>
      </c>
      <c r="E11" s="340"/>
      <c r="F11" s="339" t="s">
        <v>12</v>
      </c>
      <c r="G11" s="339" t="s">
        <v>12</v>
      </c>
      <c r="H11" s="341" t="s">
        <v>548</v>
      </c>
      <c r="I11" s="342" t="s">
        <v>547</v>
      </c>
      <c r="J11" s="343" t="s">
        <v>546</v>
      </c>
      <c r="K11" s="344" t="s">
        <v>544</v>
      </c>
      <c r="L11" s="343" t="s">
        <v>545</v>
      </c>
      <c r="M11" s="341" t="s">
        <v>544</v>
      </c>
      <c r="N11" s="342" t="s">
        <v>543</v>
      </c>
      <c r="O11" s="346"/>
      <c r="P11" s="346"/>
      <c r="Q11" s="346"/>
      <c r="R11" s="346"/>
      <c r="S11" s="346"/>
      <c r="T11" s="346"/>
      <c r="U11" s="346"/>
      <c r="V11" s="346"/>
      <c r="W11" s="346"/>
      <c r="X11" s="346"/>
      <c r="Y11" s="311"/>
      <c r="Z11" s="351" t="s">
        <v>542</v>
      </c>
      <c r="AA11" s="351" t="s">
        <v>541</v>
      </c>
      <c r="AB11" s="351" t="s">
        <v>540</v>
      </c>
      <c r="AC11" s="351" t="s">
        <v>539</v>
      </c>
      <c r="AD11" s="351" t="s">
        <v>538</v>
      </c>
      <c r="AE11" s="351" t="s">
        <v>537</v>
      </c>
      <c r="AF11" s="351" t="s">
        <v>536</v>
      </c>
      <c r="AG11" s="351" t="s">
        <v>535</v>
      </c>
      <c r="AH11" s="351" t="s">
        <v>534</v>
      </c>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51" t="s">
        <v>533</v>
      </c>
      <c r="BI11" s="351" t="s">
        <v>532</v>
      </c>
      <c r="BJ11" s="351" t="s">
        <v>531</v>
      </c>
      <c r="BK11" s="311"/>
      <c r="BL11" s="311"/>
      <c r="BM11" s="311"/>
      <c r="BN11" s="311"/>
      <c r="BO11" s="311"/>
      <c r="BP11" s="311"/>
      <c r="BQ11" s="311"/>
      <c r="BR11" s="311"/>
      <c r="BS11" s="311"/>
      <c r="BT11" s="311"/>
      <c r="BU11" s="311"/>
    </row>
    <row r="12" spans="1:73" ht="15" customHeight="1">
      <c r="A12" s="353"/>
      <c r="B12" s="354" t="s">
        <v>7</v>
      </c>
      <c r="C12" s="354"/>
      <c r="D12" s="355" t="s">
        <v>530</v>
      </c>
      <c r="E12" s="355"/>
      <c r="F12" s="356" t="s">
        <v>12</v>
      </c>
      <c r="G12" s="356" t="s">
        <v>12</v>
      </c>
      <c r="H12" s="356" t="s">
        <v>12</v>
      </c>
      <c r="I12" s="357">
        <f>I13+I20+I27+I34+I42+I71+I81+I109+I178+I185+I206+I209+I261+I267+I274+I283+I292+I312+I329+I331+I345+I352+I355</f>
        <v>0</v>
      </c>
      <c r="J12" s="357">
        <f>J13+J20+J27+J34+J42+J71+J81+J109+J178+J185+J206+J209+J261+J267+J274+J283+J292+J312+J329+J331+J345+J352+J355</f>
        <v>0</v>
      </c>
      <c r="K12" s="357">
        <f>K13+K20+K27+K34+K42+K71+K81+K109+K178+K185+K206+K209+K261+K267+K274+K283+K292+K312+K329+K331+K345+K352+K355</f>
        <v>0</v>
      </c>
      <c r="L12" s="358"/>
      <c r="M12" s="357">
        <f>M13+M20+M27+M34+M42+M71+M81+M109+M178+M185+M206+M209+M261+M267+M274+M283+M292+M312+M329+M331+M345+M352+M355</f>
        <v>91.839390315</v>
      </c>
      <c r="N12" s="359"/>
      <c r="O12" s="346"/>
      <c r="P12" s="346"/>
      <c r="Q12" s="346"/>
      <c r="R12" s="346"/>
      <c r="S12" s="346"/>
      <c r="T12" s="346"/>
      <c r="U12" s="346"/>
      <c r="V12" s="346"/>
      <c r="W12" s="346"/>
      <c r="X12" s="346"/>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1"/>
      <c r="BN12" s="311"/>
      <c r="BO12" s="311"/>
      <c r="BP12" s="311"/>
      <c r="BQ12" s="311"/>
      <c r="BR12" s="311"/>
      <c r="BS12" s="311"/>
      <c r="BT12" s="311"/>
      <c r="BU12" s="311"/>
    </row>
    <row r="13" spans="1:73" ht="15" customHeight="1">
      <c r="A13" s="360"/>
      <c r="B13" s="361" t="s">
        <v>7</v>
      </c>
      <c r="C13" s="361" t="s">
        <v>485</v>
      </c>
      <c r="D13" s="362" t="s">
        <v>529</v>
      </c>
      <c r="E13" s="362"/>
      <c r="F13" s="363" t="s">
        <v>12</v>
      </c>
      <c r="G13" s="363" t="s">
        <v>12</v>
      </c>
      <c r="H13" s="363" t="s">
        <v>12</v>
      </c>
      <c r="I13" s="347">
        <f>SUM(I14:I18)</f>
        <v>0</v>
      </c>
      <c r="J13" s="347">
        <f>SUM(J14:J18)</f>
        <v>0</v>
      </c>
      <c r="K13" s="347">
        <f>SUM(K14:K18)</f>
        <v>0</v>
      </c>
      <c r="L13" s="351"/>
      <c r="M13" s="347">
        <f>SUM(M14:M18)</f>
        <v>0</v>
      </c>
      <c r="N13" s="364"/>
      <c r="O13" s="346"/>
      <c r="P13" s="346"/>
      <c r="Q13" s="346"/>
      <c r="R13" s="346"/>
      <c r="S13" s="346"/>
      <c r="T13" s="346"/>
      <c r="U13" s="346"/>
      <c r="V13" s="346"/>
      <c r="W13" s="346"/>
      <c r="X13" s="346"/>
      <c r="Y13" s="311"/>
      <c r="Z13" s="311"/>
      <c r="AA13" s="311"/>
      <c r="AB13" s="311"/>
      <c r="AC13" s="311"/>
      <c r="AD13" s="311"/>
      <c r="AE13" s="311"/>
      <c r="AF13" s="311"/>
      <c r="AG13" s="311"/>
      <c r="AH13" s="311"/>
      <c r="AI13" s="351" t="s">
        <v>7</v>
      </c>
      <c r="AJ13" s="311"/>
      <c r="AK13" s="311"/>
      <c r="AL13" s="311"/>
      <c r="AM13" s="311"/>
      <c r="AN13" s="311"/>
      <c r="AO13" s="311"/>
      <c r="AP13" s="311"/>
      <c r="AQ13" s="311"/>
      <c r="AR13" s="311"/>
      <c r="AS13" s="347">
        <f>SUM(AJ14:AJ18)</f>
        <v>0</v>
      </c>
      <c r="AT13" s="347">
        <f>SUM(AK14:AK18)</f>
        <v>0</v>
      </c>
      <c r="AU13" s="347">
        <f>SUM(AL14:AL18)</f>
        <v>0</v>
      </c>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row>
    <row r="14" spans="1:73" ht="15" customHeight="1">
      <c r="A14" s="365" t="s">
        <v>2</v>
      </c>
      <c r="B14" s="366" t="s">
        <v>7</v>
      </c>
      <c r="C14" s="366" t="s">
        <v>528</v>
      </c>
      <c r="D14" s="304" t="s">
        <v>527</v>
      </c>
      <c r="E14" s="304"/>
      <c r="F14" s="366" t="s">
        <v>79</v>
      </c>
      <c r="G14" s="367">
        <f>'[2]Stavební rozpočet'!G14</f>
        <v>5.346</v>
      </c>
      <c r="H14" s="328">
        <v>0</v>
      </c>
      <c r="I14" s="367">
        <f>G14*AO14</f>
        <v>0</v>
      </c>
      <c r="J14" s="367">
        <f>G14*AP14</f>
        <v>0</v>
      </c>
      <c r="K14" s="367">
        <f>G14*H14</f>
        <v>0</v>
      </c>
      <c r="L14" s="367">
        <f>'[2]Stavební rozpočet'!L14</f>
        <v>0</v>
      </c>
      <c r="M14" s="367">
        <f>G14*L14</f>
        <v>0</v>
      </c>
      <c r="N14" s="368" t="s">
        <v>36</v>
      </c>
      <c r="O14" s="346"/>
      <c r="P14" s="346"/>
      <c r="Q14" s="346"/>
      <c r="R14" s="346"/>
      <c r="S14" s="346"/>
      <c r="T14" s="346"/>
      <c r="U14" s="346"/>
      <c r="V14" s="346"/>
      <c r="W14" s="346"/>
      <c r="X14" s="346"/>
      <c r="Y14" s="311"/>
      <c r="Z14" s="367">
        <f>IF(AQ14="5",BJ14,0)</f>
        <v>0</v>
      </c>
      <c r="AA14" s="311"/>
      <c r="AB14" s="367">
        <f>IF(AQ14="1",BH14,0)</f>
        <v>0</v>
      </c>
      <c r="AC14" s="367">
        <f>IF(AQ14="1",BI14,0)</f>
        <v>0</v>
      </c>
      <c r="AD14" s="367">
        <f>IF(AQ14="7",BH14,0)</f>
        <v>0</v>
      </c>
      <c r="AE14" s="367">
        <f>IF(AQ14="7",BI14,0)</f>
        <v>0</v>
      </c>
      <c r="AF14" s="367">
        <f>IF(AQ14="2",BH14,0)</f>
        <v>0</v>
      </c>
      <c r="AG14" s="367">
        <f>IF(AQ14="2",BI14,0)</f>
        <v>0</v>
      </c>
      <c r="AH14" s="367">
        <f>IF(AQ14="0",BJ14,0)</f>
        <v>0</v>
      </c>
      <c r="AI14" s="351" t="s">
        <v>7</v>
      </c>
      <c r="AJ14" s="367">
        <f>IF(AN14=0,K14,0)</f>
        <v>0</v>
      </c>
      <c r="AK14" s="367">
        <f>IF(AN14=15,K14,0)</f>
        <v>0</v>
      </c>
      <c r="AL14" s="367">
        <f>IF(AN14=21,K14,0)</f>
        <v>0</v>
      </c>
      <c r="AM14" s="311"/>
      <c r="AN14" s="367">
        <v>21</v>
      </c>
      <c r="AO14" s="367">
        <f>H14*0</f>
        <v>0</v>
      </c>
      <c r="AP14" s="367">
        <f>H14*(1-0)</f>
        <v>0</v>
      </c>
      <c r="AQ14" s="369" t="s">
        <v>2</v>
      </c>
      <c r="AR14" s="311"/>
      <c r="AS14" s="311"/>
      <c r="AT14" s="311"/>
      <c r="AU14" s="311"/>
      <c r="AV14" s="367">
        <f>AW14+AX14</f>
        <v>0</v>
      </c>
      <c r="AW14" s="367">
        <f>G14*AO14</f>
        <v>0</v>
      </c>
      <c r="AX14" s="367">
        <f>G14*AP14</f>
        <v>0</v>
      </c>
      <c r="AY14" s="369" t="s">
        <v>520</v>
      </c>
      <c r="AZ14" s="369" t="s">
        <v>519</v>
      </c>
      <c r="BA14" s="351" t="s">
        <v>3</v>
      </c>
      <c r="BB14" s="311"/>
      <c r="BC14" s="367">
        <f>AW14+AX14</f>
        <v>0</v>
      </c>
      <c r="BD14" s="367">
        <f>H14/(100-BE14)*100</f>
        <v>0</v>
      </c>
      <c r="BE14" s="367">
        <v>0</v>
      </c>
      <c r="BF14" s="367">
        <f>M14</f>
        <v>0</v>
      </c>
      <c r="BG14" s="311"/>
      <c r="BH14" s="367">
        <f>G14*AO14</f>
        <v>0</v>
      </c>
      <c r="BI14" s="367">
        <f>G14*AP14</f>
        <v>0</v>
      </c>
      <c r="BJ14" s="367">
        <f>G14*H14</f>
        <v>0</v>
      </c>
      <c r="BK14" s="367"/>
      <c r="BL14" s="367">
        <v>11</v>
      </c>
      <c r="BM14" s="311"/>
      <c r="BN14" s="311"/>
      <c r="BO14" s="311"/>
      <c r="BP14" s="311"/>
      <c r="BQ14" s="311"/>
      <c r="BR14" s="311"/>
      <c r="BS14" s="311"/>
      <c r="BT14" s="311"/>
      <c r="BU14" s="311"/>
    </row>
    <row r="15" spans="1:73" ht="15" customHeight="1">
      <c r="A15" s="370"/>
      <c r="B15" s="311"/>
      <c r="C15" s="311"/>
      <c r="D15" s="371" t="s">
        <v>526</v>
      </c>
      <c r="E15" s="372"/>
      <c r="F15" s="311"/>
      <c r="G15" s="373">
        <v>5.346</v>
      </c>
      <c r="H15" s="311"/>
      <c r="I15" s="311"/>
      <c r="J15" s="311"/>
      <c r="K15" s="311"/>
      <c r="L15" s="311"/>
      <c r="M15" s="311"/>
      <c r="N15" s="374"/>
      <c r="O15" s="346"/>
      <c r="P15" s="346"/>
      <c r="Q15" s="346"/>
      <c r="R15" s="346"/>
      <c r="S15" s="346"/>
      <c r="T15" s="346"/>
      <c r="U15" s="346"/>
      <c r="V15" s="346"/>
      <c r="W15" s="346"/>
      <c r="X15" s="346"/>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row>
    <row r="16" spans="1:73" ht="15" customHeight="1">
      <c r="A16" s="365" t="s">
        <v>151</v>
      </c>
      <c r="B16" s="366" t="s">
        <v>7</v>
      </c>
      <c r="C16" s="366" t="s">
        <v>525</v>
      </c>
      <c r="D16" s="304" t="s">
        <v>524</v>
      </c>
      <c r="E16" s="304"/>
      <c r="F16" s="366" t="s">
        <v>79</v>
      </c>
      <c r="G16" s="367">
        <f>'[2]Stavební rozpočet'!G16</f>
        <v>5.35</v>
      </c>
      <c r="H16" s="328">
        <v>0</v>
      </c>
      <c r="I16" s="367">
        <f>G16*AO16</f>
        <v>0</v>
      </c>
      <c r="J16" s="367">
        <f>G16*AP16</f>
        <v>0</v>
      </c>
      <c r="K16" s="367">
        <f>G16*H16</f>
        <v>0</v>
      </c>
      <c r="L16" s="367">
        <f>'[2]Stavební rozpočet'!L16</f>
        <v>0</v>
      </c>
      <c r="M16" s="367">
        <f>G16*L16</f>
        <v>0</v>
      </c>
      <c r="N16" s="368" t="s">
        <v>36</v>
      </c>
      <c r="O16" s="346"/>
      <c r="P16" s="346"/>
      <c r="Q16" s="346"/>
      <c r="R16" s="346"/>
      <c r="S16" s="346"/>
      <c r="T16" s="346"/>
      <c r="U16" s="346"/>
      <c r="V16" s="346"/>
      <c r="W16" s="346"/>
      <c r="X16" s="346"/>
      <c r="Y16" s="311"/>
      <c r="Z16" s="367">
        <f>IF(AQ16="5",BJ16,0)</f>
        <v>0</v>
      </c>
      <c r="AA16" s="311"/>
      <c r="AB16" s="367">
        <f>IF(AQ16="1",BH16,0)</f>
        <v>0</v>
      </c>
      <c r="AC16" s="367">
        <f>IF(AQ16="1",BI16,0)</f>
        <v>0</v>
      </c>
      <c r="AD16" s="367">
        <f>IF(AQ16="7",BH16,0)</f>
        <v>0</v>
      </c>
      <c r="AE16" s="367">
        <f>IF(AQ16="7",BI16,0)</f>
        <v>0</v>
      </c>
      <c r="AF16" s="367">
        <f>IF(AQ16="2",BH16,0)</f>
        <v>0</v>
      </c>
      <c r="AG16" s="367">
        <f>IF(AQ16="2",BI16,0)</f>
        <v>0</v>
      </c>
      <c r="AH16" s="367">
        <f>IF(AQ16="0",BJ16,0)</f>
        <v>0</v>
      </c>
      <c r="AI16" s="351" t="s">
        <v>7</v>
      </c>
      <c r="AJ16" s="367">
        <f>IF(AN16=0,K16,0)</f>
        <v>0</v>
      </c>
      <c r="AK16" s="367">
        <f>IF(AN16=15,K16,0)</f>
        <v>0</v>
      </c>
      <c r="AL16" s="367">
        <f>IF(AN16=21,K16,0)</f>
        <v>0</v>
      </c>
      <c r="AM16" s="311"/>
      <c r="AN16" s="367">
        <v>21</v>
      </c>
      <c r="AO16" s="367">
        <f>H16*0</f>
        <v>0</v>
      </c>
      <c r="AP16" s="367">
        <f>H16*(1-0)</f>
        <v>0</v>
      </c>
      <c r="AQ16" s="369" t="s">
        <v>2</v>
      </c>
      <c r="AR16" s="311"/>
      <c r="AS16" s="311"/>
      <c r="AT16" s="311"/>
      <c r="AU16" s="311"/>
      <c r="AV16" s="367">
        <f>AW16+AX16</f>
        <v>0</v>
      </c>
      <c r="AW16" s="367">
        <f>G16*AO16</f>
        <v>0</v>
      </c>
      <c r="AX16" s="367">
        <f>G16*AP16</f>
        <v>0</v>
      </c>
      <c r="AY16" s="369" t="s">
        <v>520</v>
      </c>
      <c r="AZ16" s="369" t="s">
        <v>519</v>
      </c>
      <c r="BA16" s="351" t="s">
        <v>3</v>
      </c>
      <c r="BB16" s="311"/>
      <c r="BC16" s="367">
        <f>AW16+AX16</f>
        <v>0</v>
      </c>
      <c r="BD16" s="367">
        <f>H16/(100-BE16)*100</f>
        <v>0</v>
      </c>
      <c r="BE16" s="367">
        <v>0</v>
      </c>
      <c r="BF16" s="367">
        <f>M16</f>
        <v>0</v>
      </c>
      <c r="BG16" s="311"/>
      <c r="BH16" s="367">
        <f>G16*AO16</f>
        <v>0</v>
      </c>
      <c r="BI16" s="367">
        <f>G16*AP16</f>
        <v>0</v>
      </c>
      <c r="BJ16" s="367">
        <f>G16*H16</f>
        <v>0</v>
      </c>
      <c r="BK16" s="367"/>
      <c r="BL16" s="367">
        <v>11</v>
      </c>
      <c r="BM16" s="311"/>
      <c r="BN16" s="311"/>
      <c r="BO16" s="311"/>
      <c r="BP16" s="311"/>
      <c r="BQ16" s="311"/>
      <c r="BR16" s="311"/>
      <c r="BS16" s="311"/>
      <c r="BT16" s="311"/>
      <c r="BU16" s="311"/>
    </row>
    <row r="17" spans="1:73" ht="15" customHeight="1">
      <c r="A17" s="370"/>
      <c r="B17" s="311"/>
      <c r="C17" s="311"/>
      <c r="D17" s="371" t="s">
        <v>523</v>
      </c>
      <c r="E17" s="372"/>
      <c r="F17" s="311"/>
      <c r="G17" s="373">
        <v>5.35</v>
      </c>
      <c r="H17" s="311"/>
      <c r="I17" s="311"/>
      <c r="J17" s="311"/>
      <c r="K17" s="311"/>
      <c r="L17" s="311"/>
      <c r="M17" s="311"/>
      <c r="N17" s="374"/>
      <c r="O17" s="346"/>
      <c r="P17" s="346"/>
      <c r="Q17" s="346"/>
      <c r="R17" s="346"/>
      <c r="S17" s="346"/>
      <c r="T17" s="346"/>
      <c r="U17" s="346"/>
      <c r="V17" s="346"/>
      <c r="W17" s="346"/>
      <c r="X17" s="346"/>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row>
    <row r="18" spans="1:73" ht="15" customHeight="1">
      <c r="A18" s="365" t="s">
        <v>320</v>
      </c>
      <c r="B18" s="366" t="s">
        <v>7</v>
      </c>
      <c r="C18" s="366" t="s">
        <v>522</v>
      </c>
      <c r="D18" s="304" t="s">
        <v>521</v>
      </c>
      <c r="E18" s="304"/>
      <c r="F18" s="366" t="s">
        <v>283</v>
      </c>
      <c r="G18" s="367">
        <f>'[2]Stavební rozpočet'!G18</f>
        <v>1</v>
      </c>
      <c r="H18" s="328">
        <v>0</v>
      </c>
      <c r="I18" s="367">
        <f>G18*AO18</f>
        <v>0</v>
      </c>
      <c r="J18" s="367">
        <f>G18*AP18</f>
        <v>0</v>
      </c>
      <c r="K18" s="367">
        <f>G18*H18</f>
        <v>0</v>
      </c>
      <c r="L18" s="367">
        <f>'[2]Stavební rozpočet'!L18</f>
        <v>0</v>
      </c>
      <c r="M18" s="367">
        <f>G18*L18</f>
        <v>0</v>
      </c>
      <c r="N18" s="368"/>
      <c r="O18" s="346"/>
      <c r="P18" s="346"/>
      <c r="Q18" s="346"/>
      <c r="R18" s="346"/>
      <c r="S18" s="346"/>
      <c r="T18" s="346"/>
      <c r="U18" s="346"/>
      <c r="V18" s="346"/>
      <c r="W18" s="346"/>
      <c r="X18" s="346"/>
      <c r="Y18" s="311"/>
      <c r="Z18" s="367">
        <f>IF(AQ18="5",BJ18,0)</f>
        <v>0</v>
      </c>
      <c r="AA18" s="311"/>
      <c r="AB18" s="367">
        <f>IF(AQ18="1",BH18,0)</f>
        <v>0</v>
      </c>
      <c r="AC18" s="367">
        <f>IF(AQ18="1",BI18,0)</f>
        <v>0</v>
      </c>
      <c r="AD18" s="367">
        <f>IF(AQ18="7",BH18,0)</f>
        <v>0</v>
      </c>
      <c r="AE18" s="367">
        <f>IF(AQ18="7",BI18,0)</f>
        <v>0</v>
      </c>
      <c r="AF18" s="367">
        <f>IF(AQ18="2",BH18,0)</f>
        <v>0</v>
      </c>
      <c r="AG18" s="367">
        <f>IF(AQ18="2",BI18,0)</f>
        <v>0</v>
      </c>
      <c r="AH18" s="367">
        <f>IF(AQ18="0",BJ18,0)</f>
        <v>0</v>
      </c>
      <c r="AI18" s="351" t="s">
        <v>7</v>
      </c>
      <c r="AJ18" s="367">
        <f>IF(AN18=0,K18,0)</f>
        <v>0</v>
      </c>
      <c r="AK18" s="367">
        <f>IF(AN18=15,K18,0)</f>
        <v>0</v>
      </c>
      <c r="AL18" s="367">
        <f>IF(AN18=21,K18,0)</f>
        <v>0</v>
      </c>
      <c r="AM18" s="311"/>
      <c r="AN18" s="367">
        <v>21</v>
      </c>
      <c r="AO18" s="367">
        <f>H18*0</f>
        <v>0</v>
      </c>
      <c r="AP18" s="367">
        <f>H18*(1-0)</f>
        <v>0</v>
      </c>
      <c r="AQ18" s="369" t="s">
        <v>2</v>
      </c>
      <c r="AR18" s="311"/>
      <c r="AS18" s="311"/>
      <c r="AT18" s="311"/>
      <c r="AU18" s="311"/>
      <c r="AV18" s="367">
        <f>AW18+AX18</f>
        <v>0</v>
      </c>
      <c r="AW18" s="367">
        <f>G18*AO18</f>
        <v>0</v>
      </c>
      <c r="AX18" s="367">
        <f>G18*AP18</f>
        <v>0</v>
      </c>
      <c r="AY18" s="369" t="s">
        <v>520</v>
      </c>
      <c r="AZ18" s="369" t="s">
        <v>519</v>
      </c>
      <c r="BA18" s="351" t="s">
        <v>3</v>
      </c>
      <c r="BB18" s="311"/>
      <c r="BC18" s="367">
        <f>AW18+AX18</f>
        <v>0</v>
      </c>
      <c r="BD18" s="367">
        <f>H18/(100-BE18)*100</f>
        <v>0</v>
      </c>
      <c r="BE18" s="367">
        <v>0</v>
      </c>
      <c r="BF18" s="367">
        <f>M18</f>
        <v>0</v>
      </c>
      <c r="BG18" s="311"/>
      <c r="BH18" s="367">
        <f>G18*AO18</f>
        <v>0</v>
      </c>
      <c r="BI18" s="367">
        <f>G18*AP18</f>
        <v>0</v>
      </c>
      <c r="BJ18" s="367">
        <f>G18*H18</f>
        <v>0</v>
      </c>
      <c r="BK18" s="367"/>
      <c r="BL18" s="367">
        <v>11</v>
      </c>
      <c r="BM18" s="311"/>
      <c r="BN18" s="311"/>
      <c r="BO18" s="311"/>
      <c r="BP18" s="311"/>
      <c r="BQ18" s="311"/>
      <c r="BR18" s="311"/>
      <c r="BS18" s="311"/>
      <c r="BT18" s="311"/>
      <c r="BU18" s="311"/>
    </row>
    <row r="19" spans="1:73" ht="15" customHeight="1">
      <c r="A19" s="370"/>
      <c r="B19" s="311"/>
      <c r="C19" s="311"/>
      <c r="D19" s="371" t="s">
        <v>2</v>
      </c>
      <c r="E19" s="372"/>
      <c r="F19" s="311"/>
      <c r="G19" s="373">
        <v>1</v>
      </c>
      <c r="H19" s="311"/>
      <c r="I19" s="311"/>
      <c r="J19" s="311"/>
      <c r="K19" s="311"/>
      <c r="L19" s="311"/>
      <c r="M19" s="311"/>
      <c r="N19" s="374"/>
      <c r="O19" s="346"/>
      <c r="P19" s="346"/>
      <c r="Q19" s="346"/>
      <c r="R19" s="346"/>
      <c r="S19" s="346"/>
      <c r="T19" s="346"/>
      <c r="U19" s="346"/>
      <c r="V19" s="346"/>
      <c r="W19" s="346"/>
      <c r="X19" s="346"/>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row>
    <row r="20" spans="1:73" ht="15" customHeight="1">
      <c r="A20" s="360"/>
      <c r="B20" s="361" t="s">
        <v>7</v>
      </c>
      <c r="C20" s="361" t="s">
        <v>418</v>
      </c>
      <c r="D20" s="362" t="s">
        <v>518</v>
      </c>
      <c r="E20" s="362"/>
      <c r="F20" s="363" t="s">
        <v>12</v>
      </c>
      <c r="G20" s="363" t="s">
        <v>12</v>
      </c>
      <c r="H20" s="363" t="s">
        <v>12</v>
      </c>
      <c r="I20" s="347">
        <f>SUM(I21:I25)</f>
        <v>0</v>
      </c>
      <c r="J20" s="347">
        <f>SUM(J21:J25)</f>
        <v>0</v>
      </c>
      <c r="K20" s="347">
        <f>SUM(K21:K25)</f>
        <v>0</v>
      </c>
      <c r="L20" s="351"/>
      <c r="M20" s="347">
        <f>SUM(M21:M25)</f>
        <v>2.6426</v>
      </c>
      <c r="N20" s="364"/>
      <c r="O20" s="346"/>
      <c r="P20" s="346"/>
      <c r="Q20" s="346"/>
      <c r="R20" s="346"/>
      <c r="S20" s="346"/>
      <c r="T20" s="346"/>
      <c r="U20" s="346"/>
      <c r="V20" s="346"/>
      <c r="W20" s="346"/>
      <c r="X20" s="346"/>
      <c r="Y20" s="311"/>
      <c r="Z20" s="311"/>
      <c r="AA20" s="311"/>
      <c r="AB20" s="311"/>
      <c r="AC20" s="311"/>
      <c r="AD20" s="311"/>
      <c r="AE20" s="311"/>
      <c r="AF20" s="311"/>
      <c r="AG20" s="311"/>
      <c r="AH20" s="311"/>
      <c r="AI20" s="351" t="s">
        <v>7</v>
      </c>
      <c r="AJ20" s="311"/>
      <c r="AK20" s="311"/>
      <c r="AL20" s="311"/>
      <c r="AM20" s="311"/>
      <c r="AN20" s="311"/>
      <c r="AO20" s="311"/>
      <c r="AP20" s="311"/>
      <c r="AQ20" s="311"/>
      <c r="AR20" s="311"/>
      <c r="AS20" s="347">
        <f>SUM(AJ21:AJ25)</f>
        <v>0</v>
      </c>
      <c r="AT20" s="347">
        <f>SUM(AK21:AK25)</f>
        <v>0</v>
      </c>
      <c r="AU20" s="347">
        <f>SUM(AL21:AL25)</f>
        <v>0</v>
      </c>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row>
    <row r="21" spans="1:73" ht="15" customHeight="1">
      <c r="A21" s="365" t="s">
        <v>517</v>
      </c>
      <c r="B21" s="366" t="s">
        <v>7</v>
      </c>
      <c r="C21" s="366" t="s">
        <v>516</v>
      </c>
      <c r="D21" s="304" t="s">
        <v>515</v>
      </c>
      <c r="E21" s="304"/>
      <c r="F21" s="366" t="s">
        <v>79</v>
      </c>
      <c r="G21" s="367">
        <f>'[2]Stavební rozpočet'!G21</f>
        <v>1</v>
      </c>
      <c r="H21" s="328">
        <v>0</v>
      </c>
      <c r="I21" s="367">
        <f>G21*AO21</f>
        <v>0</v>
      </c>
      <c r="J21" s="367">
        <f>G21*AP21</f>
        <v>0</v>
      </c>
      <c r="K21" s="367">
        <f>G21*H21</f>
        <v>0</v>
      </c>
      <c r="L21" s="367">
        <f>'[2]Stavební rozpočet'!L21</f>
        <v>2.525</v>
      </c>
      <c r="M21" s="367">
        <f>G21*L21</f>
        <v>2.525</v>
      </c>
      <c r="N21" s="368" t="s">
        <v>36</v>
      </c>
      <c r="O21" s="346"/>
      <c r="P21" s="346"/>
      <c r="Q21" s="346"/>
      <c r="R21" s="346"/>
      <c r="S21" s="346"/>
      <c r="T21" s="346"/>
      <c r="U21" s="346"/>
      <c r="V21" s="346"/>
      <c r="W21" s="346"/>
      <c r="X21" s="346"/>
      <c r="Y21" s="311"/>
      <c r="Z21" s="367">
        <f>IF(AQ21="5",BJ21,0)</f>
        <v>0</v>
      </c>
      <c r="AA21" s="311"/>
      <c r="AB21" s="367">
        <f>IF(AQ21="1",BH21,0)</f>
        <v>0</v>
      </c>
      <c r="AC21" s="367">
        <f>IF(AQ21="1",BI21,0)</f>
        <v>0</v>
      </c>
      <c r="AD21" s="367">
        <f>IF(AQ21="7",BH21,0)</f>
        <v>0</v>
      </c>
      <c r="AE21" s="367">
        <f>IF(AQ21="7",BI21,0)</f>
        <v>0</v>
      </c>
      <c r="AF21" s="367">
        <f>IF(AQ21="2",BH21,0)</f>
        <v>0</v>
      </c>
      <c r="AG21" s="367">
        <f>IF(AQ21="2",BI21,0)</f>
        <v>0</v>
      </c>
      <c r="AH21" s="367">
        <f>IF(AQ21="0",BJ21,0)</f>
        <v>0</v>
      </c>
      <c r="AI21" s="351" t="s">
        <v>7</v>
      </c>
      <c r="AJ21" s="367">
        <f>IF(AN21=0,K21,0)</f>
        <v>0</v>
      </c>
      <c r="AK21" s="367">
        <f>IF(AN21=15,K21,0)</f>
        <v>0</v>
      </c>
      <c r="AL21" s="367">
        <f>IF(AN21=21,K21,0)</f>
        <v>0</v>
      </c>
      <c r="AM21" s="311"/>
      <c r="AN21" s="367">
        <v>21</v>
      </c>
      <c r="AO21" s="367">
        <f>H21*0.896563607085346</f>
        <v>0</v>
      </c>
      <c r="AP21" s="367">
        <f>H21*(1-0.896563607085346)</f>
        <v>0</v>
      </c>
      <c r="AQ21" s="369" t="s">
        <v>2</v>
      </c>
      <c r="AR21" s="311"/>
      <c r="AS21" s="311"/>
      <c r="AT21" s="311"/>
      <c r="AU21" s="311"/>
      <c r="AV21" s="367">
        <f>AW21+AX21</f>
        <v>0</v>
      </c>
      <c r="AW21" s="367">
        <f>G21*AO21</f>
        <v>0</v>
      </c>
      <c r="AX21" s="367">
        <f>G21*AP21</f>
        <v>0</v>
      </c>
      <c r="AY21" s="369" t="s">
        <v>507</v>
      </c>
      <c r="AZ21" s="369" t="s">
        <v>506</v>
      </c>
      <c r="BA21" s="351" t="s">
        <v>3</v>
      </c>
      <c r="BB21" s="311"/>
      <c r="BC21" s="367">
        <f>AW21+AX21</f>
        <v>0</v>
      </c>
      <c r="BD21" s="367">
        <f>H21/(100-BE21)*100</f>
        <v>0</v>
      </c>
      <c r="BE21" s="367">
        <v>0</v>
      </c>
      <c r="BF21" s="367">
        <f>M21</f>
        <v>2.525</v>
      </c>
      <c r="BG21" s="311"/>
      <c r="BH21" s="367">
        <f>G21*AO21</f>
        <v>0</v>
      </c>
      <c r="BI21" s="367">
        <f>G21*AP21</f>
        <v>0</v>
      </c>
      <c r="BJ21" s="367">
        <f>G21*H21</f>
        <v>0</v>
      </c>
      <c r="BK21" s="367"/>
      <c r="BL21" s="367">
        <v>27</v>
      </c>
      <c r="BM21" s="311"/>
      <c r="BN21" s="311"/>
      <c r="BO21" s="311"/>
      <c r="BP21" s="311"/>
      <c r="BQ21" s="311"/>
      <c r="BR21" s="311"/>
      <c r="BS21" s="311"/>
      <c r="BT21" s="311"/>
      <c r="BU21" s="311"/>
    </row>
    <row r="22" spans="1:73" ht="15" customHeight="1">
      <c r="A22" s="370"/>
      <c r="B22" s="311"/>
      <c r="C22" s="311"/>
      <c r="D22" s="371" t="s">
        <v>514</v>
      </c>
      <c r="E22" s="372"/>
      <c r="F22" s="311"/>
      <c r="G22" s="373">
        <v>1</v>
      </c>
      <c r="H22" s="311"/>
      <c r="I22" s="311"/>
      <c r="J22" s="311"/>
      <c r="K22" s="311"/>
      <c r="L22" s="311"/>
      <c r="M22" s="311"/>
      <c r="N22" s="374"/>
      <c r="O22" s="346"/>
      <c r="P22" s="346"/>
      <c r="Q22" s="346"/>
      <c r="R22" s="346"/>
      <c r="S22" s="346"/>
      <c r="T22" s="346"/>
      <c r="U22" s="346"/>
      <c r="V22" s="346"/>
      <c r="W22" s="346"/>
      <c r="X22" s="346"/>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row>
    <row r="23" spans="1:73" ht="15" customHeight="1">
      <c r="A23" s="365" t="s">
        <v>35</v>
      </c>
      <c r="B23" s="366" t="s">
        <v>7</v>
      </c>
      <c r="C23" s="366" t="s">
        <v>513</v>
      </c>
      <c r="D23" s="304" t="s">
        <v>512</v>
      </c>
      <c r="E23" s="304"/>
      <c r="F23" s="366" t="s">
        <v>89</v>
      </c>
      <c r="G23" s="367">
        <f>'[2]Stavební rozpočet'!G23</f>
        <v>3</v>
      </c>
      <c r="H23" s="328">
        <v>0</v>
      </c>
      <c r="I23" s="367">
        <f>G23*AO23</f>
        <v>0</v>
      </c>
      <c r="J23" s="367">
        <f>G23*AP23</f>
        <v>0</v>
      </c>
      <c r="K23" s="367">
        <f>G23*H23</f>
        <v>0</v>
      </c>
      <c r="L23" s="367">
        <f>'[2]Stavební rozpočet'!L23</f>
        <v>0.0392</v>
      </c>
      <c r="M23" s="367">
        <f>G23*L23</f>
        <v>0.1176</v>
      </c>
      <c r="N23" s="368" t="s">
        <v>36</v>
      </c>
      <c r="O23" s="346"/>
      <c r="P23" s="346"/>
      <c r="Q23" s="346"/>
      <c r="R23" s="346"/>
      <c r="S23" s="346"/>
      <c r="T23" s="346"/>
      <c r="U23" s="346"/>
      <c r="V23" s="346"/>
      <c r="W23" s="346"/>
      <c r="X23" s="346"/>
      <c r="Y23" s="311"/>
      <c r="Z23" s="367">
        <f>IF(AQ23="5",BJ23,0)</f>
        <v>0</v>
      </c>
      <c r="AA23" s="311"/>
      <c r="AB23" s="367">
        <f>IF(AQ23="1",BH23,0)</f>
        <v>0</v>
      </c>
      <c r="AC23" s="367">
        <f>IF(AQ23="1",BI23,0)</f>
        <v>0</v>
      </c>
      <c r="AD23" s="367">
        <f>IF(AQ23="7",BH23,0)</f>
        <v>0</v>
      </c>
      <c r="AE23" s="367">
        <f>IF(AQ23="7",BI23,0)</f>
        <v>0</v>
      </c>
      <c r="AF23" s="367">
        <f>IF(AQ23="2",BH23,0)</f>
        <v>0</v>
      </c>
      <c r="AG23" s="367">
        <f>IF(AQ23="2",BI23,0)</f>
        <v>0</v>
      </c>
      <c r="AH23" s="367">
        <f>IF(AQ23="0",BJ23,0)</f>
        <v>0</v>
      </c>
      <c r="AI23" s="351" t="s">
        <v>7</v>
      </c>
      <c r="AJ23" s="367">
        <f>IF(AN23=0,K23,0)</f>
        <v>0</v>
      </c>
      <c r="AK23" s="367">
        <f>IF(AN23=15,K23,0)</f>
        <v>0</v>
      </c>
      <c r="AL23" s="367">
        <f>IF(AN23=21,K23,0)</f>
        <v>0</v>
      </c>
      <c r="AM23" s="311"/>
      <c r="AN23" s="367">
        <v>21</v>
      </c>
      <c r="AO23" s="367">
        <f>H23*0.34627808988764</f>
        <v>0</v>
      </c>
      <c r="AP23" s="367">
        <f>H23*(1-0.34627808988764)</f>
        <v>0</v>
      </c>
      <c r="AQ23" s="369" t="s">
        <v>2</v>
      </c>
      <c r="AR23" s="311"/>
      <c r="AS23" s="311"/>
      <c r="AT23" s="311"/>
      <c r="AU23" s="311"/>
      <c r="AV23" s="367">
        <f>AW23+AX23</f>
        <v>0</v>
      </c>
      <c r="AW23" s="367">
        <f>G23*AO23</f>
        <v>0</v>
      </c>
      <c r="AX23" s="367">
        <f>G23*AP23</f>
        <v>0</v>
      </c>
      <c r="AY23" s="369" t="s">
        <v>507</v>
      </c>
      <c r="AZ23" s="369" t="s">
        <v>506</v>
      </c>
      <c r="BA23" s="351" t="s">
        <v>3</v>
      </c>
      <c r="BB23" s="311"/>
      <c r="BC23" s="367">
        <f>AW23+AX23</f>
        <v>0</v>
      </c>
      <c r="BD23" s="367">
        <f>H23/(100-BE23)*100</f>
        <v>0</v>
      </c>
      <c r="BE23" s="367">
        <v>0</v>
      </c>
      <c r="BF23" s="367">
        <f>M23</f>
        <v>0.1176</v>
      </c>
      <c r="BG23" s="311"/>
      <c r="BH23" s="367">
        <f>G23*AO23</f>
        <v>0</v>
      </c>
      <c r="BI23" s="367">
        <f>G23*AP23</f>
        <v>0</v>
      </c>
      <c r="BJ23" s="367">
        <f>G23*H23</f>
        <v>0</v>
      </c>
      <c r="BK23" s="367"/>
      <c r="BL23" s="367">
        <v>27</v>
      </c>
      <c r="BM23" s="311"/>
      <c r="BN23" s="311"/>
      <c r="BO23" s="311"/>
      <c r="BP23" s="311"/>
      <c r="BQ23" s="311"/>
      <c r="BR23" s="311"/>
      <c r="BS23" s="311"/>
      <c r="BT23" s="311"/>
      <c r="BU23" s="311"/>
    </row>
    <row r="24" spans="1:73" ht="15" customHeight="1">
      <c r="A24" s="370"/>
      <c r="B24" s="311"/>
      <c r="C24" s="311"/>
      <c r="D24" s="371" t="s">
        <v>511</v>
      </c>
      <c r="E24" s="372"/>
      <c r="F24" s="311"/>
      <c r="G24" s="373">
        <v>3.0000000000000004</v>
      </c>
      <c r="H24" s="311"/>
      <c r="I24" s="311"/>
      <c r="J24" s="311"/>
      <c r="K24" s="311"/>
      <c r="L24" s="311"/>
      <c r="M24" s="311"/>
      <c r="N24" s="374"/>
      <c r="O24" s="346"/>
      <c r="P24" s="346"/>
      <c r="Q24" s="346"/>
      <c r="R24" s="346"/>
      <c r="S24" s="346"/>
      <c r="T24" s="346"/>
      <c r="U24" s="346"/>
      <c r="V24" s="346"/>
      <c r="W24" s="346"/>
      <c r="X24" s="346"/>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311"/>
      <c r="BQ24" s="311"/>
      <c r="BR24" s="311"/>
      <c r="BS24" s="311"/>
      <c r="BT24" s="311"/>
      <c r="BU24" s="311"/>
    </row>
    <row r="25" spans="1:73" ht="15" customHeight="1">
      <c r="A25" s="365" t="s">
        <v>510</v>
      </c>
      <c r="B25" s="366" t="s">
        <v>7</v>
      </c>
      <c r="C25" s="366" t="s">
        <v>509</v>
      </c>
      <c r="D25" s="304" t="s">
        <v>508</v>
      </c>
      <c r="E25" s="304"/>
      <c r="F25" s="366" t="s">
        <v>89</v>
      </c>
      <c r="G25" s="367">
        <f>'[2]Stavební rozpočet'!G25</f>
        <v>3</v>
      </c>
      <c r="H25" s="328">
        <v>0</v>
      </c>
      <c r="I25" s="367">
        <f>G25*AO25</f>
        <v>0</v>
      </c>
      <c r="J25" s="367">
        <f>G25*AP25</f>
        <v>0</v>
      </c>
      <c r="K25" s="367">
        <f>G25*H25</f>
        <v>0</v>
      </c>
      <c r="L25" s="367">
        <f>'[2]Stavební rozpočet'!L25</f>
        <v>0</v>
      </c>
      <c r="M25" s="367">
        <f>G25*L25</f>
        <v>0</v>
      </c>
      <c r="N25" s="368" t="s">
        <v>36</v>
      </c>
      <c r="O25" s="346"/>
      <c r="P25" s="346"/>
      <c r="Q25" s="346"/>
      <c r="R25" s="346"/>
      <c r="S25" s="346"/>
      <c r="T25" s="346"/>
      <c r="U25" s="346"/>
      <c r="V25" s="346"/>
      <c r="W25" s="346"/>
      <c r="X25" s="346"/>
      <c r="Y25" s="311"/>
      <c r="Z25" s="367">
        <f>IF(AQ25="5",BJ25,0)</f>
        <v>0</v>
      </c>
      <c r="AA25" s="311"/>
      <c r="AB25" s="367">
        <f>IF(AQ25="1",BH25,0)</f>
        <v>0</v>
      </c>
      <c r="AC25" s="367">
        <f>IF(AQ25="1",BI25,0)</f>
        <v>0</v>
      </c>
      <c r="AD25" s="367">
        <f>IF(AQ25="7",BH25,0)</f>
        <v>0</v>
      </c>
      <c r="AE25" s="367">
        <f>IF(AQ25="7",BI25,0)</f>
        <v>0</v>
      </c>
      <c r="AF25" s="367">
        <f>IF(AQ25="2",BH25,0)</f>
        <v>0</v>
      </c>
      <c r="AG25" s="367">
        <f>IF(AQ25="2",BI25,0)</f>
        <v>0</v>
      </c>
      <c r="AH25" s="367">
        <f>IF(AQ25="0",BJ25,0)</f>
        <v>0</v>
      </c>
      <c r="AI25" s="351" t="s">
        <v>7</v>
      </c>
      <c r="AJ25" s="367">
        <f>IF(AN25=0,K25,0)</f>
        <v>0</v>
      </c>
      <c r="AK25" s="367">
        <f>IF(AN25=15,K25,0)</f>
        <v>0</v>
      </c>
      <c r="AL25" s="367">
        <f>IF(AN25=21,K25,0)</f>
        <v>0</v>
      </c>
      <c r="AM25" s="311"/>
      <c r="AN25" s="367">
        <v>21</v>
      </c>
      <c r="AO25" s="367">
        <f>H25*0</f>
        <v>0</v>
      </c>
      <c r="AP25" s="367">
        <f>H25*(1-0)</f>
        <v>0</v>
      </c>
      <c r="AQ25" s="369" t="s">
        <v>2</v>
      </c>
      <c r="AR25" s="311"/>
      <c r="AS25" s="311"/>
      <c r="AT25" s="311"/>
      <c r="AU25" s="311"/>
      <c r="AV25" s="367">
        <f>AW25+AX25</f>
        <v>0</v>
      </c>
      <c r="AW25" s="367">
        <f>G25*AO25</f>
        <v>0</v>
      </c>
      <c r="AX25" s="367">
        <f>G25*AP25</f>
        <v>0</v>
      </c>
      <c r="AY25" s="369" t="s">
        <v>507</v>
      </c>
      <c r="AZ25" s="369" t="s">
        <v>506</v>
      </c>
      <c r="BA25" s="351" t="s">
        <v>3</v>
      </c>
      <c r="BB25" s="311"/>
      <c r="BC25" s="367">
        <f>AW25+AX25</f>
        <v>0</v>
      </c>
      <c r="BD25" s="367">
        <f>H25/(100-BE25)*100</f>
        <v>0</v>
      </c>
      <c r="BE25" s="367">
        <v>0</v>
      </c>
      <c r="BF25" s="367">
        <f>M25</f>
        <v>0</v>
      </c>
      <c r="BG25" s="311"/>
      <c r="BH25" s="367">
        <f>G25*AO25</f>
        <v>0</v>
      </c>
      <c r="BI25" s="367">
        <f>G25*AP25</f>
        <v>0</v>
      </c>
      <c r="BJ25" s="367">
        <f>G25*H25</f>
        <v>0</v>
      </c>
      <c r="BK25" s="367"/>
      <c r="BL25" s="367">
        <v>27</v>
      </c>
      <c r="BM25" s="311"/>
      <c r="BN25" s="311"/>
      <c r="BO25" s="311"/>
      <c r="BP25" s="311"/>
      <c r="BQ25" s="311"/>
      <c r="BR25" s="311"/>
      <c r="BS25" s="311"/>
      <c r="BT25" s="311"/>
      <c r="BU25" s="311"/>
    </row>
    <row r="26" spans="1:73" ht="15" customHeight="1">
      <c r="A26" s="370"/>
      <c r="B26" s="311"/>
      <c r="C26" s="311"/>
      <c r="D26" s="371" t="s">
        <v>320</v>
      </c>
      <c r="E26" s="372"/>
      <c r="F26" s="311"/>
      <c r="G26" s="373">
        <v>3.0000000000000004</v>
      </c>
      <c r="H26" s="311"/>
      <c r="I26" s="311"/>
      <c r="J26" s="311"/>
      <c r="K26" s="311"/>
      <c r="L26" s="311"/>
      <c r="M26" s="311"/>
      <c r="N26" s="374"/>
      <c r="O26" s="346"/>
      <c r="P26" s="346"/>
      <c r="Q26" s="346"/>
      <c r="R26" s="346"/>
      <c r="S26" s="346"/>
      <c r="T26" s="346"/>
      <c r="U26" s="346"/>
      <c r="V26" s="346"/>
      <c r="W26" s="346"/>
      <c r="X26" s="346"/>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row>
    <row r="27" spans="1:73" ht="15" customHeight="1">
      <c r="A27" s="360"/>
      <c r="B27" s="361" t="s">
        <v>7</v>
      </c>
      <c r="C27" s="361" t="s">
        <v>386</v>
      </c>
      <c r="D27" s="362" t="s">
        <v>505</v>
      </c>
      <c r="E27" s="362"/>
      <c r="F27" s="363" t="s">
        <v>12</v>
      </c>
      <c r="G27" s="363" t="s">
        <v>12</v>
      </c>
      <c r="H27" s="363" t="s">
        <v>12</v>
      </c>
      <c r="I27" s="347">
        <f>SUM(I28:I30)</f>
        <v>0</v>
      </c>
      <c r="J27" s="347">
        <f>SUM(J28:J30)</f>
        <v>0</v>
      </c>
      <c r="K27" s="347">
        <f>SUM(K28:K30)</f>
        <v>0</v>
      </c>
      <c r="L27" s="351"/>
      <c r="M27" s="347">
        <f>SUM(M28:M30)</f>
        <v>0.756957125</v>
      </c>
      <c r="N27" s="364"/>
      <c r="O27" s="346"/>
      <c r="P27" s="346"/>
      <c r="Q27" s="346"/>
      <c r="R27" s="346"/>
      <c r="S27" s="346"/>
      <c r="T27" s="346"/>
      <c r="U27" s="346"/>
      <c r="V27" s="346"/>
      <c r="W27" s="346"/>
      <c r="X27" s="346"/>
      <c r="Y27" s="311"/>
      <c r="Z27" s="311"/>
      <c r="AA27" s="311"/>
      <c r="AB27" s="311"/>
      <c r="AC27" s="311"/>
      <c r="AD27" s="311"/>
      <c r="AE27" s="311"/>
      <c r="AF27" s="311"/>
      <c r="AG27" s="311"/>
      <c r="AH27" s="311"/>
      <c r="AI27" s="351" t="s">
        <v>7</v>
      </c>
      <c r="AJ27" s="311"/>
      <c r="AK27" s="311"/>
      <c r="AL27" s="311"/>
      <c r="AM27" s="311"/>
      <c r="AN27" s="311"/>
      <c r="AO27" s="311"/>
      <c r="AP27" s="311"/>
      <c r="AQ27" s="311"/>
      <c r="AR27" s="311"/>
      <c r="AS27" s="347">
        <f>SUM(AJ28:AJ30)</f>
        <v>0</v>
      </c>
      <c r="AT27" s="347">
        <f>SUM(AK28:AK30)</f>
        <v>0</v>
      </c>
      <c r="AU27" s="347">
        <f>SUM(AL28:AL30)</f>
        <v>0</v>
      </c>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row>
    <row r="28" spans="1:73" ht="15" customHeight="1">
      <c r="A28" s="365" t="s">
        <v>178</v>
      </c>
      <c r="B28" s="366" t="s">
        <v>7</v>
      </c>
      <c r="C28" s="366" t="s">
        <v>504</v>
      </c>
      <c r="D28" s="304" t="s">
        <v>503</v>
      </c>
      <c r="E28" s="304"/>
      <c r="F28" s="366" t="s">
        <v>89</v>
      </c>
      <c r="G28" s="367">
        <f>'[2]Stavební rozpočet'!G28</f>
        <v>2.318</v>
      </c>
      <c r="H28" s="328">
        <v>0</v>
      </c>
      <c r="I28" s="367">
        <f>G28*AO28</f>
        <v>0</v>
      </c>
      <c r="J28" s="367">
        <f>G28*AP28</f>
        <v>0</v>
      </c>
      <c r="K28" s="367">
        <f>G28*H28</f>
        <v>0</v>
      </c>
      <c r="L28" s="367">
        <f>'[2]Stavební rozpočet'!L28</f>
        <v>0.03747</v>
      </c>
      <c r="M28" s="367">
        <f>G28*L28</f>
        <v>0.08685546000000001</v>
      </c>
      <c r="N28" s="368" t="s">
        <v>36</v>
      </c>
      <c r="O28" s="346"/>
      <c r="P28" s="346"/>
      <c r="Q28" s="346"/>
      <c r="R28" s="346"/>
      <c r="S28" s="346"/>
      <c r="T28" s="346"/>
      <c r="U28" s="346"/>
      <c r="V28" s="346"/>
      <c r="W28" s="346"/>
      <c r="X28" s="346"/>
      <c r="Y28" s="311"/>
      <c r="Z28" s="367">
        <f>IF(AQ28="5",BJ28,0)</f>
        <v>0</v>
      </c>
      <c r="AA28" s="311"/>
      <c r="AB28" s="367">
        <f>IF(AQ28="1",BH28,0)</f>
        <v>0</v>
      </c>
      <c r="AC28" s="367">
        <f>IF(AQ28="1",BI28,0)</f>
        <v>0</v>
      </c>
      <c r="AD28" s="367">
        <f>IF(AQ28="7",BH28,0)</f>
        <v>0</v>
      </c>
      <c r="AE28" s="367">
        <f>IF(AQ28="7",BI28,0)</f>
        <v>0</v>
      </c>
      <c r="AF28" s="367">
        <f>IF(AQ28="2",BH28,0)</f>
        <v>0</v>
      </c>
      <c r="AG28" s="367">
        <f>IF(AQ28="2",BI28,0)</f>
        <v>0</v>
      </c>
      <c r="AH28" s="367">
        <f>IF(AQ28="0",BJ28,0)</f>
        <v>0</v>
      </c>
      <c r="AI28" s="351" t="s">
        <v>7</v>
      </c>
      <c r="AJ28" s="367">
        <f>IF(AN28=0,K28,0)</f>
        <v>0</v>
      </c>
      <c r="AK28" s="367">
        <f>IF(AN28=15,K28,0)</f>
        <v>0</v>
      </c>
      <c r="AL28" s="367">
        <f>IF(AN28=21,K28,0)</f>
        <v>0</v>
      </c>
      <c r="AM28" s="311"/>
      <c r="AN28" s="367">
        <v>21</v>
      </c>
      <c r="AO28" s="367">
        <f>H28*0.747646558099578</f>
        <v>0</v>
      </c>
      <c r="AP28" s="367">
        <f>H28*(1-0.747646558099578)</f>
        <v>0</v>
      </c>
      <c r="AQ28" s="369" t="s">
        <v>2</v>
      </c>
      <c r="AR28" s="311"/>
      <c r="AS28" s="311"/>
      <c r="AT28" s="311"/>
      <c r="AU28" s="311"/>
      <c r="AV28" s="367">
        <f>AW28+AX28</f>
        <v>0</v>
      </c>
      <c r="AW28" s="367">
        <f>G28*AO28</f>
        <v>0</v>
      </c>
      <c r="AX28" s="367">
        <f>G28*AP28</f>
        <v>0</v>
      </c>
      <c r="AY28" s="369" t="s">
        <v>498</v>
      </c>
      <c r="AZ28" s="369" t="s">
        <v>497</v>
      </c>
      <c r="BA28" s="351" t="s">
        <v>3</v>
      </c>
      <c r="BB28" s="311"/>
      <c r="BC28" s="367">
        <f>AW28+AX28</f>
        <v>0</v>
      </c>
      <c r="BD28" s="367">
        <f>H28/(100-BE28)*100</f>
        <v>0</v>
      </c>
      <c r="BE28" s="367">
        <v>0</v>
      </c>
      <c r="BF28" s="367">
        <f>M28</f>
        <v>0.08685546000000001</v>
      </c>
      <c r="BG28" s="311"/>
      <c r="BH28" s="367">
        <f>G28*AO28</f>
        <v>0</v>
      </c>
      <c r="BI28" s="367">
        <f>G28*AP28</f>
        <v>0</v>
      </c>
      <c r="BJ28" s="367">
        <f>G28*H28</f>
        <v>0</v>
      </c>
      <c r="BK28" s="367"/>
      <c r="BL28" s="367">
        <v>34</v>
      </c>
      <c r="BM28" s="311"/>
      <c r="BN28" s="311"/>
      <c r="BO28" s="311"/>
      <c r="BP28" s="311"/>
      <c r="BQ28" s="311"/>
      <c r="BR28" s="311"/>
      <c r="BS28" s="311"/>
      <c r="BT28" s="311"/>
      <c r="BU28" s="311"/>
    </row>
    <row r="29" spans="1:73" ht="15" customHeight="1">
      <c r="A29" s="370"/>
      <c r="B29" s="311"/>
      <c r="C29" s="311"/>
      <c r="D29" s="371" t="s">
        <v>502</v>
      </c>
      <c r="E29" s="372"/>
      <c r="F29" s="311"/>
      <c r="G29" s="373">
        <v>2.318</v>
      </c>
      <c r="H29" s="311"/>
      <c r="I29" s="311"/>
      <c r="J29" s="311"/>
      <c r="K29" s="311"/>
      <c r="L29" s="311"/>
      <c r="M29" s="311"/>
      <c r="N29" s="374"/>
      <c r="O29" s="346"/>
      <c r="P29" s="346"/>
      <c r="Q29" s="346"/>
      <c r="R29" s="346"/>
      <c r="S29" s="346"/>
      <c r="T29" s="346"/>
      <c r="U29" s="346"/>
      <c r="V29" s="346"/>
      <c r="W29" s="346"/>
      <c r="X29" s="346"/>
      <c r="Y29" s="311"/>
      <c r="Z29" s="311"/>
      <c r="AA29" s="311"/>
      <c r="AB29" s="311"/>
      <c r="AC29" s="311"/>
      <c r="AD29" s="311"/>
      <c r="AE29" s="311"/>
      <c r="AF29" s="311"/>
      <c r="AG29" s="311"/>
      <c r="AH29" s="311"/>
      <c r="AI29" s="311"/>
      <c r="AJ29" s="311"/>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row>
    <row r="30" spans="1:73" ht="15" customHeight="1">
      <c r="A30" s="365" t="s">
        <v>501</v>
      </c>
      <c r="B30" s="366" t="s">
        <v>7</v>
      </c>
      <c r="C30" s="366" t="s">
        <v>500</v>
      </c>
      <c r="D30" s="304" t="s">
        <v>499</v>
      </c>
      <c r="E30" s="304"/>
      <c r="F30" s="366" t="s">
        <v>89</v>
      </c>
      <c r="G30" s="367">
        <f>'[2]Stavební rozpočet'!G30</f>
        <v>8.2535</v>
      </c>
      <c r="H30" s="328">
        <v>0</v>
      </c>
      <c r="I30" s="367">
        <f>G30*AO30</f>
        <v>0</v>
      </c>
      <c r="J30" s="367">
        <f>G30*AP30</f>
        <v>0</v>
      </c>
      <c r="K30" s="367">
        <f>G30*H30</f>
        <v>0</v>
      </c>
      <c r="L30" s="367">
        <f>'[2]Stavební rozpočet'!L30</f>
        <v>0.08119</v>
      </c>
      <c r="M30" s="367">
        <f>G30*L30</f>
        <v>0.670101665</v>
      </c>
      <c r="N30" s="368" t="s">
        <v>36</v>
      </c>
      <c r="O30" s="346"/>
      <c r="P30" s="346"/>
      <c r="Q30" s="346"/>
      <c r="R30" s="346"/>
      <c r="S30" s="346"/>
      <c r="T30" s="346"/>
      <c r="U30" s="346"/>
      <c r="V30" s="346"/>
      <c r="W30" s="346"/>
      <c r="X30" s="346"/>
      <c r="Y30" s="311"/>
      <c r="Z30" s="367">
        <f>IF(AQ30="5",BJ30,0)</f>
        <v>0</v>
      </c>
      <c r="AA30" s="311"/>
      <c r="AB30" s="367">
        <f>IF(AQ30="1",BH30,0)</f>
        <v>0</v>
      </c>
      <c r="AC30" s="367">
        <f>IF(AQ30="1",BI30,0)</f>
        <v>0</v>
      </c>
      <c r="AD30" s="367">
        <f>IF(AQ30="7",BH30,0)</f>
        <v>0</v>
      </c>
      <c r="AE30" s="367">
        <f>IF(AQ30="7",BI30,0)</f>
        <v>0</v>
      </c>
      <c r="AF30" s="367">
        <f>IF(AQ30="2",BH30,0)</f>
        <v>0</v>
      </c>
      <c r="AG30" s="367">
        <f>IF(AQ30="2",BI30,0)</f>
        <v>0</v>
      </c>
      <c r="AH30" s="367">
        <f>IF(AQ30="0",BJ30,0)</f>
        <v>0</v>
      </c>
      <c r="AI30" s="351" t="s">
        <v>7</v>
      </c>
      <c r="AJ30" s="367">
        <f>IF(AN30=0,K30,0)</f>
        <v>0</v>
      </c>
      <c r="AK30" s="367">
        <f>IF(AN30=15,K30,0)</f>
        <v>0</v>
      </c>
      <c r="AL30" s="367">
        <f>IF(AN30=21,K30,0)</f>
        <v>0</v>
      </c>
      <c r="AM30" s="311"/>
      <c r="AN30" s="367">
        <v>21</v>
      </c>
      <c r="AO30" s="367">
        <f>H30*0.731276025909</f>
        <v>0</v>
      </c>
      <c r="AP30" s="367">
        <f>H30*(1-0.731276025909)</f>
        <v>0</v>
      </c>
      <c r="AQ30" s="369" t="s">
        <v>2</v>
      </c>
      <c r="AR30" s="311"/>
      <c r="AS30" s="311"/>
      <c r="AT30" s="311"/>
      <c r="AU30" s="311"/>
      <c r="AV30" s="367">
        <f>AW30+AX30</f>
        <v>0</v>
      </c>
      <c r="AW30" s="367">
        <f>G30*AO30</f>
        <v>0</v>
      </c>
      <c r="AX30" s="367">
        <f>G30*AP30</f>
        <v>0</v>
      </c>
      <c r="AY30" s="369" t="s">
        <v>498</v>
      </c>
      <c r="AZ30" s="369" t="s">
        <v>497</v>
      </c>
      <c r="BA30" s="351" t="s">
        <v>3</v>
      </c>
      <c r="BB30" s="311"/>
      <c r="BC30" s="367">
        <f>AW30+AX30</f>
        <v>0</v>
      </c>
      <c r="BD30" s="367">
        <f>H30/(100-BE30)*100</f>
        <v>0</v>
      </c>
      <c r="BE30" s="367">
        <v>0</v>
      </c>
      <c r="BF30" s="367">
        <f>M30</f>
        <v>0.670101665</v>
      </c>
      <c r="BG30" s="311"/>
      <c r="BH30" s="367">
        <f>G30*AO30</f>
        <v>0</v>
      </c>
      <c r="BI30" s="367">
        <f>G30*AP30</f>
        <v>0</v>
      </c>
      <c r="BJ30" s="367">
        <f>G30*H30</f>
        <v>0</v>
      </c>
      <c r="BK30" s="367"/>
      <c r="BL30" s="367">
        <v>34</v>
      </c>
      <c r="BM30" s="311"/>
      <c r="BN30" s="311"/>
      <c r="BO30" s="311"/>
      <c r="BP30" s="311"/>
      <c r="BQ30" s="311"/>
      <c r="BR30" s="311"/>
      <c r="BS30" s="311"/>
      <c r="BT30" s="311"/>
      <c r="BU30" s="311"/>
    </row>
    <row r="31" spans="1:73" ht="15" customHeight="1">
      <c r="A31" s="370"/>
      <c r="B31" s="311"/>
      <c r="C31" s="311"/>
      <c r="D31" s="371" t="s">
        <v>496</v>
      </c>
      <c r="E31" s="372"/>
      <c r="F31" s="311"/>
      <c r="G31" s="373">
        <v>4.8375</v>
      </c>
      <c r="H31" s="311"/>
      <c r="I31" s="311"/>
      <c r="J31" s="311"/>
      <c r="K31" s="311"/>
      <c r="L31" s="311"/>
      <c r="M31" s="311"/>
      <c r="N31" s="374"/>
      <c r="O31" s="346"/>
      <c r="P31" s="346"/>
      <c r="Q31" s="346"/>
      <c r="R31" s="346"/>
      <c r="S31" s="346"/>
      <c r="T31" s="346"/>
      <c r="U31" s="346"/>
      <c r="V31" s="346"/>
      <c r="W31" s="346"/>
      <c r="X31" s="346"/>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row>
    <row r="32" spans="1:73" ht="15" customHeight="1">
      <c r="A32" s="370"/>
      <c r="B32" s="311"/>
      <c r="C32" s="311"/>
      <c r="D32" s="371" t="s">
        <v>495</v>
      </c>
      <c r="E32" s="372"/>
      <c r="F32" s="311"/>
      <c r="G32" s="373">
        <v>1.7160000000000002</v>
      </c>
      <c r="H32" s="311"/>
      <c r="I32" s="311"/>
      <c r="J32" s="311"/>
      <c r="K32" s="311"/>
      <c r="L32" s="311"/>
      <c r="M32" s="311"/>
      <c r="N32" s="374"/>
      <c r="O32" s="346"/>
      <c r="P32" s="346"/>
      <c r="Q32" s="346"/>
      <c r="R32" s="346"/>
      <c r="S32" s="346"/>
      <c r="T32" s="346"/>
      <c r="U32" s="346"/>
      <c r="V32" s="346"/>
      <c r="W32" s="346"/>
      <c r="X32" s="346"/>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c r="BC32" s="311"/>
      <c r="BD32" s="311"/>
      <c r="BE32" s="311"/>
      <c r="BF32" s="311"/>
      <c r="BG32" s="311"/>
      <c r="BH32" s="311"/>
      <c r="BI32" s="311"/>
      <c r="BJ32" s="311"/>
      <c r="BK32" s="311"/>
      <c r="BL32" s="311"/>
      <c r="BM32" s="311"/>
      <c r="BN32" s="311"/>
      <c r="BO32" s="311"/>
      <c r="BP32" s="311"/>
      <c r="BQ32" s="311"/>
      <c r="BR32" s="311"/>
      <c r="BS32" s="311"/>
      <c r="BT32" s="311"/>
      <c r="BU32" s="311"/>
    </row>
    <row r="33" spans="1:73" ht="15" customHeight="1">
      <c r="A33" s="370"/>
      <c r="B33" s="311"/>
      <c r="C33" s="311"/>
      <c r="D33" s="371" t="s">
        <v>494</v>
      </c>
      <c r="E33" s="372"/>
      <c r="F33" s="311"/>
      <c r="G33" s="373">
        <v>1.7000000000000002</v>
      </c>
      <c r="H33" s="311"/>
      <c r="I33" s="311"/>
      <c r="J33" s="311"/>
      <c r="K33" s="311"/>
      <c r="L33" s="311"/>
      <c r="M33" s="311"/>
      <c r="N33" s="374"/>
      <c r="O33" s="346"/>
      <c r="P33" s="346"/>
      <c r="Q33" s="346"/>
      <c r="R33" s="346"/>
      <c r="S33" s="346"/>
      <c r="T33" s="346"/>
      <c r="U33" s="346"/>
      <c r="V33" s="346"/>
      <c r="W33" s="346"/>
      <c r="X33" s="346"/>
      <c r="Y33" s="311"/>
      <c r="Z33" s="311"/>
      <c r="AA33" s="311"/>
      <c r="AB33" s="311"/>
      <c r="AC33" s="311"/>
      <c r="AD33" s="311"/>
      <c r="AE33" s="311"/>
      <c r="AF33" s="311"/>
      <c r="AG33" s="311"/>
      <c r="AH33" s="311"/>
      <c r="AI33" s="311"/>
      <c r="AJ33" s="311"/>
      <c r="AK33" s="311"/>
      <c r="AL33" s="311"/>
      <c r="AM33" s="311"/>
      <c r="AN33" s="311"/>
      <c r="AO33" s="311"/>
      <c r="AP33" s="311"/>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row>
    <row r="34" spans="1:73" ht="15" customHeight="1">
      <c r="A34" s="360"/>
      <c r="B34" s="361" t="s">
        <v>7</v>
      </c>
      <c r="C34" s="361" t="s">
        <v>355</v>
      </c>
      <c r="D34" s="362" t="s">
        <v>493</v>
      </c>
      <c r="E34" s="362"/>
      <c r="F34" s="363" t="s">
        <v>12</v>
      </c>
      <c r="G34" s="363" t="s">
        <v>12</v>
      </c>
      <c r="H34" s="363" t="s">
        <v>12</v>
      </c>
      <c r="I34" s="347">
        <f>SUM(I35:I40)</f>
        <v>0</v>
      </c>
      <c r="J34" s="347">
        <f>SUM(J35:J40)</f>
        <v>0</v>
      </c>
      <c r="K34" s="347">
        <f>SUM(K35:K40)</f>
        <v>0</v>
      </c>
      <c r="L34" s="351"/>
      <c r="M34" s="347">
        <f>SUM(M35:M40)</f>
        <v>4.5094899999999996</v>
      </c>
      <c r="N34" s="364"/>
      <c r="O34" s="346"/>
      <c r="P34" s="346"/>
      <c r="Q34" s="346"/>
      <c r="R34" s="346"/>
      <c r="S34" s="346"/>
      <c r="T34" s="346"/>
      <c r="U34" s="346"/>
      <c r="V34" s="346"/>
      <c r="W34" s="346"/>
      <c r="X34" s="346"/>
      <c r="Y34" s="311"/>
      <c r="Z34" s="311"/>
      <c r="AA34" s="311"/>
      <c r="AB34" s="311"/>
      <c r="AC34" s="311"/>
      <c r="AD34" s="311"/>
      <c r="AE34" s="311"/>
      <c r="AF34" s="311"/>
      <c r="AG34" s="311"/>
      <c r="AH34" s="311"/>
      <c r="AI34" s="351" t="s">
        <v>7</v>
      </c>
      <c r="AJ34" s="311"/>
      <c r="AK34" s="311"/>
      <c r="AL34" s="311"/>
      <c r="AM34" s="311"/>
      <c r="AN34" s="311"/>
      <c r="AO34" s="311"/>
      <c r="AP34" s="311"/>
      <c r="AQ34" s="311"/>
      <c r="AR34" s="311"/>
      <c r="AS34" s="347">
        <f>SUM(AJ35:AJ40)</f>
        <v>0</v>
      </c>
      <c r="AT34" s="347">
        <f>SUM(AK35:AK40)</f>
        <v>0</v>
      </c>
      <c r="AU34" s="347">
        <f>SUM(AL35:AL40)</f>
        <v>0</v>
      </c>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row>
    <row r="35" spans="1:73" ht="15" customHeight="1">
      <c r="A35" s="365" t="s">
        <v>492</v>
      </c>
      <c r="B35" s="366" t="s">
        <v>7</v>
      </c>
      <c r="C35" s="366" t="s">
        <v>491</v>
      </c>
      <c r="D35" s="304" t="s">
        <v>488</v>
      </c>
      <c r="E35" s="304"/>
      <c r="F35" s="366" t="s">
        <v>73</v>
      </c>
      <c r="G35" s="367">
        <f>'[2]Stavební rozpočet'!G35</f>
        <v>110</v>
      </c>
      <c r="H35" s="328">
        <v>0</v>
      </c>
      <c r="I35" s="367">
        <f>G35*AO35</f>
        <v>0</v>
      </c>
      <c r="J35" s="367">
        <f>G35*AP35</f>
        <v>0</v>
      </c>
      <c r="K35" s="367">
        <f>G35*H35</f>
        <v>0</v>
      </c>
      <c r="L35" s="367">
        <f>'[2]Stavební rozpočet'!L35</f>
        <v>0.00475</v>
      </c>
      <c r="M35" s="367">
        <f>G35*L35</f>
        <v>0.5225</v>
      </c>
      <c r="N35" s="368" t="s">
        <v>36</v>
      </c>
      <c r="O35" s="346"/>
      <c r="P35" s="346"/>
      <c r="Q35" s="346"/>
      <c r="R35" s="346"/>
      <c r="S35" s="346"/>
      <c r="T35" s="346"/>
      <c r="U35" s="346"/>
      <c r="V35" s="346"/>
      <c r="W35" s="346"/>
      <c r="X35" s="346"/>
      <c r="Y35" s="311"/>
      <c r="Z35" s="367">
        <f>IF(AQ35="5",BJ35,0)</f>
        <v>0</v>
      </c>
      <c r="AA35" s="311"/>
      <c r="AB35" s="367">
        <f>IF(AQ35="1",BH35,0)</f>
        <v>0</v>
      </c>
      <c r="AC35" s="367">
        <f>IF(AQ35="1",BI35,0)</f>
        <v>0</v>
      </c>
      <c r="AD35" s="367">
        <f>IF(AQ35="7",BH35,0)</f>
        <v>0</v>
      </c>
      <c r="AE35" s="367">
        <f>IF(AQ35="7",BI35,0)</f>
        <v>0</v>
      </c>
      <c r="AF35" s="367">
        <f>IF(AQ35="2",BH35,0)</f>
        <v>0</v>
      </c>
      <c r="AG35" s="367">
        <f>IF(AQ35="2",BI35,0)</f>
        <v>0</v>
      </c>
      <c r="AH35" s="367">
        <f>IF(AQ35="0",BJ35,0)</f>
        <v>0</v>
      </c>
      <c r="AI35" s="351" t="s">
        <v>7</v>
      </c>
      <c r="AJ35" s="367">
        <f>IF(AN35=0,K35,0)</f>
        <v>0</v>
      </c>
      <c r="AK35" s="367">
        <f>IF(AN35=15,K35,0)</f>
        <v>0</v>
      </c>
      <c r="AL35" s="367">
        <f>IF(AN35=21,K35,0)</f>
        <v>0</v>
      </c>
      <c r="AM35" s="311"/>
      <c r="AN35" s="367">
        <v>21</v>
      </c>
      <c r="AO35" s="367">
        <f>H35*0.0275547445255474</f>
        <v>0</v>
      </c>
      <c r="AP35" s="367">
        <f>H35*(1-0.0275547445255474)</f>
        <v>0</v>
      </c>
      <c r="AQ35" s="369" t="s">
        <v>2</v>
      </c>
      <c r="AR35" s="311"/>
      <c r="AS35" s="311"/>
      <c r="AT35" s="311"/>
      <c r="AU35" s="311"/>
      <c r="AV35" s="367">
        <f>AW35+AX35</f>
        <v>0</v>
      </c>
      <c r="AW35" s="367">
        <f>G35*AO35</f>
        <v>0</v>
      </c>
      <c r="AX35" s="367">
        <f>G35*AP35</f>
        <v>0</v>
      </c>
      <c r="AY35" s="369" t="s">
        <v>482</v>
      </c>
      <c r="AZ35" s="369" t="s">
        <v>481</v>
      </c>
      <c r="BA35" s="351" t="s">
        <v>3</v>
      </c>
      <c r="BB35" s="311"/>
      <c r="BC35" s="367">
        <f>AW35+AX35</f>
        <v>0</v>
      </c>
      <c r="BD35" s="367">
        <f>H35/(100-BE35)*100</f>
        <v>0</v>
      </c>
      <c r="BE35" s="367">
        <v>0</v>
      </c>
      <c r="BF35" s="367">
        <f>M35</f>
        <v>0.5225</v>
      </c>
      <c r="BG35" s="311"/>
      <c r="BH35" s="367">
        <f>G35*AO35</f>
        <v>0</v>
      </c>
      <c r="BI35" s="367">
        <f>G35*AP35</f>
        <v>0</v>
      </c>
      <c r="BJ35" s="367">
        <f>G35*H35</f>
        <v>0</v>
      </c>
      <c r="BK35" s="367"/>
      <c r="BL35" s="367">
        <v>41</v>
      </c>
      <c r="BM35" s="311"/>
      <c r="BN35" s="311"/>
      <c r="BO35" s="311"/>
      <c r="BP35" s="311"/>
      <c r="BQ35" s="311"/>
      <c r="BR35" s="311"/>
      <c r="BS35" s="311"/>
      <c r="BT35" s="311"/>
      <c r="BU35" s="311"/>
    </row>
    <row r="36" spans="1:73" ht="15" customHeight="1">
      <c r="A36" s="370"/>
      <c r="B36" s="311"/>
      <c r="C36" s="311"/>
      <c r="D36" s="371" t="s">
        <v>490</v>
      </c>
      <c r="E36" s="372"/>
      <c r="F36" s="311"/>
      <c r="G36" s="373">
        <v>110.00000000000001</v>
      </c>
      <c r="H36" s="311"/>
      <c r="I36" s="311"/>
      <c r="J36" s="311"/>
      <c r="K36" s="311"/>
      <c r="L36" s="311"/>
      <c r="M36" s="311"/>
      <c r="N36" s="374"/>
      <c r="O36" s="346"/>
      <c r="P36" s="346"/>
      <c r="Q36" s="346"/>
      <c r="R36" s="346"/>
      <c r="S36" s="346"/>
      <c r="T36" s="346"/>
      <c r="U36" s="346"/>
      <c r="V36" s="346"/>
      <c r="W36" s="346"/>
      <c r="X36" s="346"/>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1"/>
      <c r="BR36" s="311"/>
      <c r="BS36" s="311"/>
      <c r="BT36" s="311"/>
      <c r="BU36" s="311"/>
    </row>
    <row r="37" spans="1:73" ht="15" customHeight="1">
      <c r="A37" s="365" t="s">
        <v>356</v>
      </c>
      <c r="B37" s="366" t="s">
        <v>7</v>
      </c>
      <c r="C37" s="366" t="s">
        <v>489</v>
      </c>
      <c r="D37" s="304" t="s">
        <v>488</v>
      </c>
      <c r="E37" s="304"/>
      <c r="F37" s="366" t="s">
        <v>73</v>
      </c>
      <c r="G37" s="367">
        <f>'[2]Stavební rozpočet'!G37</f>
        <v>55</v>
      </c>
      <c r="H37" s="328">
        <v>0</v>
      </c>
      <c r="I37" s="367">
        <f>G37*AO37</f>
        <v>0</v>
      </c>
      <c r="J37" s="367">
        <f>G37*AP37</f>
        <v>0</v>
      </c>
      <c r="K37" s="367">
        <f>G37*H37</f>
        <v>0</v>
      </c>
      <c r="L37" s="367">
        <f>'[2]Stavební rozpočet'!L37</f>
        <v>0.06636</v>
      </c>
      <c r="M37" s="367">
        <f>G37*L37</f>
        <v>3.6498</v>
      </c>
      <c r="N37" s="368" t="s">
        <v>36</v>
      </c>
      <c r="O37" s="346"/>
      <c r="P37" s="346"/>
      <c r="Q37" s="346"/>
      <c r="R37" s="346"/>
      <c r="S37" s="346"/>
      <c r="T37" s="346"/>
      <c r="U37" s="346"/>
      <c r="V37" s="346"/>
      <c r="W37" s="346"/>
      <c r="X37" s="346"/>
      <c r="Y37" s="311"/>
      <c r="Z37" s="367">
        <f>IF(AQ37="5",BJ37,0)</f>
        <v>0</v>
      </c>
      <c r="AA37" s="311"/>
      <c r="AB37" s="367">
        <f>IF(AQ37="1",BH37,0)</f>
        <v>0</v>
      </c>
      <c r="AC37" s="367">
        <f>IF(AQ37="1",BI37,0)</f>
        <v>0</v>
      </c>
      <c r="AD37" s="367">
        <f>IF(AQ37="7",BH37,0)</f>
        <v>0</v>
      </c>
      <c r="AE37" s="367">
        <f>IF(AQ37="7",BI37,0)</f>
        <v>0</v>
      </c>
      <c r="AF37" s="367">
        <f>IF(AQ37="2",BH37,0)</f>
        <v>0</v>
      </c>
      <c r="AG37" s="367">
        <f>IF(AQ37="2",BI37,0)</f>
        <v>0</v>
      </c>
      <c r="AH37" s="367">
        <f>IF(AQ37="0",BJ37,0)</f>
        <v>0</v>
      </c>
      <c r="AI37" s="351" t="s">
        <v>7</v>
      </c>
      <c r="AJ37" s="367">
        <f>IF(AN37=0,K37,0)</f>
        <v>0</v>
      </c>
      <c r="AK37" s="367">
        <f>IF(AN37=15,K37,0)</f>
        <v>0</v>
      </c>
      <c r="AL37" s="367">
        <f>IF(AN37=21,K37,0)</f>
        <v>0</v>
      </c>
      <c r="AM37" s="311"/>
      <c r="AN37" s="367">
        <v>21</v>
      </c>
      <c r="AO37" s="367">
        <f>H37*0.608558823529412</f>
        <v>0</v>
      </c>
      <c r="AP37" s="367">
        <f>H37*(1-0.608558823529412)</f>
        <v>0</v>
      </c>
      <c r="AQ37" s="369" t="s">
        <v>2</v>
      </c>
      <c r="AR37" s="311"/>
      <c r="AS37" s="311"/>
      <c r="AT37" s="311"/>
      <c r="AU37" s="311"/>
      <c r="AV37" s="367">
        <f>AW37+AX37</f>
        <v>0</v>
      </c>
      <c r="AW37" s="367">
        <f>G37*AO37</f>
        <v>0</v>
      </c>
      <c r="AX37" s="367">
        <f>G37*AP37</f>
        <v>0</v>
      </c>
      <c r="AY37" s="369" t="s">
        <v>482</v>
      </c>
      <c r="AZ37" s="369" t="s">
        <v>481</v>
      </c>
      <c r="BA37" s="351" t="s">
        <v>3</v>
      </c>
      <c r="BB37" s="311"/>
      <c r="BC37" s="367">
        <f>AW37+AX37</f>
        <v>0</v>
      </c>
      <c r="BD37" s="367">
        <f>H37/(100-BE37)*100</f>
        <v>0</v>
      </c>
      <c r="BE37" s="367">
        <v>0</v>
      </c>
      <c r="BF37" s="367">
        <f>M37</f>
        <v>3.6498</v>
      </c>
      <c r="BG37" s="311"/>
      <c r="BH37" s="367">
        <f>G37*AO37</f>
        <v>0</v>
      </c>
      <c r="BI37" s="367">
        <f>G37*AP37</f>
        <v>0</v>
      </c>
      <c r="BJ37" s="367">
        <f>G37*H37</f>
        <v>0</v>
      </c>
      <c r="BK37" s="367"/>
      <c r="BL37" s="367">
        <v>41</v>
      </c>
      <c r="BM37" s="311"/>
      <c r="BN37" s="311"/>
      <c r="BO37" s="311"/>
      <c r="BP37" s="311"/>
      <c r="BQ37" s="311"/>
      <c r="BR37" s="311"/>
      <c r="BS37" s="311"/>
      <c r="BT37" s="311"/>
      <c r="BU37" s="311"/>
    </row>
    <row r="38" spans="1:73" ht="13.5" customHeight="1">
      <c r="A38" s="370"/>
      <c r="B38" s="311"/>
      <c r="C38" s="311"/>
      <c r="D38" s="375" t="s">
        <v>487</v>
      </c>
      <c r="E38" s="375"/>
      <c r="F38" s="375"/>
      <c r="G38" s="375"/>
      <c r="H38" s="375"/>
      <c r="I38" s="375"/>
      <c r="J38" s="375"/>
      <c r="K38" s="375"/>
      <c r="L38" s="375"/>
      <c r="M38" s="375"/>
      <c r="N38" s="375"/>
      <c r="O38" s="346"/>
      <c r="P38" s="346"/>
      <c r="Q38" s="346"/>
      <c r="R38" s="346"/>
      <c r="S38" s="346"/>
      <c r="T38" s="346"/>
      <c r="U38" s="346"/>
      <c r="V38" s="346"/>
      <c r="W38" s="346"/>
      <c r="X38" s="346"/>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row>
    <row r="39" spans="1:73" ht="15" customHeight="1">
      <c r="A39" s="370"/>
      <c r="B39" s="311"/>
      <c r="C39" s="311"/>
      <c r="D39" s="371" t="s">
        <v>486</v>
      </c>
      <c r="E39" s="372"/>
      <c r="F39" s="311"/>
      <c r="G39" s="373">
        <v>55.00000000000001</v>
      </c>
      <c r="H39" s="311"/>
      <c r="I39" s="311"/>
      <c r="J39" s="311"/>
      <c r="K39" s="311"/>
      <c r="L39" s="311"/>
      <c r="M39" s="311"/>
      <c r="N39" s="374"/>
      <c r="O39" s="346"/>
      <c r="P39" s="346"/>
      <c r="Q39" s="346"/>
      <c r="R39" s="346"/>
      <c r="S39" s="346"/>
      <c r="T39" s="346"/>
      <c r="U39" s="346"/>
      <c r="V39" s="346"/>
      <c r="W39" s="346"/>
      <c r="X39" s="346"/>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1"/>
      <c r="BR39" s="311"/>
      <c r="BS39" s="311"/>
      <c r="BT39" s="311"/>
      <c r="BU39" s="311"/>
    </row>
    <row r="40" spans="1:73" ht="15" customHeight="1">
      <c r="A40" s="365" t="s">
        <v>485</v>
      </c>
      <c r="B40" s="366" t="s">
        <v>7</v>
      </c>
      <c r="C40" s="366" t="s">
        <v>484</v>
      </c>
      <c r="D40" s="304" t="s">
        <v>483</v>
      </c>
      <c r="E40" s="304"/>
      <c r="F40" s="366" t="s">
        <v>79</v>
      </c>
      <c r="G40" s="367">
        <f>'[2]Stavební rozpočet'!G39</f>
        <v>0.125</v>
      </c>
      <c r="H40" s="328">
        <v>0</v>
      </c>
      <c r="I40" s="367">
        <f>G40*AO40</f>
        <v>0</v>
      </c>
      <c r="J40" s="367">
        <f>G40*AP40</f>
        <v>0</v>
      </c>
      <c r="K40" s="367">
        <f>G40*H40</f>
        <v>0</v>
      </c>
      <c r="L40" s="367">
        <f>'[2]Stavební rozpočet'!L39</f>
        <v>2.69752</v>
      </c>
      <c r="M40" s="367">
        <f>G40*L40</f>
        <v>0.33719</v>
      </c>
      <c r="N40" s="368" t="s">
        <v>36</v>
      </c>
      <c r="O40" s="346"/>
      <c r="P40" s="346"/>
      <c r="Q40" s="346"/>
      <c r="R40" s="346"/>
      <c r="S40" s="346"/>
      <c r="T40" s="346"/>
      <c r="U40" s="346"/>
      <c r="V40" s="346"/>
      <c r="W40" s="346"/>
      <c r="X40" s="346"/>
      <c r="Y40" s="311"/>
      <c r="Z40" s="367">
        <f>IF(AQ40="5",BJ40,0)</f>
        <v>0</v>
      </c>
      <c r="AA40" s="311"/>
      <c r="AB40" s="367">
        <f>IF(AQ40="1",BH40,0)</f>
        <v>0</v>
      </c>
      <c r="AC40" s="367">
        <f>IF(AQ40="1",BI40,0)</f>
        <v>0</v>
      </c>
      <c r="AD40" s="367">
        <f>IF(AQ40="7",BH40,0)</f>
        <v>0</v>
      </c>
      <c r="AE40" s="367">
        <f>IF(AQ40="7",BI40,0)</f>
        <v>0</v>
      </c>
      <c r="AF40" s="367">
        <f>IF(AQ40="2",BH40,0)</f>
        <v>0</v>
      </c>
      <c r="AG40" s="367">
        <f>IF(AQ40="2",BI40,0)</f>
        <v>0</v>
      </c>
      <c r="AH40" s="367">
        <f>IF(AQ40="0",BJ40,0)</f>
        <v>0</v>
      </c>
      <c r="AI40" s="351" t="s">
        <v>7</v>
      </c>
      <c r="AJ40" s="367">
        <f>IF(AN40=0,K40,0)</f>
        <v>0</v>
      </c>
      <c r="AK40" s="367">
        <f>IF(AN40=15,K40,0)</f>
        <v>0</v>
      </c>
      <c r="AL40" s="367">
        <f>IF(AN40=21,K40,0)</f>
        <v>0</v>
      </c>
      <c r="AM40" s="311"/>
      <c r="AN40" s="367">
        <v>21</v>
      </c>
      <c r="AO40" s="367">
        <f>H40*0.450812757201646</f>
        <v>0</v>
      </c>
      <c r="AP40" s="367">
        <f>H40*(1-0.450812757201646)</f>
        <v>0</v>
      </c>
      <c r="AQ40" s="369" t="s">
        <v>2</v>
      </c>
      <c r="AR40" s="311"/>
      <c r="AS40" s="311"/>
      <c r="AT40" s="311"/>
      <c r="AU40" s="311"/>
      <c r="AV40" s="367">
        <f>AW40+AX40</f>
        <v>0</v>
      </c>
      <c r="AW40" s="367">
        <f>G40*AO40</f>
        <v>0</v>
      </c>
      <c r="AX40" s="367">
        <f>G40*AP40</f>
        <v>0</v>
      </c>
      <c r="AY40" s="369" t="s">
        <v>482</v>
      </c>
      <c r="AZ40" s="369" t="s">
        <v>481</v>
      </c>
      <c r="BA40" s="351" t="s">
        <v>3</v>
      </c>
      <c r="BB40" s="311"/>
      <c r="BC40" s="367">
        <f>AW40+AX40</f>
        <v>0</v>
      </c>
      <c r="BD40" s="367">
        <f>H40/(100-BE40)*100</f>
        <v>0</v>
      </c>
      <c r="BE40" s="367">
        <v>0</v>
      </c>
      <c r="BF40" s="367">
        <f>M40</f>
        <v>0.33719</v>
      </c>
      <c r="BG40" s="311"/>
      <c r="BH40" s="367">
        <f>G40*AO40</f>
        <v>0</v>
      </c>
      <c r="BI40" s="367">
        <f>G40*AP40</f>
        <v>0</v>
      </c>
      <c r="BJ40" s="367">
        <f>G40*H40</f>
        <v>0</v>
      </c>
      <c r="BK40" s="367"/>
      <c r="BL40" s="367">
        <v>41</v>
      </c>
      <c r="BM40" s="311"/>
      <c r="BN40" s="311"/>
      <c r="BO40" s="311"/>
      <c r="BP40" s="311"/>
      <c r="BQ40" s="311"/>
      <c r="BR40" s="311"/>
      <c r="BS40" s="311"/>
      <c r="BT40" s="311"/>
      <c r="BU40" s="311"/>
    </row>
    <row r="41" spans="1:73" ht="15" customHeight="1">
      <c r="A41" s="370"/>
      <c r="B41" s="311"/>
      <c r="C41" s="311"/>
      <c r="D41" s="371" t="s">
        <v>480</v>
      </c>
      <c r="E41" s="372"/>
      <c r="F41" s="311"/>
      <c r="G41" s="373">
        <v>0.125</v>
      </c>
      <c r="H41" s="311"/>
      <c r="I41" s="311"/>
      <c r="J41" s="311"/>
      <c r="K41" s="311"/>
      <c r="L41" s="311"/>
      <c r="M41" s="311"/>
      <c r="N41" s="374"/>
      <c r="O41" s="346"/>
      <c r="P41" s="346"/>
      <c r="Q41" s="346"/>
      <c r="R41" s="346"/>
      <c r="S41" s="346"/>
      <c r="T41" s="346"/>
      <c r="U41" s="346"/>
      <c r="V41" s="346"/>
      <c r="W41" s="346"/>
      <c r="X41" s="346"/>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1"/>
      <c r="BR41" s="311"/>
      <c r="BS41" s="311"/>
      <c r="BT41" s="311"/>
      <c r="BU41" s="311"/>
    </row>
    <row r="42" spans="1:73" ht="15" customHeight="1">
      <c r="A42" s="360"/>
      <c r="B42" s="361" t="s">
        <v>7</v>
      </c>
      <c r="C42" s="361" t="s">
        <v>270</v>
      </c>
      <c r="D42" s="362" t="s">
        <v>479</v>
      </c>
      <c r="E42" s="362"/>
      <c r="F42" s="363" t="s">
        <v>12</v>
      </c>
      <c r="G42" s="363" t="s">
        <v>12</v>
      </c>
      <c r="H42" s="363" t="s">
        <v>12</v>
      </c>
      <c r="I42" s="347">
        <f>SUM(I43:I68)</f>
        <v>0</v>
      </c>
      <c r="J42" s="347">
        <f>SUM(J43:J68)</f>
        <v>0</v>
      </c>
      <c r="K42" s="347">
        <f>SUM(K43:K68)</f>
        <v>0</v>
      </c>
      <c r="L42" s="351"/>
      <c r="M42" s="347">
        <f>SUM(M43:M68)</f>
        <v>9.982023794</v>
      </c>
      <c r="N42" s="364"/>
      <c r="O42" s="346"/>
      <c r="P42" s="346"/>
      <c r="Q42" s="346"/>
      <c r="R42" s="346"/>
      <c r="S42" s="346"/>
      <c r="T42" s="346"/>
      <c r="U42" s="346"/>
      <c r="V42" s="346"/>
      <c r="W42" s="346"/>
      <c r="X42" s="346"/>
      <c r="Y42" s="311"/>
      <c r="Z42" s="311"/>
      <c r="AA42" s="311"/>
      <c r="AB42" s="311"/>
      <c r="AC42" s="311"/>
      <c r="AD42" s="311"/>
      <c r="AE42" s="311"/>
      <c r="AF42" s="311"/>
      <c r="AG42" s="311"/>
      <c r="AH42" s="311"/>
      <c r="AI42" s="351" t="s">
        <v>7</v>
      </c>
      <c r="AJ42" s="311"/>
      <c r="AK42" s="311"/>
      <c r="AL42" s="311"/>
      <c r="AM42" s="311"/>
      <c r="AN42" s="311"/>
      <c r="AO42" s="311"/>
      <c r="AP42" s="311"/>
      <c r="AQ42" s="311"/>
      <c r="AR42" s="311"/>
      <c r="AS42" s="347">
        <f>SUM(AJ43:AJ68)</f>
        <v>0</v>
      </c>
      <c r="AT42" s="347">
        <f>SUM(AK43:AK68)</f>
        <v>0</v>
      </c>
      <c r="AU42" s="347">
        <f>SUM(AL43:AL68)</f>
        <v>0</v>
      </c>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1"/>
      <c r="BR42" s="311"/>
      <c r="BS42" s="311"/>
      <c r="BT42" s="311"/>
      <c r="BU42" s="311"/>
    </row>
    <row r="43" spans="1:73" ht="15" customHeight="1">
      <c r="A43" s="365" t="s">
        <v>478</v>
      </c>
      <c r="B43" s="366" t="s">
        <v>7</v>
      </c>
      <c r="C43" s="366" t="s">
        <v>477</v>
      </c>
      <c r="D43" s="304" t="s">
        <v>476</v>
      </c>
      <c r="E43" s="304"/>
      <c r="F43" s="366" t="s">
        <v>89</v>
      </c>
      <c r="G43" s="367">
        <f>'[2]Stavební rozpočet'!G42</f>
        <v>571.6906</v>
      </c>
      <c r="H43" s="328">
        <v>0</v>
      </c>
      <c r="I43" s="367">
        <f>G43*AO43</f>
        <v>0</v>
      </c>
      <c r="J43" s="367">
        <f>G43*AP43</f>
        <v>0</v>
      </c>
      <c r="K43" s="367">
        <f>G43*H43</f>
        <v>0</v>
      </c>
      <c r="L43" s="367">
        <f>'[2]Stavební rozpočet'!L42</f>
        <v>0.01574</v>
      </c>
      <c r="M43" s="367">
        <f>G43*L43</f>
        <v>8.998410044</v>
      </c>
      <c r="N43" s="368" t="s">
        <v>36</v>
      </c>
      <c r="O43" s="346"/>
      <c r="P43" s="346"/>
      <c r="Q43" s="346"/>
      <c r="R43" s="346"/>
      <c r="S43" s="346"/>
      <c r="T43" s="346"/>
      <c r="U43" s="346"/>
      <c r="V43" s="346"/>
      <c r="W43" s="346"/>
      <c r="X43" s="346"/>
      <c r="Y43" s="311"/>
      <c r="Z43" s="367">
        <f>IF(AQ43="5",BJ43,0)</f>
        <v>0</v>
      </c>
      <c r="AA43" s="311"/>
      <c r="AB43" s="367">
        <f>IF(AQ43="1",BH43,0)</f>
        <v>0</v>
      </c>
      <c r="AC43" s="367">
        <f>IF(AQ43="1",BI43,0)</f>
        <v>0</v>
      </c>
      <c r="AD43" s="367">
        <f>IF(AQ43="7",BH43,0)</f>
        <v>0</v>
      </c>
      <c r="AE43" s="367">
        <f>IF(AQ43="7",BI43,0)</f>
        <v>0</v>
      </c>
      <c r="AF43" s="367">
        <f>IF(AQ43="2",BH43,0)</f>
        <v>0</v>
      </c>
      <c r="AG43" s="367">
        <f>IF(AQ43="2",BI43,0)</f>
        <v>0</v>
      </c>
      <c r="AH43" s="367">
        <f>IF(AQ43="0",BJ43,0)</f>
        <v>0</v>
      </c>
      <c r="AI43" s="351" t="s">
        <v>7</v>
      </c>
      <c r="AJ43" s="367">
        <f>IF(AN43=0,K43,0)</f>
        <v>0</v>
      </c>
      <c r="AK43" s="367">
        <f>IF(AN43=15,K43,0)</f>
        <v>0</v>
      </c>
      <c r="AL43" s="367">
        <f>IF(AN43=21,K43,0)</f>
        <v>0</v>
      </c>
      <c r="AM43" s="311"/>
      <c r="AN43" s="367">
        <v>21</v>
      </c>
      <c r="AO43" s="367">
        <f>H43*0.168537859269059</f>
        <v>0</v>
      </c>
      <c r="AP43" s="367">
        <f>H43*(1-0.168537859269059)</f>
        <v>0</v>
      </c>
      <c r="AQ43" s="369" t="s">
        <v>2</v>
      </c>
      <c r="AR43" s="311"/>
      <c r="AS43" s="311"/>
      <c r="AT43" s="311"/>
      <c r="AU43" s="311"/>
      <c r="AV43" s="367">
        <f>AW43+AX43</f>
        <v>0</v>
      </c>
      <c r="AW43" s="367">
        <f>G43*AO43</f>
        <v>0</v>
      </c>
      <c r="AX43" s="367">
        <f>G43*AP43</f>
        <v>0</v>
      </c>
      <c r="AY43" s="369" t="s">
        <v>465</v>
      </c>
      <c r="AZ43" s="369" t="s">
        <v>398</v>
      </c>
      <c r="BA43" s="351" t="s">
        <v>3</v>
      </c>
      <c r="BB43" s="311"/>
      <c r="BC43" s="367">
        <f>AW43+AX43</f>
        <v>0</v>
      </c>
      <c r="BD43" s="367">
        <f>H43/(100-BE43)*100</f>
        <v>0</v>
      </c>
      <c r="BE43" s="367">
        <v>0</v>
      </c>
      <c r="BF43" s="367">
        <f>M43</f>
        <v>8.998410044</v>
      </c>
      <c r="BG43" s="311"/>
      <c r="BH43" s="367">
        <f>G43*AO43</f>
        <v>0</v>
      </c>
      <c r="BI43" s="367">
        <f>G43*AP43</f>
        <v>0</v>
      </c>
      <c r="BJ43" s="367">
        <f>G43*H43</f>
        <v>0</v>
      </c>
      <c r="BK43" s="367"/>
      <c r="BL43" s="367">
        <v>61</v>
      </c>
      <c r="BM43" s="311"/>
      <c r="BN43" s="311"/>
      <c r="BO43" s="311"/>
      <c r="BP43" s="311"/>
      <c r="BQ43" s="311"/>
      <c r="BR43" s="311"/>
      <c r="BS43" s="311"/>
      <c r="BT43" s="311"/>
      <c r="BU43" s="311"/>
    </row>
    <row r="44" spans="1:73" ht="15" customHeight="1">
      <c r="A44" s="370"/>
      <c r="B44" s="311"/>
      <c r="C44" s="311"/>
      <c r="D44" s="371" t="s">
        <v>217</v>
      </c>
      <c r="E44" s="372"/>
      <c r="F44" s="311"/>
      <c r="G44" s="373">
        <v>64.456</v>
      </c>
      <c r="H44" s="311"/>
      <c r="I44" s="311"/>
      <c r="J44" s="311"/>
      <c r="K44" s="311"/>
      <c r="L44" s="311"/>
      <c r="M44" s="311"/>
      <c r="N44" s="374"/>
      <c r="O44" s="346"/>
      <c r="P44" s="346"/>
      <c r="Q44" s="346"/>
      <c r="R44" s="346"/>
      <c r="S44" s="346"/>
      <c r="T44" s="346"/>
      <c r="U44" s="346"/>
      <c r="V44" s="346"/>
      <c r="W44" s="346"/>
      <c r="X44" s="346"/>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1"/>
      <c r="BR44" s="311"/>
      <c r="BS44" s="311"/>
      <c r="BT44" s="311"/>
      <c r="BU44" s="311"/>
    </row>
    <row r="45" spans="1:73" ht="15" customHeight="1">
      <c r="A45" s="370"/>
      <c r="B45" s="311"/>
      <c r="C45" s="311"/>
      <c r="D45" s="371" t="s">
        <v>216</v>
      </c>
      <c r="E45" s="372"/>
      <c r="F45" s="311"/>
      <c r="G45" s="373">
        <v>76.27000000000001</v>
      </c>
      <c r="H45" s="311"/>
      <c r="I45" s="311"/>
      <c r="J45" s="311"/>
      <c r="K45" s="311"/>
      <c r="L45" s="311"/>
      <c r="M45" s="311"/>
      <c r="N45" s="374"/>
      <c r="O45" s="346"/>
      <c r="P45" s="346"/>
      <c r="Q45" s="346"/>
      <c r="R45" s="346"/>
      <c r="S45" s="346"/>
      <c r="T45" s="346"/>
      <c r="U45" s="346"/>
      <c r="V45" s="346"/>
      <c r="W45" s="346"/>
      <c r="X45" s="346"/>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1"/>
      <c r="BR45" s="311"/>
      <c r="BS45" s="311"/>
      <c r="BT45" s="311"/>
      <c r="BU45" s="311"/>
    </row>
    <row r="46" spans="1:73" ht="15" customHeight="1">
      <c r="A46" s="370"/>
      <c r="B46" s="311"/>
      <c r="C46" s="311"/>
      <c r="D46" s="371" t="s">
        <v>215</v>
      </c>
      <c r="E46" s="372"/>
      <c r="F46" s="311"/>
      <c r="G46" s="373">
        <v>66.41600000000001</v>
      </c>
      <c r="H46" s="311"/>
      <c r="I46" s="311"/>
      <c r="J46" s="311"/>
      <c r="K46" s="311"/>
      <c r="L46" s="311"/>
      <c r="M46" s="311"/>
      <c r="N46" s="374"/>
      <c r="O46" s="346"/>
      <c r="P46" s="346"/>
      <c r="Q46" s="346"/>
      <c r="R46" s="346"/>
      <c r="S46" s="346"/>
      <c r="T46" s="346"/>
      <c r="U46" s="346"/>
      <c r="V46" s="346"/>
      <c r="W46" s="346"/>
      <c r="X46" s="346"/>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1"/>
      <c r="BR46" s="311"/>
      <c r="BS46" s="311"/>
      <c r="BT46" s="311"/>
      <c r="BU46" s="311"/>
    </row>
    <row r="47" spans="1:73" ht="15" customHeight="1">
      <c r="A47" s="370"/>
      <c r="B47" s="311"/>
      <c r="C47" s="311"/>
      <c r="D47" s="371" t="s">
        <v>214</v>
      </c>
      <c r="E47" s="372"/>
      <c r="F47" s="311"/>
      <c r="G47" s="373">
        <v>8.092</v>
      </c>
      <c r="H47" s="311"/>
      <c r="I47" s="311"/>
      <c r="J47" s="311"/>
      <c r="K47" s="311"/>
      <c r="L47" s="311"/>
      <c r="M47" s="311"/>
      <c r="N47" s="374"/>
      <c r="O47" s="346"/>
      <c r="P47" s="346"/>
      <c r="Q47" s="346"/>
      <c r="R47" s="346"/>
      <c r="S47" s="346"/>
      <c r="T47" s="346"/>
      <c r="U47" s="346"/>
      <c r="V47" s="346"/>
      <c r="W47" s="346"/>
      <c r="X47" s="346"/>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1"/>
      <c r="BR47" s="311"/>
      <c r="BS47" s="311"/>
      <c r="BT47" s="311"/>
      <c r="BU47" s="311"/>
    </row>
    <row r="48" spans="1:73" ht="15" customHeight="1">
      <c r="A48" s="370"/>
      <c r="B48" s="311"/>
      <c r="C48" s="311"/>
      <c r="D48" s="371" t="s">
        <v>213</v>
      </c>
      <c r="E48" s="372"/>
      <c r="F48" s="311"/>
      <c r="G48" s="373">
        <v>15.625000000000002</v>
      </c>
      <c r="H48" s="311"/>
      <c r="I48" s="311"/>
      <c r="J48" s="311"/>
      <c r="K48" s="311"/>
      <c r="L48" s="311"/>
      <c r="M48" s="311"/>
      <c r="N48" s="374"/>
      <c r="O48" s="346"/>
      <c r="P48" s="346"/>
      <c r="Q48" s="346"/>
      <c r="R48" s="346"/>
      <c r="S48" s="346"/>
      <c r="T48" s="346"/>
      <c r="U48" s="346"/>
      <c r="V48" s="346"/>
      <c r="W48" s="346"/>
      <c r="X48" s="346"/>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row>
    <row r="49" spans="1:73" ht="15" customHeight="1">
      <c r="A49" s="370"/>
      <c r="B49" s="311"/>
      <c r="C49" s="311"/>
      <c r="D49" s="371" t="s">
        <v>212</v>
      </c>
      <c r="E49" s="372"/>
      <c r="F49" s="311"/>
      <c r="G49" s="373">
        <v>17.766000000000002</v>
      </c>
      <c r="H49" s="311"/>
      <c r="I49" s="311"/>
      <c r="J49" s="311"/>
      <c r="K49" s="311"/>
      <c r="L49" s="311"/>
      <c r="M49" s="311"/>
      <c r="N49" s="374"/>
      <c r="O49" s="346"/>
      <c r="P49" s="346"/>
      <c r="Q49" s="346"/>
      <c r="R49" s="346"/>
      <c r="S49" s="346"/>
      <c r="T49" s="346"/>
      <c r="U49" s="346"/>
      <c r="V49" s="346"/>
      <c r="W49" s="346"/>
      <c r="X49" s="346"/>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row>
    <row r="50" spans="1:73" ht="15" customHeight="1">
      <c r="A50" s="370"/>
      <c r="B50" s="311"/>
      <c r="C50" s="311"/>
      <c r="D50" s="371" t="s">
        <v>211</v>
      </c>
      <c r="E50" s="372"/>
      <c r="F50" s="311"/>
      <c r="G50" s="373">
        <v>14.346000000000002</v>
      </c>
      <c r="H50" s="311"/>
      <c r="I50" s="311"/>
      <c r="J50" s="311"/>
      <c r="K50" s="311"/>
      <c r="L50" s="311"/>
      <c r="M50" s="311"/>
      <c r="N50" s="374"/>
      <c r="O50" s="346"/>
      <c r="P50" s="346"/>
      <c r="Q50" s="346"/>
      <c r="R50" s="346"/>
      <c r="S50" s="346"/>
      <c r="T50" s="346"/>
      <c r="U50" s="346"/>
      <c r="V50" s="346"/>
      <c r="W50" s="346"/>
      <c r="X50" s="346"/>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1"/>
      <c r="BR50" s="311"/>
      <c r="BS50" s="311"/>
      <c r="BT50" s="311"/>
      <c r="BU50" s="311"/>
    </row>
    <row r="51" spans="1:73" ht="15" customHeight="1">
      <c r="A51" s="370"/>
      <c r="B51" s="311"/>
      <c r="C51" s="311"/>
      <c r="D51" s="371" t="s">
        <v>210</v>
      </c>
      <c r="E51" s="372"/>
      <c r="F51" s="311"/>
      <c r="G51" s="373">
        <v>11.190000000000001</v>
      </c>
      <c r="H51" s="311"/>
      <c r="I51" s="311"/>
      <c r="J51" s="311"/>
      <c r="K51" s="311"/>
      <c r="L51" s="311"/>
      <c r="M51" s="311"/>
      <c r="N51" s="374"/>
      <c r="O51" s="346"/>
      <c r="P51" s="346"/>
      <c r="Q51" s="346"/>
      <c r="R51" s="346"/>
      <c r="S51" s="346"/>
      <c r="T51" s="346"/>
      <c r="U51" s="346"/>
      <c r="V51" s="346"/>
      <c r="W51" s="346"/>
      <c r="X51" s="346"/>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1"/>
      <c r="BR51" s="311"/>
      <c r="BS51" s="311"/>
      <c r="BT51" s="311"/>
      <c r="BU51" s="311"/>
    </row>
    <row r="52" spans="1:73" ht="15" customHeight="1">
      <c r="A52" s="370"/>
      <c r="B52" s="311"/>
      <c r="C52" s="311"/>
      <c r="D52" s="371" t="s">
        <v>209</v>
      </c>
      <c r="E52" s="372"/>
      <c r="F52" s="311"/>
      <c r="G52" s="373">
        <v>18.844</v>
      </c>
      <c r="H52" s="311"/>
      <c r="I52" s="311"/>
      <c r="J52" s="311"/>
      <c r="K52" s="311"/>
      <c r="L52" s="311"/>
      <c r="M52" s="311"/>
      <c r="N52" s="374"/>
      <c r="O52" s="346"/>
      <c r="P52" s="346"/>
      <c r="Q52" s="346"/>
      <c r="R52" s="346"/>
      <c r="S52" s="346"/>
      <c r="T52" s="346"/>
      <c r="U52" s="346"/>
      <c r="V52" s="346"/>
      <c r="W52" s="346"/>
      <c r="X52" s="346"/>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1"/>
      <c r="BR52" s="311"/>
      <c r="BS52" s="311"/>
      <c r="BT52" s="311"/>
      <c r="BU52" s="311"/>
    </row>
    <row r="53" spans="1:73" ht="15" customHeight="1">
      <c r="A53" s="370"/>
      <c r="B53" s="311"/>
      <c r="C53" s="311"/>
      <c r="D53" s="371" t="s">
        <v>208</v>
      </c>
      <c r="E53" s="372"/>
      <c r="F53" s="311"/>
      <c r="G53" s="373">
        <v>45.53</v>
      </c>
      <c r="H53" s="311"/>
      <c r="I53" s="311"/>
      <c r="J53" s="311"/>
      <c r="K53" s="311"/>
      <c r="L53" s="311"/>
      <c r="M53" s="311"/>
      <c r="N53" s="374"/>
      <c r="O53" s="346"/>
      <c r="P53" s="346"/>
      <c r="Q53" s="346"/>
      <c r="R53" s="346"/>
      <c r="S53" s="346"/>
      <c r="T53" s="346"/>
      <c r="U53" s="346"/>
      <c r="V53" s="346"/>
      <c r="W53" s="346"/>
      <c r="X53" s="346"/>
      <c r="Y53" s="311"/>
      <c r="Z53" s="311"/>
      <c r="AA53" s="311"/>
      <c r="AB53" s="311"/>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11"/>
      <c r="BS53" s="311"/>
      <c r="BT53" s="311"/>
      <c r="BU53" s="311"/>
    </row>
    <row r="54" spans="1:73" ht="15" customHeight="1">
      <c r="A54" s="370"/>
      <c r="B54" s="311"/>
      <c r="C54" s="311"/>
      <c r="D54" s="371" t="s">
        <v>207</v>
      </c>
      <c r="E54" s="372"/>
      <c r="F54" s="311"/>
      <c r="G54" s="373">
        <v>57.666000000000004</v>
      </c>
      <c r="H54" s="311"/>
      <c r="I54" s="311"/>
      <c r="J54" s="311"/>
      <c r="K54" s="311"/>
      <c r="L54" s="311"/>
      <c r="M54" s="311"/>
      <c r="N54" s="374"/>
      <c r="O54" s="346"/>
      <c r="P54" s="346"/>
      <c r="Q54" s="346"/>
      <c r="R54" s="346"/>
      <c r="S54" s="346"/>
      <c r="T54" s="346"/>
      <c r="U54" s="346"/>
      <c r="V54" s="346"/>
      <c r="W54" s="346"/>
      <c r="X54" s="346"/>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11"/>
      <c r="BS54" s="311"/>
      <c r="BT54" s="311"/>
      <c r="BU54" s="311"/>
    </row>
    <row r="55" spans="1:73" ht="15" customHeight="1">
      <c r="A55" s="370"/>
      <c r="B55" s="311"/>
      <c r="C55" s="311"/>
      <c r="D55" s="371" t="s">
        <v>206</v>
      </c>
      <c r="E55" s="372"/>
      <c r="F55" s="311"/>
      <c r="G55" s="373">
        <v>36.092000000000006</v>
      </c>
      <c r="H55" s="311"/>
      <c r="I55" s="311"/>
      <c r="J55" s="311"/>
      <c r="K55" s="311"/>
      <c r="L55" s="311"/>
      <c r="M55" s="311"/>
      <c r="N55" s="374"/>
      <c r="O55" s="346"/>
      <c r="P55" s="346"/>
      <c r="Q55" s="346"/>
      <c r="R55" s="346"/>
      <c r="S55" s="346"/>
      <c r="T55" s="346"/>
      <c r="U55" s="346"/>
      <c r="V55" s="346"/>
      <c r="W55" s="346"/>
      <c r="X55" s="346"/>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11"/>
      <c r="BS55" s="311"/>
      <c r="BT55" s="311"/>
      <c r="BU55" s="311"/>
    </row>
    <row r="56" spans="1:73" ht="15" customHeight="1">
      <c r="A56" s="370"/>
      <c r="B56" s="311"/>
      <c r="C56" s="311"/>
      <c r="D56" s="371" t="s">
        <v>205</v>
      </c>
      <c r="E56" s="372"/>
      <c r="F56" s="311"/>
      <c r="G56" s="373">
        <v>2.016</v>
      </c>
      <c r="H56" s="311"/>
      <c r="I56" s="311"/>
      <c r="J56" s="311"/>
      <c r="K56" s="311"/>
      <c r="L56" s="311"/>
      <c r="M56" s="311"/>
      <c r="N56" s="374"/>
      <c r="O56" s="346"/>
      <c r="P56" s="346"/>
      <c r="Q56" s="346"/>
      <c r="R56" s="346"/>
      <c r="S56" s="346"/>
      <c r="T56" s="346"/>
      <c r="U56" s="346"/>
      <c r="V56" s="346"/>
      <c r="W56" s="346"/>
      <c r="X56" s="346"/>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row>
    <row r="57" spans="1:73" ht="15" customHeight="1">
      <c r="A57" s="370"/>
      <c r="B57" s="311"/>
      <c r="C57" s="311"/>
      <c r="D57" s="371" t="s">
        <v>192</v>
      </c>
      <c r="E57" s="372"/>
      <c r="F57" s="311"/>
      <c r="G57" s="373">
        <v>63.2792</v>
      </c>
      <c r="H57" s="311"/>
      <c r="I57" s="311"/>
      <c r="J57" s="311"/>
      <c r="K57" s="311"/>
      <c r="L57" s="311"/>
      <c r="M57" s="311"/>
      <c r="N57" s="374"/>
      <c r="O57" s="346"/>
      <c r="P57" s="346"/>
      <c r="Q57" s="346"/>
      <c r="R57" s="346"/>
      <c r="S57" s="346"/>
      <c r="T57" s="346"/>
      <c r="U57" s="346"/>
      <c r="V57" s="346"/>
      <c r="W57" s="346"/>
      <c r="X57" s="346"/>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11"/>
      <c r="BS57" s="311"/>
      <c r="BT57" s="311"/>
      <c r="BU57" s="311"/>
    </row>
    <row r="58" spans="1:73" ht="15" customHeight="1">
      <c r="A58" s="370"/>
      <c r="B58" s="311"/>
      <c r="C58" s="311"/>
      <c r="D58" s="371" t="s">
        <v>191</v>
      </c>
      <c r="E58" s="372"/>
      <c r="F58" s="311"/>
      <c r="G58" s="373">
        <v>26.547</v>
      </c>
      <c r="H58" s="311"/>
      <c r="I58" s="311"/>
      <c r="J58" s="311"/>
      <c r="K58" s="311"/>
      <c r="L58" s="311"/>
      <c r="M58" s="311"/>
      <c r="N58" s="374"/>
      <c r="O58" s="346"/>
      <c r="P58" s="346"/>
      <c r="Q58" s="346"/>
      <c r="R58" s="346"/>
      <c r="S58" s="346"/>
      <c r="T58" s="346"/>
      <c r="U58" s="346"/>
      <c r="V58" s="346"/>
      <c r="W58" s="346"/>
      <c r="X58" s="346"/>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c r="BP58" s="311"/>
      <c r="BQ58" s="311"/>
      <c r="BR58" s="311"/>
      <c r="BS58" s="311"/>
      <c r="BT58" s="311"/>
      <c r="BU58" s="311"/>
    </row>
    <row r="59" spans="1:73" ht="15" customHeight="1">
      <c r="A59" s="370"/>
      <c r="B59" s="311"/>
      <c r="C59" s="311"/>
      <c r="D59" s="371" t="s">
        <v>190</v>
      </c>
      <c r="E59" s="372"/>
      <c r="F59" s="311"/>
      <c r="G59" s="373">
        <v>13.0134</v>
      </c>
      <c r="H59" s="311"/>
      <c r="I59" s="311"/>
      <c r="J59" s="311"/>
      <c r="K59" s="311"/>
      <c r="L59" s="311"/>
      <c r="M59" s="311"/>
      <c r="N59" s="374"/>
      <c r="O59" s="346"/>
      <c r="P59" s="346"/>
      <c r="Q59" s="346"/>
      <c r="R59" s="346"/>
      <c r="S59" s="346"/>
      <c r="T59" s="346"/>
      <c r="U59" s="346"/>
      <c r="V59" s="346"/>
      <c r="W59" s="346"/>
      <c r="X59" s="346"/>
      <c r="Y59" s="311"/>
      <c r="Z59" s="311"/>
      <c r="AA59" s="311"/>
      <c r="AB59" s="311"/>
      <c r="AC59" s="311"/>
      <c r="AD59" s="311"/>
      <c r="AE59" s="311"/>
      <c r="AF59" s="311"/>
      <c r="AG59" s="311"/>
      <c r="AH59" s="311"/>
      <c r="AI59" s="311"/>
      <c r="AJ59" s="311"/>
      <c r="AK59" s="311"/>
      <c r="AL59" s="311"/>
      <c r="AM59" s="311"/>
      <c r="AN59" s="311"/>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11"/>
      <c r="BS59" s="311"/>
      <c r="BT59" s="311"/>
      <c r="BU59" s="311"/>
    </row>
    <row r="60" spans="1:73" ht="15" customHeight="1">
      <c r="A60" s="370"/>
      <c r="B60" s="311"/>
      <c r="C60" s="311"/>
      <c r="D60" s="371" t="s">
        <v>189</v>
      </c>
      <c r="E60" s="372"/>
      <c r="F60" s="311"/>
      <c r="G60" s="373">
        <v>34.542</v>
      </c>
      <c r="H60" s="311"/>
      <c r="I60" s="311"/>
      <c r="J60" s="311"/>
      <c r="K60" s="311"/>
      <c r="L60" s="311"/>
      <c r="M60" s="311"/>
      <c r="N60" s="374"/>
      <c r="O60" s="346"/>
      <c r="P60" s="346"/>
      <c r="Q60" s="346"/>
      <c r="R60" s="346"/>
      <c r="S60" s="346"/>
      <c r="T60" s="346"/>
      <c r="U60" s="346"/>
      <c r="V60" s="346"/>
      <c r="W60" s="346"/>
      <c r="X60" s="346"/>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311"/>
      <c r="BS60" s="311"/>
      <c r="BT60" s="311"/>
      <c r="BU60" s="311"/>
    </row>
    <row r="61" spans="1:73" ht="15" customHeight="1">
      <c r="A61" s="365" t="s">
        <v>475</v>
      </c>
      <c r="B61" s="366" t="s">
        <v>7</v>
      </c>
      <c r="C61" s="366" t="s">
        <v>474</v>
      </c>
      <c r="D61" s="304" t="s">
        <v>473</v>
      </c>
      <c r="E61" s="304"/>
      <c r="F61" s="366" t="s">
        <v>89</v>
      </c>
      <c r="G61" s="367">
        <f>'[2]Stavební rozpočet'!G60</f>
        <v>14.4375</v>
      </c>
      <c r="H61" s="328">
        <v>0</v>
      </c>
      <c r="I61" s="367">
        <f>G61*AO61</f>
        <v>0</v>
      </c>
      <c r="J61" s="367">
        <f>G61*AP61</f>
        <v>0</v>
      </c>
      <c r="K61" s="367">
        <f>G61*H61</f>
        <v>0</v>
      </c>
      <c r="L61" s="367">
        <f>'[2]Stavební rozpočet'!L60</f>
        <v>0.04766</v>
      </c>
      <c r="M61" s="367">
        <f>G61*L61</f>
        <v>0.68809125</v>
      </c>
      <c r="N61" s="368" t="s">
        <v>36</v>
      </c>
      <c r="O61" s="346"/>
      <c r="P61" s="346"/>
      <c r="Q61" s="346"/>
      <c r="R61" s="346"/>
      <c r="S61" s="346"/>
      <c r="T61" s="346"/>
      <c r="U61" s="346"/>
      <c r="V61" s="346"/>
      <c r="W61" s="346"/>
      <c r="X61" s="346"/>
      <c r="Y61" s="311"/>
      <c r="Z61" s="367">
        <f>IF(AQ61="5",BJ61,0)</f>
        <v>0</v>
      </c>
      <c r="AA61" s="311"/>
      <c r="AB61" s="367">
        <f>IF(AQ61="1",BH61,0)</f>
        <v>0</v>
      </c>
      <c r="AC61" s="367">
        <f>IF(AQ61="1",BI61,0)</f>
        <v>0</v>
      </c>
      <c r="AD61" s="367">
        <f>IF(AQ61="7",BH61,0)</f>
        <v>0</v>
      </c>
      <c r="AE61" s="367">
        <f>IF(AQ61="7",BI61,0)</f>
        <v>0</v>
      </c>
      <c r="AF61" s="367">
        <f>IF(AQ61="2",BH61,0)</f>
        <v>0</v>
      </c>
      <c r="AG61" s="367">
        <f>IF(AQ61="2",BI61,0)</f>
        <v>0</v>
      </c>
      <c r="AH61" s="367">
        <f>IF(AQ61="0",BJ61,0)</f>
        <v>0</v>
      </c>
      <c r="AI61" s="351" t="s">
        <v>7</v>
      </c>
      <c r="AJ61" s="367">
        <f>IF(AN61=0,K61,0)</f>
        <v>0</v>
      </c>
      <c r="AK61" s="367">
        <f>IF(AN61=15,K61,0)</f>
        <v>0</v>
      </c>
      <c r="AL61" s="367">
        <f>IF(AN61=21,K61,0)</f>
        <v>0</v>
      </c>
      <c r="AM61" s="311"/>
      <c r="AN61" s="367">
        <v>21</v>
      </c>
      <c r="AO61" s="367">
        <f>H61*0.121224478087317</f>
        <v>0</v>
      </c>
      <c r="AP61" s="367">
        <f>H61*(1-0.121224478087317)</f>
        <v>0</v>
      </c>
      <c r="AQ61" s="369" t="s">
        <v>2</v>
      </c>
      <c r="AR61" s="311"/>
      <c r="AS61" s="311"/>
      <c r="AT61" s="311"/>
      <c r="AU61" s="311"/>
      <c r="AV61" s="367">
        <f>AW61+AX61</f>
        <v>0</v>
      </c>
      <c r="AW61" s="367">
        <f>G61*AO61</f>
        <v>0</v>
      </c>
      <c r="AX61" s="367">
        <f>G61*AP61</f>
        <v>0</v>
      </c>
      <c r="AY61" s="369" t="s">
        <v>465</v>
      </c>
      <c r="AZ61" s="369" t="s">
        <v>398</v>
      </c>
      <c r="BA61" s="351" t="s">
        <v>3</v>
      </c>
      <c r="BB61" s="311"/>
      <c r="BC61" s="367">
        <f>AW61+AX61</f>
        <v>0</v>
      </c>
      <c r="BD61" s="367">
        <f>H61/(100-BE61)*100</f>
        <v>0</v>
      </c>
      <c r="BE61" s="367">
        <v>0</v>
      </c>
      <c r="BF61" s="367">
        <f>M61</f>
        <v>0.68809125</v>
      </c>
      <c r="BG61" s="311"/>
      <c r="BH61" s="367">
        <f>G61*AO61</f>
        <v>0</v>
      </c>
      <c r="BI61" s="367">
        <f>G61*AP61</f>
        <v>0</v>
      </c>
      <c r="BJ61" s="367">
        <f>G61*H61</f>
        <v>0</v>
      </c>
      <c r="BK61" s="367"/>
      <c r="BL61" s="367">
        <v>61</v>
      </c>
      <c r="BM61" s="311"/>
      <c r="BN61" s="311"/>
      <c r="BO61" s="311"/>
      <c r="BP61" s="311"/>
      <c r="BQ61" s="311"/>
      <c r="BR61" s="311"/>
      <c r="BS61" s="311"/>
      <c r="BT61" s="311"/>
      <c r="BU61" s="311"/>
    </row>
    <row r="62" spans="1:73" ht="15" customHeight="1">
      <c r="A62" s="370"/>
      <c r="B62" s="311"/>
      <c r="C62" s="311"/>
      <c r="D62" s="371" t="s">
        <v>472</v>
      </c>
      <c r="E62" s="372"/>
      <c r="F62" s="311"/>
      <c r="G62" s="373">
        <v>6.6375</v>
      </c>
      <c r="H62" s="311"/>
      <c r="I62" s="311"/>
      <c r="J62" s="311"/>
      <c r="K62" s="311"/>
      <c r="L62" s="311"/>
      <c r="M62" s="311"/>
      <c r="N62" s="374"/>
      <c r="O62" s="346"/>
      <c r="P62" s="346"/>
      <c r="Q62" s="346"/>
      <c r="R62" s="346"/>
      <c r="S62" s="346"/>
      <c r="T62" s="346"/>
      <c r="U62" s="346"/>
      <c r="V62" s="346"/>
      <c r="W62" s="346"/>
      <c r="X62" s="346"/>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row>
    <row r="63" spans="1:73" ht="15" customHeight="1">
      <c r="A63" s="370"/>
      <c r="B63" s="311"/>
      <c r="C63" s="311"/>
      <c r="D63" s="371" t="s">
        <v>392</v>
      </c>
      <c r="E63" s="372"/>
      <c r="F63" s="311"/>
      <c r="G63" s="373">
        <v>1.89</v>
      </c>
      <c r="H63" s="311"/>
      <c r="I63" s="311"/>
      <c r="J63" s="311"/>
      <c r="K63" s="311"/>
      <c r="L63" s="311"/>
      <c r="M63" s="311"/>
      <c r="N63" s="374"/>
      <c r="O63" s="346"/>
      <c r="P63" s="346"/>
      <c r="Q63" s="346"/>
      <c r="R63" s="346"/>
      <c r="S63" s="346"/>
      <c r="T63" s="346"/>
      <c r="U63" s="346"/>
      <c r="V63" s="346"/>
      <c r="W63" s="346"/>
      <c r="X63" s="346"/>
      <c r="Y63" s="311"/>
      <c r="Z63" s="311"/>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1"/>
      <c r="BN63" s="311"/>
      <c r="BO63" s="311"/>
      <c r="BP63" s="311"/>
      <c r="BQ63" s="311"/>
      <c r="BR63" s="311"/>
      <c r="BS63" s="311"/>
      <c r="BT63" s="311"/>
      <c r="BU63" s="311"/>
    </row>
    <row r="64" spans="1:73" ht="15" customHeight="1">
      <c r="A64" s="370"/>
      <c r="B64" s="311"/>
      <c r="C64" s="311"/>
      <c r="D64" s="371" t="s">
        <v>391</v>
      </c>
      <c r="E64" s="372"/>
      <c r="F64" s="311"/>
      <c r="G64" s="373">
        <v>2.31</v>
      </c>
      <c r="H64" s="311"/>
      <c r="I64" s="311"/>
      <c r="J64" s="311"/>
      <c r="K64" s="311"/>
      <c r="L64" s="311"/>
      <c r="M64" s="311"/>
      <c r="N64" s="374"/>
      <c r="O64" s="346"/>
      <c r="P64" s="346"/>
      <c r="Q64" s="346"/>
      <c r="R64" s="346"/>
      <c r="S64" s="346"/>
      <c r="T64" s="346"/>
      <c r="U64" s="346"/>
      <c r="V64" s="346"/>
      <c r="W64" s="346"/>
      <c r="X64" s="346"/>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311"/>
      <c r="BF64" s="311"/>
      <c r="BG64" s="311"/>
      <c r="BH64" s="311"/>
      <c r="BI64" s="311"/>
      <c r="BJ64" s="311"/>
      <c r="BK64" s="311"/>
      <c r="BL64" s="311"/>
      <c r="BM64" s="311"/>
      <c r="BN64" s="311"/>
      <c r="BO64" s="311"/>
      <c r="BP64" s="311"/>
      <c r="BQ64" s="311"/>
      <c r="BR64" s="311"/>
      <c r="BS64" s="311"/>
      <c r="BT64" s="311"/>
      <c r="BU64" s="311"/>
    </row>
    <row r="65" spans="1:73" ht="15" customHeight="1">
      <c r="A65" s="370"/>
      <c r="B65" s="311"/>
      <c r="C65" s="311"/>
      <c r="D65" s="371" t="s">
        <v>471</v>
      </c>
      <c r="E65" s="372"/>
      <c r="F65" s="311"/>
      <c r="G65" s="373">
        <v>3.6</v>
      </c>
      <c r="H65" s="311"/>
      <c r="I65" s="311"/>
      <c r="J65" s="311"/>
      <c r="K65" s="311"/>
      <c r="L65" s="311"/>
      <c r="M65" s="311"/>
      <c r="N65" s="374"/>
      <c r="O65" s="346"/>
      <c r="P65" s="346"/>
      <c r="Q65" s="346"/>
      <c r="R65" s="346"/>
      <c r="S65" s="346"/>
      <c r="T65" s="346"/>
      <c r="U65" s="346"/>
      <c r="V65" s="346"/>
      <c r="W65" s="346"/>
      <c r="X65" s="346"/>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c r="BP65" s="311"/>
      <c r="BQ65" s="311"/>
      <c r="BR65" s="311"/>
      <c r="BS65" s="311"/>
      <c r="BT65" s="311"/>
      <c r="BU65" s="311"/>
    </row>
    <row r="66" spans="1:73" ht="15" customHeight="1">
      <c r="A66" s="365" t="s">
        <v>72</v>
      </c>
      <c r="B66" s="366" t="s">
        <v>7</v>
      </c>
      <c r="C66" s="366" t="s">
        <v>470</v>
      </c>
      <c r="D66" s="304" t="s">
        <v>469</v>
      </c>
      <c r="E66" s="304"/>
      <c r="F66" s="366" t="s">
        <v>89</v>
      </c>
      <c r="G66" s="367">
        <f>'[2]Stavební rozpočet'!G65</f>
        <v>5.25</v>
      </c>
      <c r="H66" s="328">
        <v>0</v>
      </c>
      <c r="I66" s="367">
        <f>G66*AO66</f>
        <v>0</v>
      </c>
      <c r="J66" s="367">
        <f>G66*AP66</f>
        <v>0</v>
      </c>
      <c r="K66" s="367">
        <f>G66*H66</f>
        <v>0</v>
      </c>
      <c r="L66" s="367">
        <f>'[2]Stavební rozpočet'!L65</f>
        <v>0.05629</v>
      </c>
      <c r="M66" s="367">
        <f>G66*L66</f>
        <v>0.2955225</v>
      </c>
      <c r="N66" s="368" t="s">
        <v>36</v>
      </c>
      <c r="O66" s="346"/>
      <c r="P66" s="346"/>
      <c r="Q66" s="346"/>
      <c r="R66" s="346"/>
      <c r="S66" s="346"/>
      <c r="T66" s="346"/>
      <c r="U66" s="346"/>
      <c r="V66" s="346"/>
      <c r="W66" s="346"/>
      <c r="X66" s="346"/>
      <c r="Y66" s="311"/>
      <c r="Z66" s="367">
        <f>IF(AQ66="5",BJ66,0)</f>
        <v>0</v>
      </c>
      <c r="AA66" s="311"/>
      <c r="AB66" s="367">
        <f>IF(AQ66="1",BH66,0)</f>
        <v>0</v>
      </c>
      <c r="AC66" s="367">
        <f>IF(AQ66="1",BI66,0)</f>
        <v>0</v>
      </c>
      <c r="AD66" s="367">
        <f>IF(AQ66="7",BH66,0)</f>
        <v>0</v>
      </c>
      <c r="AE66" s="367">
        <f>IF(AQ66="7",BI66,0)</f>
        <v>0</v>
      </c>
      <c r="AF66" s="367">
        <f>IF(AQ66="2",BH66,0)</f>
        <v>0</v>
      </c>
      <c r="AG66" s="367">
        <f>IF(AQ66="2",BI66,0)</f>
        <v>0</v>
      </c>
      <c r="AH66" s="367">
        <f>IF(AQ66="0",BJ66,0)</f>
        <v>0</v>
      </c>
      <c r="AI66" s="351" t="s">
        <v>7</v>
      </c>
      <c r="AJ66" s="367">
        <f>IF(AN66=0,K66,0)</f>
        <v>0</v>
      </c>
      <c r="AK66" s="367">
        <f>IF(AN66=15,K66,0)</f>
        <v>0</v>
      </c>
      <c r="AL66" s="367">
        <f>IF(AN66=21,K66,0)</f>
        <v>0</v>
      </c>
      <c r="AM66" s="311"/>
      <c r="AN66" s="367">
        <v>21</v>
      </c>
      <c r="AO66" s="367">
        <f>H66*0.12979674796748</f>
        <v>0</v>
      </c>
      <c r="AP66" s="367">
        <f>H66*(1-0.12979674796748)</f>
        <v>0</v>
      </c>
      <c r="AQ66" s="369" t="s">
        <v>2</v>
      </c>
      <c r="AR66" s="311"/>
      <c r="AS66" s="311"/>
      <c r="AT66" s="311"/>
      <c r="AU66" s="311"/>
      <c r="AV66" s="367">
        <f>AW66+AX66</f>
        <v>0</v>
      </c>
      <c r="AW66" s="367">
        <f>G66*AO66</f>
        <v>0</v>
      </c>
      <c r="AX66" s="367">
        <f>G66*AP66</f>
        <v>0</v>
      </c>
      <c r="AY66" s="369" t="s">
        <v>465</v>
      </c>
      <c r="AZ66" s="369" t="s">
        <v>398</v>
      </c>
      <c r="BA66" s="351" t="s">
        <v>3</v>
      </c>
      <c r="BB66" s="311"/>
      <c r="BC66" s="367">
        <f>AW66+AX66</f>
        <v>0</v>
      </c>
      <c r="BD66" s="367">
        <f>H66/(100-BE66)*100</f>
        <v>0</v>
      </c>
      <c r="BE66" s="367">
        <v>0</v>
      </c>
      <c r="BF66" s="367">
        <f>M66</f>
        <v>0.2955225</v>
      </c>
      <c r="BG66" s="311"/>
      <c r="BH66" s="367">
        <f>G66*AO66</f>
        <v>0</v>
      </c>
      <c r="BI66" s="367">
        <f>G66*AP66</f>
        <v>0</v>
      </c>
      <c r="BJ66" s="367">
        <f>G66*H66</f>
        <v>0</v>
      </c>
      <c r="BK66" s="367"/>
      <c r="BL66" s="367">
        <v>61</v>
      </c>
      <c r="BM66" s="311"/>
      <c r="BN66" s="311"/>
      <c r="BO66" s="311"/>
      <c r="BP66" s="311"/>
      <c r="BQ66" s="311"/>
      <c r="BR66" s="311"/>
      <c r="BS66" s="311"/>
      <c r="BT66" s="311"/>
      <c r="BU66" s="311"/>
    </row>
    <row r="67" spans="1:73" ht="15" customHeight="1">
      <c r="A67" s="370"/>
      <c r="B67" s="311"/>
      <c r="C67" s="311"/>
      <c r="D67" s="371" t="s">
        <v>468</v>
      </c>
      <c r="E67" s="372"/>
      <c r="F67" s="311"/>
      <c r="G67" s="373">
        <v>5.25</v>
      </c>
      <c r="H67" s="311"/>
      <c r="I67" s="311"/>
      <c r="J67" s="311"/>
      <c r="K67" s="311"/>
      <c r="L67" s="311"/>
      <c r="M67" s="311"/>
      <c r="N67" s="374"/>
      <c r="O67" s="346"/>
      <c r="P67" s="346"/>
      <c r="Q67" s="346"/>
      <c r="R67" s="346"/>
      <c r="S67" s="346"/>
      <c r="T67" s="346"/>
      <c r="U67" s="346"/>
      <c r="V67" s="346"/>
      <c r="W67" s="346"/>
      <c r="X67" s="346"/>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1"/>
      <c r="AU67" s="311"/>
      <c r="AV67" s="311"/>
      <c r="AW67" s="311"/>
      <c r="AX67" s="311"/>
      <c r="AY67" s="311"/>
      <c r="AZ67" s="311"/>
      <c r="BA67" s="311"/>
      <c r="BB67" s="311"/>
      <c r="BC67" s="311"/>
      <c r="BD67" s="311"/>
      <c r="BE67" s="311"/>
      <c r="BF67" s="311"/>
      <c r="BG67" s="311"/>
      <c r="BH67" s="311"/>
      <c r="BI67" s="311"/>
      <c r="BJ67" s="311"/>
      <c r="BK67" s="311"/>
      <c r="BL67" s="311"/>
      <c r="BM67" s="311"/>
      <c r="BN67" s="311"/>
      <c r="BO67" s="311"/>
      <c r="BP67" s="311"/>
      <c r="BQ67" s="311"/>
      <c r="BR67" s="311"/>
      <c r="BS67" s="311"/>
      <c r="BT67" s="311"/>
      <c r="BU67" s="311"/>
    </row>
    <row r="68" spans="1:73" ht="15" customHeight="1">
      <c r="A68" s="365" t="s">
        <v>287</v>
      </c>
      <c r="B68" s="366" t="s">
        <v>7</v>
      </c>
      <c r="C68" s="366" t="s">
        <v>467</v>
      </c>
      <c r="D68" s="304" t="s">
        <v>466</v>
      </c>
      <c r="E68" s="304"/>
      <c r="F68" s="366" t="s">
        <v>89</v>
      </c>
      <c r="G68" s="367">
        <f>'[2]Stavební rozpočet'!G67</f>
        <v>9.9</v>
      </c>
      <c r="H68" s="328">
        <v>0</v>
      </c>
      <c r="I68" s="367">
        <f>G68*AO68</f>
        <v>0</v>
      </c>
      <c r="J68" s="367">
        <f>G68*AP68</f>
        <v>0</v>
      </c>
      <c r="K68" s="367">
        <f>G68*H68</f>
        <v>0</v>
      </c>
      <c r="L68" s="367">
        <f>'[2]Stavební rozpočet'!L67</f>
        <v>0</v>
      </c>
      <c r="M68" s="367">
        <f>G68*L68</f>
        <v>0</v>
      </c>
      <c r="N68" s="368"/>
      <c r="O68" s="346"/>
      <c r="P68" s="346"/>
      <c r="Q68" s="346"/>
      <c r="R68" s="346"/>
      <c r="S68" s="346"/>
      <c r="T68" s="346"/>
      <c r="U68" s="346"/>
      <c r="V68" s="346"/>
      <c r="W68" s="346"/>
      <c r="X68" s="346"/>
      <c r="Y68" s="311"/>
      <c r="Z68" s="367">
        <f>IF(AQ68="5",BJ68,0)</f>
        <v>0</v>
      </c>
      <c r="AA68" s="311"/>
      <c r="AB68" s="367">
        <f>IF(AQ68="1",BH68,0)</f>
        <v>0</v>
      </c>
      <c r="AC68" s="367">
        <f>IF(AQ68="1",BI68,0)</f>
        <v>0</v>
      </c>
      <c r="AD68" s="367">
        <f>IF(AQ68="7",BH68,0)</f>
        <v>0</v>
      </c>
      <c r="AE68" s="367">
        <f>IF(AQ68="7",BI68,0)</f>
        <v>0</v>
      </c>
      <c r="AF68" s="367">
        <f>IF(AQ68="2",BH68,0)</f>
        <v>0</v>
      </c>
      <c r="AG68" s="367">
        <f>IF(AQ68="2",BI68,0)</f>
        <v>0</v>
      </c>
      <c r="AH68" s="367">
        <f>IF(AQ68="0",BJ68,0)</f>
        <v>0</v>
      </c>
      <c r="AI68" s="351" t="s">
        <v>7</v>
      </c>
      <c r="AJ68" s="367">
        <f>IF(AN68=0,K68,0)</f>
        <v>0</v>
      </c>
      <c r="AK68" s="367">
        <f>IF(AN68=15,K68,0)</f>
        <v>0</v>
      </c>
      <c r="AL68" s="367">
        <f>IF(AN68=21,K68,0)</f>
        <v>0</v>
      </c>
      <c r="AM68" s="311"/>
      <c r="AN68" s="367">
        <v>21</v>
      </c>
      <c r="AO68" s="367">
        <f>H68*0</f>
        <v>0</v>
      </c>
      <c r="AP68" s="367">
        <f>H68*(1-0)</f>
        <v>0</v>
      </c>
      <c r="AQ68" s="369" t="s">
        <v>2</v>
      </c>
      <c r="AR68" s="311"/>
      <c r="AS68" s="311"/>
      <c r="AT68" s="311"/>
      <c r="AU68" s="311"/>
      <c r="AV68" s="367">
        <f>AW68+AX68</f>
        <v>0</v>
      </c>
      <c r="AW68" s="367">
        <f>G68*AO68</f>
        <v>0</v>
      </c>
      <c r="AX68" s="367">
        <f>G68*AP68</f>
        <v>0</v>
      </c>
      <c r="AY68" s="369" t="s">
        <v>465</v>
      </c>
      <c r="AZ68" s="369" t="s">
        <v>398</v>
      </c>
      <c r="BA68" s="351" t="s">
        <v>3</v>
      </c>
      <c r="BB68" s="311"/>
      <c r="BC68" s="367">
        <f>AW68+AX68</f>
        <v>0</v>
      </c>
      <c r="BD68" s="367">
        <f>H68/(100-BE68)*100</f>
        <v>0</v>
      </c>
      <c r="BE68" s="367">
        <v>0</v>
      </c>
      <c r="BF68" s="367">
        <f>M68</f>
        <v>0</v>
      </c>
      <c r="BG68" s="311"/>
      <c r="BH68" s="367">
        <f>G68*AO68</f>
        <v>0</v>
      </c>
      <c r="BI68" s="367">
        <f>G68*AP68</f>
        <v>0</v>
      </c>
      <c r="BJ68" s="367">
        <f>G68*H68</f>
        <v>0</v>
      </c>
      <c r="BK68" s="367"/>
      <c r="BL68" s="367">
        <v>61</v>
      </c>
      <c r="BM68" s="311"/>
      <c r="BN68" s="311"/>
      <c r="BO68" s="311"/>
      <c r="BP68" s="311"/>
      <c r="BQ68" s="311"/>
      <c r="BR68" s="311"/>
      <c r="BS68" s="311"/>
      <c r="BT68" s="311"/>
      <c r="BU68" s="311"/>
    </row>
    <row r="69" spans="1:73" ht="13.5" customHeight="1">
      <c r="A69" s="370"/>
      <c r="B69" s="311"/>
      <c r="C69" s="311"/>
      <c r="D69" s="375" t="s">
        <v>464</v>
      </c>
      <c r="E69" s="375"/>
      <c r="F69" s="375"/>
      <c r="G69" s="375"/>
      <c r="H69" s="375"/>
      <c r="I69" s="375"/>
      <c r="J69" s="375"/>
      <c r="K69" s="375"/>
      <c r="L69" s="375"/>
      <c r="M69" s="375"/>
      <c r="N69" s="375"/>
      <c r="O69" s="346"/>
      <c r="P69" s="346"/>
      <c r="Q69" s="346"/>
      <c r="R69" s="346"/>
      <c r="S69" s="346"/>
      <c r="T69" s="346"/>
      <c r="U69" s="346"/>
      <c r="V69" s="346"/>
      <c r="W69" s="346"/>
      <c r="X69" s="346"/>
      <c r="Y69" s="311"/>
      <c r="Z69" s="311"/>
      <c r="AA69" s="311"/>
      <c r="AB69" s="311"/>
      <c r="AC69" s="311"/>
      <c r="AD69" s="311"/>
      <c r="AE69" s="311"/>
      <c r="AF69" s="311"/>
      <c r="AG69" s="311"/>
      <c r="AH69" s="311"/>
      <c r="AI69" s="311"/>
      <c r="AJ69" s="311"/>
      <c r="AK69" s="311"/>
      <c r="AL69" s="311"/>
      <c r="AM69" s="311"/>
      <c r="AN69" s="311"/>
      <c r="AO69" s="311"/>
      <c r="AP69" s="311"/>
      <c r="AQ69" s="311"/>
      <c r="AR69" s="311"/>
      <c r="AS69" s="311"/>
      <c r="AT69" s="311"/>
      <c r="AU69" s="311"/>
      <c r="AV69" s="311"/>
      <c r="AW69" s="311"/>
      <c r="AX69" s="311"/>
      <c r="AY69" s="311"/>
      <c r="AZ69" s="311"/>
      <c r="BA69" s="311"/>
      <c r="BB69" s="311"/>
      <c r="BC69" s="311"/>
      <c r="BD69" s="311"/>
      <c r="BE69" s="311"/>
      <c r="BF69" s="311"/>
      <c r="BG69" s="311"/>
      <c r="BH69" s="311"/>
      <c r="BI69" s="311"/>
      <c r="BJ69" s="311"/>
      <c r="BK69" s="311"/>
      <c r="BL69" s="311"/>
      <c r="BM69" s="311"/>
      <c r="BN69" s="311"/>
      <c r="BO69" s="311"/>
      <c r="BP69" s="311"/>
      <c r="BQ69" s="311"/>
      <c r="BR69" s="311"/>
      <c r="BS69" s="311"/>
      <c r="BT69" s="311"/>
      <c r="BU69" s="311"/>
    </row>
    <row r="70" spans="1:73" ht="15" customHeight="1">
      <c r="A70" s="370"/>
      <c r="B70" s="311"/>
      <c r="C70" s="311"/>
      <c r="D70" s="371" t="s">
        <v>463</v>
      </c>
      <c r="E70" s="372"/>
      <c r="F70" s="311"/>
      <c r="G70" s="373">
        <v>9.9</v>
      </c>
      <c r="H70" s="311"/>
      <c r="I70" s="311"/>
      <c r="J70" s="311"/>
      <c r="K70" s="311"/>
      <c r="L70" s="311"/>
      <c r="M70" s="311"/>
      <c r="N70" s="374"/>
      <c r="O70" s="346"/>
      <c r="P70" s="346"/>
      <c r="Q70" s="346"/>
      <c r="R70" s="346"/>
      <c r="S70" s="346"/>
      <c r="T70" s="346"/>
      <c r="U70" s="346"/>
      <c r="V70" s="346"/>
      <c r="W70" s="346"/>
      <c r="X70" s="346"/>
      <c r="Y70" s="311"/>
      <c r="Z70" s="311"/>
      <c r="AA70" s="311"/>
      <c r="AB70" s="311"/>
      <c r="AC70" s="311"/>
      <c r="AD70" s="311"/>
      <c r="AE70" s="311"/>
      <c r="AF70" s="311"/>
      <c r="AG70" s="311"/>
      <c r="AH70" s="311"/>
      <c r="AI70" s="311"/>
      <c r="AJ70" s="311"/>
      <c r="AK70" s="311"/>
      <c r="AL70" s="311"/>
      <c r="AM70" s="311"/>
      <c r="AN70" s="311"/>
      <c r="AO70" s="311"/>
      <c r="AP70" s="311"/>
      <c r="AQ70" s="311"/>
      <c r="AR70" s="311"/>
      <c r="AS70" s="311"/>
      <c r="AT70" s="311"/>
      <c r="AU70" s="311"/>
      <c r="AV70" s="311"/>
      <c r="AW70" s="311"/>
      <c r="AX70" s="311"/>
      <c r="AY70" s="311"/>
      <c r="AZ70" s="311"/>
      <c r="BA70" s="311"/>
      <c r="BB70" s="311"/>
      <c r="BC70" s="311"/>
      <c r="BD70" s="311"/>
      <c r="BE70" s="311"/>
      <c r="BF70" s="311"/>
      <c r="BG70" s="311"/>
      <c r="BH70" s="311"/>
      <c r="BI70" s="311"/>
      <c r="BJ70" s="311"/>
      <c r="BK70" s="311"/>
      <c r="BL70" s="311"/>
      <c r="BM70" s="311"/>
      <c r="BN70" s="311"/>
      <c r="BO70" s="311"/>
      <c r="BP70" s="311"/>
      <c r="BQ70" s="311"/>
      <c r="BR70" s="311"/>
      <c r="BS70" s="311"/>
      <c r="BT70" s="311"/>
      <c r="BU70" s="311"/>
    </row>
    <row r="71" spans="1:73" ht="15" customHeight="1">
      <c r="A71" s="360"/>
      <c r="B71" s="361" t="s">
        <v>7</v>
      </c>
      <c r="C71" s="361" t="s">
        <v>266</v>
      </c>
      <c r="D71" s="362" t="s">
        <v>462</v>
      </c>
      <c r="E71" s="362"/>
      <c r="F71" s="363" t="s">
        <v>12</v>
      </c>
      <c r="G71" s="363" t="s">
        <v>12</v>
      </c>
      <c r="H71" s="363" t="s">
        <v>12</v>
      </c>
      <c r="I71" s="347">
        <f>SUM(I72:I79)</f>
        <v>0</v>
      </c>
      <c r="J71" s="347">
        <f>SUM(J72:J79)</f>
        <v>0</v>
      </c>
      <c r="K71" s="347">
        <f>SUM(K72:K79)</f>
        <v>0</v>
      </c>
      <c r="L71" s="351"/>
      <c r="M71" s="347">
        <f>SUM(M72:M79)</f>
        <v>1.14811</v>
      </c>
      <c r="N71" s="364"/>
      <c r="O71" s="346"/>
      <c r="P71" s="346"/>
      <c r="Q71" s="346"/>
      <c r="R71" s="346"/>
      <c r="S71" s="346"/>
      <c r="T71" s="346"/>
      <c r="U71" s="346"/>
      <c r="V71" s="346"/>
      <c r="W71" s="346"/>
      <c r="X71" s="346"/>
      <c r="Y71" s="311"/>
      <c r="Z71" s="311"/>
      <c r="AA71" s="311"/>
      <c r="AB71" s="311"/>
      <c r="AC71" s="311"/>
      <c r="AD71" s="311"/>
      <c r="AE71" s="311"/>
      <c r="AF71" s="311"/>
      <c r="AG71" s="311"/>
      <c r="AH71" s="311"/>
      <c r="AI71" s="351" t="s">
        <v>7</v>
      </c>
      <c r="AJ71" s="311"/>
      <c r="AK71" s="311"/>
      <c r="AL71" s="311"/>
      <c r="AM71" s="311"/>
      <c r="AN71" s="311"/>
      <c r="AO71" s="311"/>
      <c r="AP71" s="311"/>
      <c r="AQ71" s="311"/>
      <c r="AR71" s="311"/>
      <c r="AS71" s="347">
        <f>SUM(AJ72:AJ79)</f>
        <v>0</v>
      </c>
      <c r="AT71" s="347">
        <f>SUM(AK72:AK79)</f>
        <v>0</v>
      </c>
      <c r="AU71" s="347">
        <f>SUM(AL72:AL79)</f>
        <v>0</v>
      </c>
      <c r="AV71" s="311"/>
      <c r="AW71" s="311"/>
      <c r="AX71" s="311"/>
      <c r="AY71" s="311"/>
      <c r="AZ71" s="311"/>
      <c r="BA71" s="311"/>
      <c r="BB71" s="311"/>
      <c r="BC71" s="311"/>
      <c r="BD71" s="311"/>
      <c r="BE71" s="311"/>
      <c r="BF71" s="311"/>
      <c r="BG71" s="311"/>
      <c r="BH71" s="311"/>
      <c r="BI71" s="311"/>
      <c r="BJ71" s="311"/>
      <c r="BK71" s="311"/>
      <c r="BL71" s="311"/>
      <c r="BM71" s="311"/>
      <c r="BN71" s="311"/>
      <c r="BO71" s="311"/>
      <c r="BP71" s="311"/>
      <c r="BQ71" s="311"/>
      <c r="BR71" s="311"/>
      <c r="BS71" s="311"/>
      <c r="BT71" s="311"/>
      <c r="BU71" s="311"/>
    </row>
    <row r="72" spans="1:73" ht="15" customHeight="1">
      <c r="A72" s="365" t="s">
        <v>461</v>
      </c>
      <c r="B72" s="366" t="s">
        <v>7</v>
      </c>
      <c r="C72" s="366" t="s">
        <v>460</v>
      </c>
      <c r="D72" s="304" t="s">
        <v>459</v>
      </c>
      <c r="E72" s="304"/>
      <c r="F72" s="366" t="s">
        <v>89</v>
      </c>
      <c r="G72" s="367">
        <f>'[2]Stavební rozpočet'!G70</f>
        <v>107</v>
      </c>
      <c r="H72" s="328">
        <v>0</v>
      </c>
      <c r="I72" s="367">
        <f>G72*AO72</f>
        <v>0</v>
      </c>
      <c r="J72" s="367">
        <f>G72*AP72</f>
        <v>0</v>
      </c>
      <c r="K72" s="367">
        <f>G72*H72</f>
        <v>0</v>
      </c>
      <c r="L72" s="367">
        <f>'[2]Stavební rozpočet'!L70</f>
        <v>0.00984</v>
      </c>
      <c r="M72" s="367">
        <f>G72*L72</f>
        <v>1.05288</v>
      </c>
      <c r="N72" s="368" t="s">
        <v>36</v>
      </c>
      <c r="O72" s="346"/>
      <c r="P72" s="346"/>
      <c r="Q72" s="346"/>
      <c r="R72" s="346"/>
      <c r="S72" s="346"/>
      <c r="T72" s="346"/>
      <c r="U72" s="346"/>
      <c r="V72" s="346"/>
      <c r="W72" s="346"/>
      <c r="X72" s="346"/>
      <c r="Y72" s="311"/>
      <c r="Z72" s="367">
        <f>IF(AQ72="5",BJ72,0)</f>
        <v>0</v>
      </c>
      <c r="AA72" s="311"/>
      <c r="AB72" s="367">
        <f>IF(AQ72="1",BH72,0)</f>
        <v>0</v>
      </c>
      <c r="AC72" s="367">
        <f>IF(AQ72="1",BI72,0)</f>
        <v>0</v>
      </c>
      <c r="AD72" s="367">
        <f>IF(AQ72="7",BH72,0)</f>
        <v>0</v>
      </c>
      <c r="AE72" s="367">
        <f>IF(AQ72="7",BI72,0)</f>
        <v>0</v>
      </c>
      <c r="AF72" s="367">
        <f>IF(AQ72="2",BH72,0)</f>
        <v>0</v>
      </c>
      <c r="AG72" s="367">
        <f>IF(AQ72="2",BI72,0)</f>
        <v>0</v>
      </c>
      <c r="AH72" s="367">
        <f>IF(AQ72="0",BJ72,0)</f>
        <v>0</v>
      </c>
      <c r="AI72" s="351" t="s">
        <v>7</v>
      </c>
      <c r="AJ72" s="367">
        <f>IF(AN72=0,K72,0)</f>
        <v>0</v>
      </c>
      <c r="AK72" s="367">
        <f>IF(AN72=15,K72,0)</f>
        <v>0</v>
      </c>
      <c r="AL72" s="367">
        <f>IF(AN72=21,K72,0)</f>
        <v>0</v>
      </c>
      <c r="AM72" s="311"/>
      <c r="AN72" s="367">
        <v>21</v>
      </c>
      <c r="AO72" s="367">
        <f>H72*0.206881188118812</f>
        <v>0</v>
      </c>
      <c r="AP72" s="367">
        <f>H72*(1-0.206881188118812)</f>
        <v>0</v>
      </c>
      <c r="AQ72" s="369" t="s">
        <v>2</v>
      </c>
      <c r="AR72" s="311"/>
      <c r="AS72" s="311"/>
      <c r="AT72" s="311"/>
      <c r="AU72" s="311"/>
      <c r="AV72" s="367">
        <f>AW72+AX72</f>
        <v>0</v>
      </c>
      <c r="AW72" s="367">
        <f>G72*AO72</f>
        <v>0</v>
      </c>
      <c r="AX72" s="367">
        <f>G72*AP72</f>
        <v>0</v>
      </c>
      <c r="AY72" s="369" t="s">
        <v>448</v>
      </c>
      <c r="AZ72" s="369" t="s">
        <v>398</v>
      </c>
      <c r="BA72" s="351" t="s">
        <v>3</v>
      </c>
      <c r="BB72" s="311"/>
      <c r="BC72" s="367">
        <f>AW72+AX72</f>
        <v>0</v>
      </c>
      <c r="BD72" s="367">
        <f>H72/(100-BE72)*100</f>
        <v>0</v>
      </c>
      <c r="BE72" s="367">
        <v>0</v>
      </c>
      <c r="BF72" s="367">
        <f>M72</f>
        <v>1.05288</v>
      </c>
      <c r="BG72" s="311"/>
      <c r="BH72" s="367">
        <f>G72*AO72</f>
        <v>0</v>
      </c>
      <c r="BI72" s="367">
        <f>G72*AP72</f>
        <v>0</v>
      </c>
      <c r="BJ72" s="367">
        <f>G72*H72</f>
        <v>0</v>
      </c>
      <c r="BK72" s="367"/>
      <c r="BL72" s="367">
        <v>62</v>
      </c>
      <c r="BM72" s="311"/>
      <c r="BN72" s="311"/>
      <c r="BO72" s="311"/>
      <c r="BP72" s="311"/>
      <c r="BQ72" s="311"/>
      <c r="BR72" s="311"/>
      <c r="BS72" s="311"/>
      <c r="BT72" s="311"/>
      <c r="BU72" s="311"/>
    </row>
    <row r="73" spans="1:73" ht="15" customHeight="1">
      <c r="A73" s="370"/>
      <c r="B73" s="311"/>
      <c r="C73" s="311"/>
      <c r="D73" s="371" t="s">
        <v>29</v>
      </c>
      <c r="E73" s="372"/>
      <c r="F73" s="311"/>
      <c r="G73" s="373">
        <v>107.00000000000001</v>
      </c>
      <c r="H73" s="311"/>
      <c r="I73" s="311"/>
      <c r="J73" s="311"/>
      <c r="K73" s="311"/>
      <c r="L73" s="311"/>
      <c r="M73" s="311"/>
      <c r="N73" s="374"/>
      <c r="O73" s="346"/>
      <c r="P73" s="346"/>
      <c r="Q73" s="346"/>
      <c r="R73" s="346"/>
      <c r="S73" s="346"/>
      <c r="T73" s="346"/>
      <c r="U73" s="346"/>
      <c r="V73" s="346"/>
      <c r="W73" s="346"/>
      <c r="X73" s="346"/>
      <c r="Y73" s="311"/>
      <c r="Z73" s="311"/>
      <c r="AA73" s="311"/>
      <c r="AB73" s="311"/>
      <c r="AC73" s="311"/>
      <c r="AD73" s="311"/>
      <c r="AE73" s="311"/>
      <c r="AF73" s="311"/>
      <c r="AG73" s="311"/>
      <c r="AH73" s="311"/>
      <c r="AI73" s="311"/>
      <c r="AJ73" s="311"/>
      <c r="AK73" s="311"/>
      <c r="AL73" s="311"/>
      <c r="AM73" s="311"/>
      <c r="AN73" s="311"/>
      <c r="AO73" s="311"/>
      <c r="AP73" s="311"/>
      <c r="AQ73" s="311"/>
      <c r="AR73" s="311"/>
      <c r="AS73" s="311"/>
      <c r="AT73" s="311"/>
      <c r="AU73" s="311"/>
      <c r="AV73" s="311"/>
      <c r="AW73" s="311"/>
      <c r="AX73" s="311"/>
      <c r="AY73" s="311"/>
      <c r="AZ73" s="311"/>
      <c r="BA73" s="311"/>
      <c r="BB73" s="311"/>
      <c r="BC73" s="311"/>
      <c r="BD73" s="311"/>
      <c r="BE73" s="311"/>
      <c r="BF73" s="311"/>
      <c r="BG73" s="311"/>
      <c r="BH73" s="311"/>
      <c r="BI73" s="311"/>
      <c r="BJ73" s="311"/>
      <c r="BK73" s="311"/>
      <c r="BL73" s="311"/>
      <c r="BM73" s="311"/>
      <c r="BN73" s="311"/>
      <c r="BO73" s="311"/>
      <c r="BP73" s="311"/>
      <c r="BQ73" s="311"/>
      <c r="BR73" s="311"/>
      <c r="BS73" s="311"/>
      <c r="BT73" s="311"/>
      <c r="BU73" s="311"/>
    </row>
    <row r="74" spans="1:73" ht="15" customHeight="1">
      <c r="A74" s="365" t="s">
        <v>458</v>
      </c>
      <c r="B74" s="366" t="s">
        <v>7</v>
      </c>
      <c r="C74" s="366" t="s">
        <v>457</v>
      </c>
      <c r="D74" s="304" t="s">
        <v>456</v>
      </c>
      <c r="E74" s="304"/>
      <c r="F74" s="366" t="s">
        <v>283</v>
      </c>
      <c r="G74" s="367">
        <f>'[2]Stavební rozpočet'!G72</f>
        <v>1</v>
      </c>
      <c r="H74" s="328">
        <v>0</v>
      </c>
      <c r="I74" s="367">
        <f>G74*AO74</f>
        <v>0</v>
      </c>
      <c r="J74" s="367">
        <f>G74*AP74</f>
        <v>0</v>
      </c>
      <c r="K74" s="367">
        <f>G74*H74</f>
        <v>0</v>
      </c>
      <c r="L74" s="367">
        <f>'[2]Stavební rozpočet'!L72</f>
        <v>0</v>
      </c>
      <c r="M74" s="367">
        <f>G74*L74</f>
        <v>0</v>
      </c>
      <c r="N74" s="368"/>
      <c r="O74" s="346"/>
      <c r="P74" s="346"/>
      <c r="Q74" s="346"/>
      <c r="R74" s="346"/>
      <c r="S74" s="346"/>
      <c r="T74" s="346"/>
      <c r="U74" s="346"/>
      <c r="V74" s="346"/>
      <c r="W74" s="346"/>
      <c r="X74" s="346"/>
      <c r="Y74" s="311"/>
      <c r="Z74" s="367">
        <f>IF(AQ74="5",BJ74,0)</f>
        <v>0</v>
      </c>
      <c r="AA74" s="311"/>
      <c r="AB74" s="367">
        <f>IF(AQ74="1",BH74,0)</f>
        <v>0</v>
      </c>
      <c r="AC74" s="367">
        <f>IF(AQ74="1",BI74,0)</f>
        <v>0</v>
      </c>
      <c r="AD74" s="367">
        <f>IF(AQ74="7",BH74,0)</f>
        <v>0</v>
      </c>
      <c r="AE74" s="367">
        <f>IF(AQ74="7",BI74,0)</f>
        <v>0</v>
      </c>
      <c r="AF74" s="367">
        <f>IF(AQ74="2",BH74,0)</f>
        <v>0</v>
      </c>
      <c r="AG74" s="367">
        <f>IF(AQ74="2",BI74,0)</f>
        <v>0</v>
      </c>
      <c r="AH74" s="367">
        <f>IF(AQ74="0",BJ74,0)</f>
        <v>0</v>
      </c>
      <c r="AI74" s="351" t="s">
        <v>7</v>
      </c>
      <c r="AJ74" s="367">
        <f>IF(AN74=0,K74,0)</f>
        <v>0</v>
      </c>
      <c r="AK74" s="367">
        <f>IF(AN74=15,K74,0)</f>
        <v>0</v>
      </c>
      <c r="AL74" s="367">
        <f>IF(AN74=21,K74,0)</f>
        <v>0</v>
      </c>
      <c r="AM74" s="311"/>
      <c r="AN74" s="367">
        <v>21</v>
      </c>
      <c r="AO74" s="367">
        <f>H74*0</f>
        <v>0</v>
      </c>
      <c r="AP74" s="367">
        <f>H74*(1-0)</f>
        <v>0</v>
      </c>
      <c r="AQ74" s="369" t="s">
        <v>2</v>
      </c>
      <c r="AR74" s="311"/>
      <c r="AS74" s="311"/>
      <c r="AT74" s="311"/>
      <c r="AU74" s="311"/>
      <c r="AV74" s="367">
        <f>AW74+AX74</f>
        <v>0</v>
      </c>
      <c r="AW74" s="367">
        <f>G74*AO74</f>
        <v>0</v>
      </c>
      <c r="AX74" s="367">
        <f>G74*AP74</f>
        <v>0</v>
      </c>
      <c r="AY74" s="369" t="s">
        <v>448</v>
      </c>
      <c r="AZ74" s="369" t="s">
        <v>398</v>
      </c>
      <c r="BA74" s="351" t="s">
        <v>3</v>
      </c>
      <c r="BB74" s="311"/>
      <c r="BC74" s="367">
        <f>AW74+AX74</f>
        <v>0</v>
      </c>
      <c r="BD74" s="367">
        <f>H74/(100-BE74)*100</f>
        <v>0</v>
      </c>
      <c r="BE74" s="367">
        <v>0</v>
      </c>
      <c r="BF74" s="367">
        <f>M74</f>
        <v>0</v>
      </c>
      <c r="BG74" s="311"/>
      <c r="BH74" s="367">
        <f>G74*AO74</f>
        <v>0</v>
      </c>
      <c r="BI74" s="367">
        <f>G74*AP74</f>
        <v>0</v>
      </c>
      <c r="BJ74" s="367">
        <f>G74*H74</f>
        <v>0</v>
      </c>
      <c r="BK74" s="367"/>
      <c r="BL74" s="367">
        <v>62</v>
      </c>
      <c r="BM74" s="311"/>
      <c r="BN74" s="311"/>
      <c r="BO74" s="311"/>
      <c r="BP74" s="311"/>
      <c r="BQ74" s="311"/>
      <c r="BR74" s="311"/>
      <c r="BS74" s="311"/>
      <c r="BT74" s="311"/>
      <c r="BU74" s="311"/>
    </row>
    <row r="75" spans="1:73" ht="13.5" customHeight="1">
      <c r="A75" s="370"/>
      <c r="B75" s="311"/>
      <c r="C75" s="311"/>
      <c r="D75" s="375" t="s">
        <v>455</v>
      </c>
      <c r="E75" s="375"/>
      <c r="F75" s="375"/>
      <c r="G75" s="375"/>
      <c r="H75" s="375"/>
      <c r="I75" s="375"/>
      <c r="J75" s="375"/>
      <c r="K75" s="375"/>
      <c r="L75" s="375"/>
      <c r="M75" s="375"/>
      <c r="N75" s="375"/>
      <c r="O75" s="346"/>
      <c r="P75" s="346"/>
      <c r="Q75" s="346"/>
      <c r="R75" s="346"/>
      <c r="S75" s="346"/>
      <c r="T75" s="346"/>
      <c r="U75" s="346"/>
      <c r="V75" s="346"/>
      <c r="W75" s="346"/>
      <c r="X75" s="346"/>
      <c r="Y75" s="311"/>
      <c r="Z75" s="311"/>
      <c r="AA75" s="311"/>
      <c r="AB75" s="311"/>
      <c r="AC75" s="311"/>
      <c r="AD75" s="311"/>
      <c r="AE75" s="311"/>
      <c r="AF75" s="311"/>
      <c r="AG75" s="311"/>
      <c r="AH75" s="311"/>
      <c r="AI75" s="311"/>
      <c r="AJ75" s="311"/>
      <c r="AK75" s="311"/>
      <c r="AL75" s="311"/>
      <c r="AM75" s="311"/>
      <c r="AN75" s="311"/>
      <c r="AO75" s="311"/>
      <c r="AP75" s="311"/>
      <c r="AQ75" s="311"/>
      <c r="AR75" s="311"/>
      <c r="AS75" s="311"/>
      <c r="AT75" s="311"/>
      <c r="AU75" s="311"/>
      <c r="AV75" s="311"/>
      <c r="AW75" s="311"/>
      <c r="AX75" s="311"/>
      <c r="AY75" s="311"/>
      <c r="AZ75" s="311"/>
      <c r="BA75" s="311"/>
      <c r="BB75" s="311"/>
      <c r="BC75" s="311"/>
      <c r="BD75" s="311"/>
      <c r="BE75" s="311"/>
      <c r="BF75" s="311"/>
      <c r="BG75" s="311"/>
      <c r="BH75" s="311"/>
      <c r="BI75" s="311"/>
      <c r="BJ75" s="311"/>
      <c r="BK75" s="311"/>
      <c r="BL75" s="311"/>
      <c r="BM75" s="311"/>
      <c r="BN75" s="311"/>
      <c r="BO75" s="311"/>
      <c r="BP75" s="311"/>
      <c r="BQ75" s="311"/>
      <c r="BR75" s="311"/>
      <c r="BS75" s="311"/>
      <c r="BT75" s="311"/>
      <c r="BU75" s="311"/>
    </row>
    <row r="76" spans="1:73" ht="15" customHeight="1">
      <c r="A76" s="370"/>
      <c r="B76" s="311"/>
      <c r="C76" s="311"/>
      <c r="D76" s="371" t="s">
        <v>2</v>
      </c>
      <c r="E76" s="372"/>
      <c r="F76" s="311"/>
      <c r="G76" s="373">
        <v>1</v>
      </c>
      <c r="H76" s="311"/>
      <c r="I76" s="311"/>
      <c r="J76" s="311"/>
      <c r="K76" s="311"/>
      <c r="L76" s="311"/>
      <c r="M76" s="311"/>
      <c r="N76" s="374"/>
      <c r="O76" s="346"/>
      <c r="P76" s="346"/>
      <c r="Q76" s="346"/>
      <c r="R76" s="346"/>
      <c r="S76" s="346"/>
      <c r="T76" s="346"/>
      <c r="U76" s="346"/>
      <c r="V76" s="346"/>
      <c r="W76" s="346"/>
      <c r="X76" s="346"/>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1"/>
      <c r="BB76" s="311"/>
      <c r="BC76" s="311"/>
      <c r="BD76" s="311"/>
      <c r="BE76" s="311"/>
      <c r="BF76" s="311"/>
      <c r="BG76" s="311"/>
      <c r="BH76" s="311"/>
      <c r="BI76" s="311"/>
      <c r="BJ76" s="311"/>
      <c r="BK76" s="311"/>
      <c r="BL76" s="311"/>
      <c r="BM76" s="311"/>
      <c r="BN76" s="311"/>
      <c r="BO76" s="311"/>
      <c r="BP76" s="311"/>
      <c r="BQ76" s="311"/>
      <c r="BR76" s="311"/>
      <c r="BS76" s="311"/>
      <c r="BT76" s="311"/>
      <c r="BU76" s="311"/>
    </row>
    <row r="77" spans="1:73" ht="15" customHeight="1">
      <c r="A77" s="365" t="s">
        <v>454</v>
      </c>
      <c r="B77" s="366" t="s">
        <v>7</v>
      </c>
      <c r="C77" s="366" t="s">
        <v>453</v>
      </c>
      <c r="D77" s="304" t="s">
        <v>452</v>
      </c>
      <c r="E77" s="304"/>
      <c r="F77" s="366" t="s">
        <v>89</v>
      </c>
      <c r="G77" s="367">
        <f>'[2]Stavební rozpočet'!G74</f>
        <v>107</v>
      </c>
      <c r="H77" s="328">
        <v>0</v>
      </c>
      <c r="I77" s="367">
        <f>G77*AO77</f>
        <v>0</v>
      </c>
      <c r="J77" s="367">
        <f>G77*AP77</f>
        <v>0</v>
      </c>
      <c r="K77" s="367">
        <f>G77*H77</f>
        <v>0</v>
      </c>
      <c r="L77" s="367">
        <f>'[2]Stavební rozpočet'!L74</f>
        <v>2E-05</v>
      </c>
      <c r="M77" s="367">
        <f>G77*L77</f>
        <v>0.00214</v>
      </c>
      <c r="N77" s="368" t="s">
        <v>36</v>
      </c>
      <c r="O77" s="346"/>
      <c r="P77" s="346"/>
      <c r="Q77" s="346"/>
      <c r="R77" s="346"/>
      <c r="S77" s="346"/>
      <c r="T77" s="346"/>
      <c r="U77" s="346"/>
      <c r="V77" s="346"/>
      <c r="W77" s="346"/>
      <c r="X77" s="346"/>
      <c r="Y77" s="311"/>
      <c r="Z77" s="367">
        <f>IF(AQ77="5",BJ77,0)</f>
        <v>0</v>
      </c>
      <c r="AA77" s="311"/>
      <c r="AB77" s="367">
        <f>IF(AQ77="1",BH77,0)</f>
        <v>0</v>
      </c>
      <c r="AC77" s="367">
        <f>IF(AQ77="1",BI77,0)</f>
        <v>0</v>
      </c>
      <c r="AD77" s="367">
        <f>IF(AQ77="7",BH77,0)</f>
        <v>0</v>
      </c>
      <c r="AE77" s="367">
        <f>IF(AQ77="7",BI77,0)</f>
        <v>0</v>
      </c>
      <c r="AF77" s="367">
        <f>IF(AQ77="2",BH77,0)</f>
        <v>0</v>
      </c>
      <c r="AG77" s="367">
        <f>IF(AQ77="2",BI77,0)</f>
        <v>0</v>
      </c>
      <c r="AH77" s="367">
        <f>IF(AQ77="0",BJ77,0)</f>
        <v>0</v>
      </c>
      <c r="AI77" s="351" t="s">
        <v>7</v>
      </c>
      <c r="AJ77" s="367">
        <f>IF(AN77=0,K77,0)</f>
        <v>0</v>
      </c>
      <c r="AK77" s="367">
        <f>IF(AN77=15,K77,0)</f>
        <v>0</v>
      </c>
      <c r="AL77" s="367">
        <f>IF(AN77=21,K77,0)</f>
        <v>0</v>
      </c>
      <c r="AM77" s="311"/>
      <c r="AN77" s="367">
        <v>21</v>
      </c>
      <c r="AO77" s="367">
        <f>H77*0.0614953271028037</f>
        <v>0</v>
      </c>
      <c r="AP77" s="367">
        <f>H77*(1-0.0614953271028037)</f>
        <v>0</v>
      </c>
      <c r="AQ77" s="369" t="s">
        <v>2</v>
      </c>
      <c r="AR77" s="311"/>
      <c r="AS77" s="311"/>
      <c r="AT77" s="311"/>
      <c r="AU77" s="311"/>
      <c r="AV77" s="367">
        <f>AW77+AX77</f>
        <v>0</v>
      </c>
      <c r="AW77" s="367">
        <f>G77*AO77</f>
        <v>0</v>
      </c>
      <c r="AX77" s="367">
        <f>G77*AP77</f>
        <v>0</v>
      </c>
      <c r="AY77" s="369" t="s">
        <v>448</v>
      </c>
      <c r="AZ77" s="369" t="s">
        <v>398</v>
      </c>
      <c r="BA77" s="351" t="s">
        <v>3</v>
      </c>
      <c r="BB77" s="311"/>
      <c r="BC77" s="367">
        <f>AW77+AX77</f>
        <v>0</v>
      </c>
      <c r="BD77" s="367">
        <f>H77/(100-BE77)*100</f>
        <v>0</v>
      </c>
      <c r="BE77" s="367">
        <v>0</v>
      </c>
      <c r="BF77" s="367">
        <f>M77</f>
        <v>0.00214</v>
      </c>
      <c r="BG77" s="311"/>
      <c r="BH77" s="367">
        <f>G77*AO77</f>
        <v>0</v>
      </c>
      <c r="BI77" s="367">
        <f>G77*AP77</f>
        <v>0</v>
      </c>
      <c r="BJ77" s="367">
        <f>G77*H77</f>
        <v>0</v>
      </c>
      <c r="BK77" s="367"/>
      <c r="BL77" s="367">
        <v>62</v>
      </c>
      <c r="BM77" s="311"/>
      <c r="BN77" s="311"/>
      <c r="BO77" s="311"/>
      <c r="BP77" s="311"/>
      <c r="BQ77" s="311"/>
      <c r="BR77" s="311"/>
      <c r="BS77" s="311"/>
      <c r="BT77" s="311"/>
      <c r="BU77" s="311"/>
    </row>
    <row r="78" spans="1:73" ht="15" customHeight="1">
      <c r="A78" s="370"/>
      <c r="B78" s="311"/>
      <c r="C78" s="311"/>
      <c r="D78" s="371" t="s">
        <v>29</v>
      </c>
      <c r="E78" s="372"/>
      <c r="F78" s="311"/>
      <c r="G78" s="373">
        <v>107.00000000000001</v>
      </c>
      <c r="H78" s="311"/>
      <c r="I78" s="311"/>
      <c r="J78" s="311"/>
      <c r="K78" s="311"/>
      <c r="L78" s="311"/>
      <c r="M78" s="311"/>
      <c r="N78" s="374"/>
      <c r="O78" s="346"/>
      <c r="P78" s="346"/>
      <c r="Q78" s="346"/>
      <c r="R78" s="346"/>
      <c r="S78" s="346"/>
      <c r="T78" s="346"/>
      <c r="U78" s="346"/>
      <c r="V78" s="346"/>
      <c r="W78" s="346"/>
      <c r="X78" s="346"/>
      <c r="Y78" s="311"/>
      <c r="Z78" s="311"/>
      <c r="AA78" s="311"/>
      <c r="AB78" s="311"/>
      <c r="AC78" s="311"/>
      <c r="AD78" s="311"/>
      <c r="AE78" s="311"/>
      <c r="AF78" s="311"/>
      <c r="AG78" s="311"/>
      <c r="AH78" s="311"/>
      <c r="AI78" s="311"/>
      <c r="AJ78" s="311"/>
      <c r="AK78" s="311"/>
      <c r="AL78" s="311"/>
      <c r="AM78" s="311"/>
      <c r="AN78" s="311"/>
      <c r="AO78" s="311"/>
      <c r="AP78" s="311"/>
      <c r="AQ78" s="311"/>
      <c r="AR78" s="311"/>
      <c r="AS78" s="311"/>
      <c r="AT78" s="311"/>
      <c r="AU78" s="311"/>
      <c r="AV78" s="311"/>
      <c r="AW78" s="311"/>
      <c r="AX78" s="311"/>
      <c r="AY78" s="311"/>
      <c r="AZ78" s="311"/>
      <c r="BA78" s="311"/>
      <c r="BB78" s="311"/>
      <c r="BC78" s="311"/>
      <c r="BD78" s="311"/>
      <c r="BE78" s="311"/>
      <c r="BF78" s="311"/>
      <c r="BG78" s="311"/>
      <c r="BH78" s="311"/>
      <c r="BI78" s="311"/>
      <c r="BJ78" s="311"/>
      <c r="BK78" s="311"/>
      <c r="BL78" s="311"/>
      <c r="BM78" s="311"/>
      <c r="BN78" s="311"/>
      <c r="BO78" s="311"/>
      <c r="BP78" s="311"/>
      <c r="BQ78" s="311"/>
      <c r="BR78" s="311"/>
      <c r="BS78" s="311"/>
      <c r="BT78" s="311"/>
      <c r="BU78" s="311"/>
    </row>
    <row r="79" spans="1:73" ht="15" customHeight="1">
      <c r="A79" s="365" t="s">
        <v>451</v>
      </c>
      <c r="B79" s="366" t="s">
        <v>7</v>
      </c>
      <c r="C79" s="366" t="s">
        <v>450</v>
      </c>
      <c r="D79" s="304" t="s">
        <v>449</v>
      </c>
      <c r="E79" s="304"/>
      <c r="F79" s="366" t="s">
        <v>89</v>
      </c>
      <c r="G79" s="367">
        <f>'[2]Stavební rozpočet'!G76</f>
        <v>107</v>
      </c>
      <c r="H79" s="328">
        <v>0</v>
      </c>
      <c r="I79" s="367">
        <f>G79*AO79</f>
        <v>0</v>
      </c>
      <c r="J79" s="367">
        <f>G79*AP79</f>
        <v>0</v>
      </c>
      <c r="K79" s="367">
        <f>G79*H79</f>
        <v>0</v>
      </c>
      <c r="L79" s="367">
        <f>'[2]Stavební rozpočet'!L76</f>
        <v>0.00087</v>
      </c>
      <c r="M79" s="367">
        <f>G79*L79</f>
        <v>0.09309</v>
      </c>
      <c r="N79" s="368" t="s">
        <v>36</v>
      </c>
      <c r="O79" s="346"/>
      <c r="P79" s="346"/>
      <c r="Q79" s="346"/>
      <c r="R79" s="346"/>
      <c r="S79" s="346"/>
      <c r="T79" s="346"/>
      <c r="U79" s="346"/>
      <c r="V79" s="346"/>
      <c r="W79" s="346"/>
      <c r="X79" s="346"/>
      <c r="Y79" s="311"/>
      <c r="Z79" s="367">
        <f>IF(AQ79="5",BJ79,0)</f>
        <v>0</v>
      </c>
      <c r="AA79" s="311"/>
      <c r="AB79" s="367">
        <f>IF(AQ79="1",BH79,0)</f>
        <v>0</v>
      </c>
      <c r="AC79" s="367">
        <f>IF(AQ79="1",BI79,0)</f>
        <v>0</v>
      </c>
      <c r="AD79" s="367">
        <f>IF(AQ79="7",BH79,0)</f>
        <v>0</v>
      </c>
      <c r="AE79" s="367">
        <f>IF(AQ79="7",BI79,0)</f>
        <v>0</v>
      </c>
      <c r="AF79" s="367">
        <f>IF(AQ79="2",BH79,0)</f>
        <v>0</v>
      </c>
      <c r="AG79" s="367">
        <f>IF(AQ79="2",BI79,0)</f>
        <v>0</v>
      </c>
      <c r="AH79" s="367">
        <f>IF(AQ79="0",BJ79,0)</f>
        <v>0</v>
      </c>
      <c r="AI79" s="351" t="s">
        <v>7</v>
      </c>
      <c r="AJ79" s="367">
        <f>IF(AN79=0,K79,0)</f>
        <v>0</v>
      </c>
      <c r="AK79" s="367">
        <f>IF(AN79=15,K79,0)</f>
        <v>0</v>
      </c>
      <c r="AL79" s="367">
        <f>IF(AN79=21,K79,0)</f>
        <v>0</v>
      </c>
      <c r="AM79" s="311"/>
      <c r="AN79" s="367">
        <v>21</v>
      </c>
      <c r="AO79" s="367">
        <f>H79*0.546867671691792</f>
        <v>0</v>
      </c>
      <c r="AP79" s="367">
        <f>H79*(1-0.546867671691792)</f>
        <v>0</v>
      </c>
      <c r="AQ79" s="369" t="s">
        <v>2</v>
      </c>
      <c r="AR79" s="311"/>
      <c r="AS79" s="311"/>
      <c r="AT79" s="311"/>
      <c r="AU79" s="311"/>
      <c r="AV79" s="367">
        <f>AW79+AX79</f>
        <v>0</v>
      </c>
      <c r="AW79" s="367">
        <f>G79*AO79</f>
        <v>0</v>
      </c>
      <c r="AX79" s="367">
        <f>G79*AP79</f>
        <v>0</v>
      </c>
      <c r="AY79" s="369" t="s">
        <v>448</v>
      </c>
      <c r="AZ79" s="369" t="s">
        <v>398</v>
      </c>
      <c r="BA79" s="351" t="s">
        <v>3</v>
      </c>
      <c r="BB79" s="311"/>
      <c r="BC79" s="367">
        <f>AW79+AX79</f>
        <v>0</v>
      </c>
      <c r="BD79" s="367">
        <f>H79/(100-BE79)*100</f>
        <v>0</v>
      </c>
      <c r="BE79" s="367">
        <v>0</v>
      </c>
      <c r="BF79" s="367">
        <f>M79</f>
        <v>0.09309</v>
      </c>
      <c r="BG79" s="311"/>
      <c r="BH79" s="367">
        <f>G79*AO79</f>
        <v>0</v>
      </c>
      <c r="BI79" s="367">
        <f>G79*AP79</f>
        <v>0</v>
      </c>
      <c r="BJ79" s="367">
        <f>G79*H79</f>
        <v>0</v>
      </c>
      <c r="BK79" s="367"/>
      <c r="BL79" s="367">
        <v>62</v>
      </c>
      <c r="BM79" s="311"/>
      <c r="BN79" s="311"/>
      <c r="BO79" s="311"/>
      <c r="BP79" s="311"/>
      <c r="BQ79" s="311"/>
      <c r="BR79" s="311"/>
      <c r="BS79" s="311"/>
      <c r="BT79" s="311"/>
      <c r="BU79" s="311"/>
    </row>
    <row r="80" spans="1:73" ht="15" customHeight="1">
      <c r="A80" s="370"/>
      <c r="B80" s="311"/>
      <c r="C80" s="311"/>
      <c r="D80" s="371" t="s">
        <v>29</v>
      </c>
      <c r="E80" s="372"/>
      <c r="F80" s="311"/>
      <c r="G80" s="373">
        <v>107.00000000000001</v>
      </c>
      <c r="H80" s="311"/>
      <c r="I80" s="311"/>
      <c r="J80" s="311"/>
      <c r="K80" s="311"/>
      <c r="L80" s="311"/>
      <c r="M80" s="311"/>
      <c r="N80" s="374"/>
      <c r="O80" s="346"/>
      <c r="P80" s="346"/>
      <c r="Q80" s="346"/>
      <c r="R80" s="346"/>
      <c r="S80" s="346"/>
      <c r="T80" s="346"/>
      <c r="U80" s="346"/>
      <c r="V80" s="346"/>
      <c r="W80" s="346"/>
      <c r="X80" s="346"/>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1"/>
      <c r="AY80" s="311"/>
      <c r="AZ80" s="311"/>
      <c r="BA80" s="311"/>
      <c r="BB80" s="311"/>
      <c r="BC80" s="311"/>
      <c r="BD80" s="311"/>
      <c r="BE80" s="311"/>
      <c r="BF80" s="311"/>
      <c r="BG80" s="311"/>
      <c r="BH80" s="311"/>
      <c r="BI80" s="311"/>
      <c r="BJ80" s="311"/>
      <c r="BK80" s="311"/>
      <c r="BL80" s="311"/>
      <c r="BM80" s="311"/>
      <c r="BN80" s="311"/>
      <c r="BO80" s="311"/>
      <c r="BP80" s="311"/>
      <c r="BQ80" s="311"/>
      <c r="BR80" s="311"/>
      <c r="BS80" s="311"/>
      <c r="BT80" s="311"/>
      <c r="BU80" s="311"/>
    </row>
    <row r="81" spans="1:73" ht="15" customHeight="1">
      <c r="A81" s="360"/>
      <c r="B81" s="361" t="s">
        <v>7</v>
      </c>
      <c r="C81" s="361" t="s">
        <v>262</v>
      </c>
      <c r="D81" s="362" t="s">
        <v>447</v>
      </c>
      <c r="E81" s="362"/>
      <c r="F81" s="363" t="s">
        <v>12</v>
      </c>
      <c r="G81" s="363" t="s">
        <v>12</v>
      </c>
      <c r="H81" s="363" t="s">
        <v>12</v>
      </c>
      <c r="I81" s="347">
        <f>SUM(I82:I107)</f>
        <v>0</v>
      </c>
      <c r="J81" s="347">
        <f>SUM(J82:J107)</f>
        <v>0</v>
      </c>
      <c r="K81" s="347">
        <f>SUM(K82:K107)</f>
        <v>0</v>
      </c>
      <c r="L81" s="351"/>
      <c r="M81" s="347">
        <f>SUM(M82:M107)</f>
        <v>24.191401398</v>
      </c>
      <c r="N81" s="364"/>
      <c r="O81" s="346"/>
      <c r="P81" s="346"/>
      <c r="Q81" s="346"/>
      <c r="R81" s="346"/>
      <c r="S81" s="346"/>
      <c r="T81" s="346"/>
      <c r="U81" s="346"/>
      <c r="V81" s="346"/>
      <c r="W81" s="346"/>
      <c r="X81" s="346"/>
      <c r="Y81" s="311"/>
      <c r="Z81" s="311"/>
      <c r="AA81" s="311"/>
      <c r="AB81" s="311"/>
      <c r="AC81" s="311"/>
      <c r="AD81" s="311"/>
      <c r="AE81" s="311"/>
      <c r="AF81" s="311"/>
      <c r="AG81" s="311"/>
      <c r="AH81" s="311"/>
      <c r="AI81" s="351" t="s">
        <v>7</v>
      </c>
      <c r="AJ81" s="311"/>
      <c r="AK81" s="311"/>
      <c r="AL81" s="311"/>
      <c r="AM81" s="311"/>
      <c r="AN81" s="311"/>
      <c r="AO81" s="311"/>
      <c r="AP81" s="311"/>
      <c r="AQ81" s="311"/>
      <c r="AR81" s="311"/>
      <c r="AS81" s="347">
        <f>SUM(AJ82:AJ107)</f>
        <v>0</v>
      </c>
      <c r="AT81" s="347">
        <f>SUM(AK82:AK107)</f>
        <v>0</v>
      </c>
      <c r="AU81" s="347">
        <f>SUM(AL82:AL107)</f>
        <v>0</v>
      </c>
      <c r="AV81" s="311"/>
      <c r="AW81" s="311"/>
      <c r="AX81" s="311"/>
      <c r="AY81" s="311"/>
      <c r="AZ81" s="311"/>
      <c r="BA81" s="311"/>
      <c r="BB81" s="311"/>
      <c r="BC81" s="311"/>
      <c r="BD81" s="311"/>
      <c r="BE81" s="311"/>
      <c r="BF81" s="311"/>
      <c r="BG81" s="311"/>
      <c r="BH81" s="311"/>
      <c r="BI81" s="311"/>
      <c r="BJ81" s="311"/>
      <c r="BK81" s="311"/>
      <c r="BL81" s="311"/>
      <c r="BM81" s="311"/>
      <c r="BN81" s="311"/>
      <c r="BO81" s="311"/>
      <c r="BP81" s="311"/>
      <c r="BQ81" s="311"/>
      <c r="BR81" s="311"/>
      <c r="BS81" s="311"/>
      <c r="BT81" s="311"/>
      <c r="BU81" s="311"/>
    </row>
    <row r="82" spans="1:73" ht="15" customHeight="1">
      <c r="A82" s="365" t="s">
        <v>446</v>
      </c>
      <c r="B82" s="366" t="s">
        <v>7</v>
      </c>
      <c r="C82" s="366" t="s">
        <v>445</v>
      </c>
      <c r="D82" s="304" t="s">
        <v>444</v>
      </c>
      <c r="E82" s="304"/>
      <c r="F82" s="366" t="s">
        <v>69</v>
      </c>
      <c r="G82" s="367">
        <f>'[2]Stavební rozpočet'!G79</f>
        <v>313.6</v>
      </c>
      <c r="H82" s="328">
        <v>0</v>
      </c>
      <c r="I82" s="367">
        <f>G82*AO82</f>
        <v>0</v>
      </c>
      <c r="J82" s="367">
        <f>G82*AP82</f>
        <v>0</v>
      </c>
      <c r="K82" s="367">
        <f>G82*H82</f>
        <v>0</v>
      </c>
      <c r="L82" s="367">
        <f>'[2]Stavební rozpočet'!L79</f>
        <v>0</v>
      </c>
      <c r="M82" s="367">
        <f>G82*L82</f>
        <v>0</v>
      </c>
      <c r="N82" s="368" t="s">
        <v>36</v>
      </c>
      <c r="O82" s="346"/>
      <c r="P82" s="346"/>
      <c r="Q82" s="346"/>
      <c r="R82" s="346"/>
      <c r="S82" s="346"/>
      <c r="T82" s="346"/>
      <c r="U82" s="346"/>
      <c r="V82" s="346"/>
      <c r="W82" s="346"/>
      <c r="X82" s="346"/>
      <c r="Y82" s="311"/>
      <c r="Z82" s="367">
        <f>IF(AQ82="5",BJ82,0)</f>
        <v>0</v>
      </c>
      <c r="AA82" s="311"/>
      <c r="AB82" s="367">
        <f>IF(AQ82="1",BH82,0)</f>
        <v>0</v>
      </c>
      <c r="AC82" s="367">
        <f>IF(AQ82="1",BI82,0)</f>
        <v>0</v>
      </c>
      <c r="AD82" s="367">
        <f>IF(AQ82="7",BH82,0)</f>
        <v>0</v>
      </c>
      <c r="AE82" s="367">
        <f>IF(AQ82="7",BI82,0)</f>
        <v>0</v>
      </c>
      <c r="AF82" s="367">
        <f>IF(AQ82="2",BH82,0)</f>
        <v>0</v>
      </c>
      <c r="AG82" s="367">
        <f>IF(AQ82="2",BI82,0)</f>
        <v>0</v>
      </c>
      <c r="AH82" s="367">
        <f>IF(AQ82="0",BJ82,0)</f>
        <v>0</v>
      </c>
      <c r="AI82" s="351" t="s">
        <v>7</v>
      </c>
      <c r="AJ82" s="367">
        <f>IF(AN82=0,K82,0)</f>
        <v>0</v>
      </c>
      <c r="AK82" s="367">
        <f>IF(AN82=15,K82,0)</f>
        <v>0</v>
      </c>
      <c r="AL82" s="367">
        <f>IF(AN82=21,K82,0)</f>
        <v>0</v>
      </c>
      <c r="AM82" s="311"/>
      <c r="AN82" s="367">
        <v>21</v>
      </c>
      <c r="AO82" s="367">
        <f>H82*0.540029188531378</f>
        <v>0</v>
      </c>
      <c r="AP82" s="367">
        <f>H82*(1-0.540029188531378)</f>
        <v>0</v>
      </c>
      <c r="AQ82" s="369" t="s">
        <v>2</v>
      </c>
      <c r="AR82" s="311"/>
      <c r="AS82" s="311"/>
      <c r="AT82" s="311"/>
      <c r="AU82" s="311"/>
      <c r="AV82" s="367">
        <f>AW82+AX82</f>
        <v>0</v>
      </c>
      <c r="AW82" s="367">
        <f>G82*AO82</f>
        <v>0</v>
      </c>
      <c r="AX82" s="367">
        <f>G82*AP82</f>
        <v>0</v>
      </c>
      <c r="AY82" s="369" t="s">
        <v>399</v>
      </c>
      <c r="AZ82" s="369" t="s">
        <v>398</v>
      </c>
      <c r="BA82" s="351" t="s">
        <v>3</v>
      </c>
      <c r="BB82" s="311"/>
      <c r="BC82" s="367">
        <f>AW82+AX82</f>
        <v>0</v>
      </c>
      <c r="BD82" s="367">
        <f>H82/(100-BE82)*100</f>
        <v>0</v>
      </c>
      <c r="BE82" s="367">
        <v>0</v>
      </c>
      <c r="BF82" s="367">
        <f>M82</f>
        <v>0</v>
      </c>
      <c r="BG82" s="311"/>
      <c r="BH82" s="367">
        <f>G82*AO82</f>
        <v>0</v>
      </c>
      <c r="BI82" s="367">
        <f>G82*AP82</f>
        <v>0</v>
      </c>
      <c r="BJ82" s="367">
        <f>G82*H82</f>
        <v>0</v>
      </c>
      <c r="BK82" s="367"/>
      <c r="BL82" s="367">
        <v>63</v>
      </c>
      <c r="BM82" s="311"/>
      <c r="BN82" s="311"/>
      <c r="BO82" s="311"/>
      <c r="BP82" s="311"/>
      <c r="BQ82" s="311"/>
      <c r="BR82" s="311"/>
      <c r="BS82" s="311"/>
      <c r="BT82" s="311"/>
      <c r="BU82" s="311"/>
    </row>
    <row r="83" spans="1:73" ht="15" customHeight="1">
      <c r="A83" s="370"/>
      <c r="B83" s="311"/>
      <c r="C83" s="311"/>
      <c r="D83" s="371" t="s">
        <v>443</v>
      </c>
      <c r="E83" s="372"/>
      <c r="F83" s="311"/>
      <c r="G83" s="373">
        <v>296.6</v>
      </c>
      <c r="H83" s="311"/>
      <c r="I83" s="311"/>
      <c r="J83" s="311"/>
      <c r="K83" s="311"/>
      <c r="L83" s="311"/>
      <c r="M83" s="311"/>
      <c r="N83" s="374"/>
      <c r="O83" s="346"/>
      <c r="P83" s="346"/>
      <c r="Q83" s="346"/>
      <c r="R83" s="346"/>
      <c r="S83" s="346"/>
      <c r="T83" s="346"/>
      <c r="U83" s="346"/>
      <c r="V83" s="346"/>
      <c r="W83" s="346"/>
      <c r="X83" s="346"/>
      <c r="Y83" s="311"/>
      <c r="Z83" s="311"/>
      <c r="AA83" s="311"/>
      <c r="AB83" s="311"/>
      <c r="AC83" s="311"/>
      <c r="AD83" s="311"/>
      <c r="AE83" s="311"/>
      <c r="AF83" s="311"/>
      <c r="AG83" s="311"/>
      <c r="AH83" s="311"/>
      <c r="AI83" s="311"/>
      <c r="AJ83" s="311"/>
      <c r="AK83" s="311"/>
      <c r="AL83" s="311"/>
      <c r="AM83" s="311"/>
      <c r="AN83" s="311"/>
      <c r="AO83" s="311"/>
      <c r="AP83" s="311"/>
      <c r="AQ83" s="311"/>
      <c r="AR83" s="311"/>
      <c r="AS83" s="311"/>
      <c r="AT83" s="311"/>
      <c r="AU83" s="311"/>
      <c r="AV83" s="311"/>
      <c r="AW83" s="311"/>
      <c r="AX83" s="311"/>
      <c r="AY83" s="311"/>
      <c r="AZ83" s="311"/>
      <c r="BA83" s="311"/>
      <c r="BB83" s="311"/>
      <c r="BC83" s="311"/>
      <c r="BD83" s="311"/>
      <c r="BE83" s="311"/>
      <c r="BF83" s="311"/>
      <c r="BG83" s="311"/>
      <c r="BH83" s="311"/>
      <c r="BI83" s="311"/>
      <c r="BJ83" s="311"/>
      <c r="BK83" s="311"/>
      <c r="BL83" s="311"/>
      <c r="BM83" s="311"/>
      <c r="BN83" s="311"/>
      <c r="BO83" s="311"/>
      <c r="BP83" s="311"/>
      <c r="BQ83" s="311"/>
      <c r="BR83" s="311"/>
      <c r="BS83" s="311"/>
      <c r="BT83" s="311"/>
      <c r="BU83" s="311"/>
    </row>
    <row r="84" spans="1:73" ht="15" customHeight="1">
      <c r="A84" s="370"/>
      <c r="B84" s="311"/>
      <c r="C84" s="311"/>
      <c r="D84" s="371" t="s">
        <v>442</v>
      </c>
      <c r="E84" s="372"/>
      <c r="F84" s="311"/>
      <c r="G84" s="373">
        <v>17</v>
      </c>
      <c r="H84" s="311"/>
      <c r="I84" s="311"/>
      <c r="J84" s="311"/>
      <c r="K84" s="311"/>
      <c r="L84" s="311"/>
      <c r="M84" s="311"/>
      <c r="N84" s="374"/>
      <c r="O84" s="346"/>
      <c r="P84" s="346"/>
      <c r="Q84" s="346"/>
      <c r="R84" s="346"/>
      <c r="S84" s="346"/>
      <c r="T84" s="346"/>
      <c r="U84" s="346"/>
      <c r="V84" s="346"/>
      <c r="W84" s="346"/>
      <c r="X84" s="346"/>
      <c r="Y84" s="311"/>
      <c r="Z84" s="311"/>
      <c r="AA84" s="311"/>
      <c r="AB84" s="311"/>
      <c r="AC84" s="311"/>
      <c r="AD84" s="311"/>
      <c r="AE84" s="311"/>
      <c r="AF84" s="311"/>
      <c r="AG84" s="311"/>
      <c r="AH84" s="311"/>
      <c r="AI84" s="311"/>
      <c r="AJ84" s="311"/>
      <c r="AK84" s="311"/>
      <c r="AL84" s="311"/>
      <c r="AM84" s="311"/>
      <c r="AN84" s="311"/>
      <c r="AO84" s="311"/>
      <c r="AP84" s="311"/>
      <c r="AQ84" s="311"/>
      <c r="AR84" s="311"/>
      <c r="AS84" s="311"/>
      <c r="AT84" s="311"/>
      <c r="AU84" s="311"/>
      <c r="AV84" s="311"/>
      <c r="AW84" s="311"/>
      <c r="AX84" s="311"/>
      <c r="AY84" s="311"/>
      <c r="AZ84" s="311"/>
      <c r="BA84" s="311"/>
      <c r="BB84" s="311"/>
      <c r="BC84" s="311"/>
      <c r="BD84" s="311"/>
      <c r="BE84" s="311"/>
      <c r="BF84" s="311"/>
      <c r="BG84" s="311"/>
      <c r="BH84" s="311"/>
      <c r="BI84" s="311"/>
      <c r="BJ84" s="311"/>
      <c r="BK84" s="311"/>
      <c r="BL84" s="311"/>
      <c r="BM84" s="311"/>
      <c r="BN84" s="311"/>
      <c r="BO84" s="311"/>
      <c r="BP84" s="311"/>
      <c r="BQ84" s="311"/>
      <c r="BR84" s="311"/>
      <c r="BS84" s="311"/>
      <c r="BT84" s="311"/>
      <c r="BU84" s="311"/>
    </row>
    <row r="85" spans="1:73" ht="15" customHeight="1">
      <c r="A85" s="365" t="s">
        <v>441</v>
      </c>
      <c r="B85" s="366" t="s">
        <v>7</v>
      </c>
      <c r="C85" s="366" t="s">
        <v>440</v>
      </c>
      <c r="D85" s="304" t="s">
        <v>439</v>
      </c>
      <c r="E85" s="304"/>
      <c r="F85" s="366" t="s">
        <v>79</v>
      </c>
      <c r="G85" s="367">
        <f>'[2]Stavební rozpočet'!G82</f>
        <v>4.383</v>
      </c>
      <c r="H85" s="328">
        <v>0</v>
      </c>
      <c r="I85" s="367">
        <f>G85*AO85</f>
        <v>0</v>
      </c>
      <c r="J85" s="367">
        <f>G85*AP85</f>
        <v>0</v>
      </c>
      <c r="K85" s="367">
        <f>G85*H85</f>
        <v>0</v>
      </c>
      <c r="L85" s="367">
        <f>'[2]Stavební rozpočet'!L82</f>
        <v>0.04</v>
      </c>
      <c r="M85" s="367">
        <f>G85*L85</f>
        <v>0.17532</v>
      </c>
      <c r="N85" s="368" t="s">
        <v>36</v>
      </c>
      <c r="O85" s="346"/>
      <c r="P85" s="346"/>
      <c r="Q85" s="346"/>
      <c r="R85" s="346"/>
      <c r="S85" s="346"/>
      <c r="T85" s="346"/>
      <c r="U85" s="346"/>
      <c r="V85" s="346"/>
      <c r="W85" s="346"/>
      <c r="X85" s="346"/>
      <c r="Y85" s="311"/>
      <c r="Z85" s="367">
        <f>IF(AQ85="5",BJ85,0)</f>
        <v>0</v>
      </c>
      <c r="AA85" s="311"/>
      <c r="AB85" s="367">
        <f>IF(AQ85="1",BH85,0)</f>
        <v>0</v>
      </c>
      <c r="AC85" s="367">
        <f>IF(AQ85="1",BI85,0)</f>
        <v>0</v>
      </c>
      <c r="AD85" s="367">
        <f>IF(AQ85="7",BH85,0)</f>
        <v>0</v>
      </c>
      <c r="AE85" s="367">
        <f>IF(AQ85="7",BI85,0)</f>
        <v>0</v>
      </c>
      <c r="AF85" s="367">
        <f>IF(AQ85="2",BH85,0)</f>
        <v>0</v>
      </c>
      <c r="AG85" s="367">
        <f>IF(AQ85="2",BI85,0)</f>
        <v>0</v>
      </c>
      <c r="AH85" s="367">
        <f>IF(AQ85="0",BJ85,0)</f>
        <v>0</v>
      </c>
      <c r="AI85" s="351" t="s">
        <v>7</v>
      </c>
      <c r="AJ85" s="367">
        <f>IF(AN85=0,K85,0)</f>
        <v>0</v>
      </c>
      <c r="AK85" s="367">
        <f>IF(AN85=15,K85,0)</f>
        <v>0</v>
      </c>
      <c r="AL85" s="367">
        <f>IF(AN85=21,K85,0)</f>
        <v>0</v>
      </c>
      <c r="AM85" s="311"/>
      <c r="AN85" s="367">
        <v>21</v>
      </c>
      <c r="AO85" s="367">
        <f>H85*0.111910646322647</f>
        <v>0</v>
      </c>
      <c r="AP85" s="367">
        <f>H85*(1-0.111910646322647)</f>
        <v>0</v>
      </c>
      <c r="AQ85" s="369" t="s">
        <v>2</v>
      </c>
      <c r="AR85" s="311"/>
      <c r="AS85" s="311"/>
      <c r="AT85" s="311"/>
      <c r="AU85" s="311"/>
      <c r="AV85" s="367">
        <f>AW85+AX85</f>
        <v>0</v>
      </c>
      <c r="AW85" s="367">
        <f>G85*AO85</f>
        <v>0</v>
      </c>
      <c r="AX85" s="367">
        <f>G85*AP85</f>
        <v>0</v>
      </c>
      <c r="AY85" s="369" t="s">
        <v>399</v>
      </c>
      <c r="AZ85" s="369" t="s">
        <v>398</v>
      </c>
      <c r="BA85" s="351" t="s">
        <v>3</v>
      </c>
      <c r="BB85" s="311"/>
      <c r="BC85" s="367">
        <f>AW85+AX85</f>
        <v>0</v>
      </c>
      <c r="BD85" s="367">
        <f>H85/(100-BE85)*100</f>
        <v>0</v>
      </c>
      <c r="BE85" s="367">
        <v>0</v>
      </c>
      <c r="BF85" s="367">
        <f>M85</f>
        <v>0.17532</v>
      </c>
      <c r="BG85" s="311"/>
      <c r="BH85" s="367">
        <f>G85*AO85</f>
        <v>0</v>
      </c>
      <c r="BI85" s="367">
        <f>G85*AP85</f>
        <v>0</v>
      </c>
      <c r="BJ85" s="367">
        <f>G85*H85</f>
        <v>0</v>
      </c>
      <c r="BK85" s="367"/>
      <c r="BL85" s="367">
        <v>63</v>
      </c>
      <c r="BM85" s="311"/>
      <c r="BN85" s="311"/>
      <c r="BO85" s="311"/>
      <c r="BP85" s="311"/>
      <c r="BQ85" s="311"/>
      <c r="BR85" s="311"/>
      <c r="BS85" s="311"/>
      <c r="BT85" s="311"/>
      <c r="BU85" s="311"/>
    </row>
    <row r="86" spans="1:73" ht="15" customHeight="1">
      <c r="A86" s="370"/>
      <c r="B86" s="311"/>
      <c r="C86" s="311"/>
      <c r="D86" s="371" t="s">
        <v>438</v>
      </c>
      <c r="E86" s="372"/>
      <c r="F86" s="311"/>
      <c r="G86" s="373">
        <v>4.383</v>
      </c>
      <c r="H86" s="311"/>
      <c r="I86" s="311"/>
      <c r="J86" s="311"/>
      <c r="K86" s="311"/>
      <c r="L86" s="311"/>
      <c r="M86" s="311"/>
      <c r="N86" s="374"/>
      <c r="O86" s="346"/>
      <c r="P86" s="346"/>
      <c r="Q86" s="346"/>
      <c r="R86" s="346"/>
      <c r="S86" s="346"/>
      <c r="T86" s="346"/>
      <c r="U86" s="346"/>
      <c r="V86" s="346"/>
      <c r="W86" s="346"/>
      <c r="X86" s="346"/>
      <c r="Y86" s="311"/>
      <c r="Z86" s="311"/>
      <c r="AA86" s="311"/>
      <c r="AB86" s="311"/>
      <c r="AC86" s="311"/>
      <c r="AD86" s="311"/>
      <c r="AE86" s="311"/>
      <c r="AF86" s="311"/>
      <c r="AG86" s="311"/>
      <c r="AH86" s="311"/>
      <c r="AI86" s="311"/>
      <c r="AJ86" s="311"/>
      <c r="AK86" s="311"/>
      <c r="AL86" s="311"/>
      <c r="AM86" s="311"/>
      <c r="AN86" s="311"/>
      <c r="AO86" s="311"/>
      <c r="AP86" s="311"/>
      <c r="AQ86" s="311"/>
      <c r="AR86" s="311"/>
      <c r="AS86" s="311"/>
      <c r="AT86" s="311"/>
      <c r="AU86" s="311"/>
      <c r="AV86" s="311"/>
      <c r="AW86" s="311"/>
      <c r="AX86" s="311"/>
      <c r="AY86" s="311"/>
      <c r="AZ86" s="311"/>
      <c r="BA86" s="311"/>
      <c r="BB86" s="311"/>
      <c r="BC86" s="311"/>
      <c r="BD86" s="311"/>
      <c r="BE86" s="311"/>
      <c r="BF86" s="311"/>
      <c r="BG86" s="311"/>
      <c r="BH86" s="311"/>
      <c r="BI86" s="311"/>
      <c r="BJ86" s="311"/>
      <c r="BK86" s="311"/>
      <c r="BL86" s="311"/>
      <c r="BM86" s="311"/>
      <c r="BN86" s="311"/>
      <c r="BO86" s="311"/>
      <c r="BP86" s="311"/>
      <c r="BQ86" s="311"/>
      <c r="BR86" s="311"/>
      <c r="BS86" s="311"/>
      <c r="BT86" s="311"/>
      <c r="BU86" s="311"/>
    </row>
    <row r="87" spans="1:73" ht="15" customHeight="1">
      <c r="A87" s="365" t="s">
        <v>437</v>
      </c>
      <c r="B87" s="366" t="s">
        <v>7</v>
      </c>
      <c r="C87" s="366" t="s">
        <v>436</v>
      </c>
      <c r="D87" s="304" t="s">
        <v>435</v>
      </c>
      <c r="E87" s="304"/>
      <c r="F87" s="366" t="s">
        <v>79</v>
      </c>
      <c r="G87" s="367">
        <f>'[2]Stavební rozpočet'!G84</f>
        <v>4.383</v>
      </c>
      <c r="H87" s="328">
        <v>0</v>
      </c>
      <c r="I87" s="367">
        <f>G87*AO87</f>
        <v>0</v>
      </c>
      <c r="J87" s="367">
        <f>G87*AP87</f>
        <v>0</v>
      </c>
      <c r="K87" s="367">
        <f>G87*H87</f>
        <v>0</v>
      </c>
      <c r="L87" s="367">
        <f>'[2]Stavební rozpočet'!L84</f>
        <v>2.525</v>
      </c>
      <c r="M87" s="367">
        <f>G87*L87</f>
        <v>11.067074999999999</v>
      </c>
      <c r="N87" s="368" t="s">
        <v>36</v>
      </c>
      <c r="O87" s="346"/>
      <c r="P87" s="346"/>
      <c r="Q87" s="346"/>
      <c r="R87" s="346"/>
      <c r="S87" s="346"/>
      <c r="T87" s="346"/>
      <c r="U87" s="346"/>
      <c r="V87" s="346"/>
      <c r="W87" s="346"/>
      <c r="X87" s="346"/>
      <c r="Y87" s="311"/>
      <c r="Z87" s="367">
        <f>IF(AQ87="5",BJ87,0)</f>
        <v>0</v>
      </c>
      <c r="AA87" s="311"/>
      <c r="AB87" s="367">
        <f>IF(AQ87="1",BH87,0)</f>
        <v>0</v>
      </c>
      <c r="AC87" s="367">
        <f>IF(AQ87="1",BI87,0)</f>
        <v>0</v>
      </c>
      <c r="AD87" s="367">
        <f>IF(AQ87="7",BH87,0)</f>
        <v>0</v>
      </c>
      <c r="AE87" s="367">
        <f>IF(AQ87="7",BI87,0)</f>
        <v>0</v>
      </c>
      <c r="AF87" s="367">
        <f>IF(AQ87="2",BH87,0)</f>
        <v>0</v>
      </c>
      <c r="AG87" s="367">
        <f>IF(AQ87="2",BI87,0)</f>
        <v>0</v>
      </c>
      <c r="AH87" s="367">
        <f>IF(AQ87="0",BJ87,0)</f>
        <v>0</v>
      </c>
      <c r="AI87" s="351" t="s">
        <v>7</v>
      </c>
      <c r="AJ87" s="367">
        <f>IF(AN87=0,K87,0)</f>
        <v>0</v>
      </c>
      <c r="AK87" s="367">
        <f>IF(AN87=15,K87,0)</f>
        <v>0</v>
      </c>
      <c r="AL87" s="367">
        <f>IF(AN87=21,K87,0)</f>
        <v>0</v>
      </c>
      <c r="AM87" s="311"/>
      <c r="AN87" s="367">
        <v>21</v>
      </c>
      <c r="AO87" s="367">
        <f>H87*0.698453986328519</f>
        <v>0</v>
      </c>
      <c r="AP87" s="367">
        <f>H87*(1-0.698453986328519)</f>
        <v>0</v>
      </c>
      <c r="AQ87" s="369" t="s">
        <v>2</v>
      </c>
      <c r="AR87" s="311"/>
      <c r="AS87" s="311"/>
      <c r="AT87" s="311"/>
      <c r="AU87" s="311"/>
      <c r="AV87" s="367">
        <f>AW87+AX87</f>
        <v>0</v>
      </c>
      <c r="AW87" s="367">
        <f>G87*AO87</f>
        <v>0</v>
      </c>
      <c r="AX87" s="367">
        <f>G87*AP87</f>
        <v>0</v>
      </c>
      <c r="AY87" s="369" t="s">
        <v>399</v>
      </c>
      <c r="AZ87" s="369" t="s">
        <v>398</v>
      </c>
      <c r="BA87" s="351" t="s">
        <v>3</v>
      </c>
      <c r="BB87" s="311"/>
      <c r="BC87" s="367">
        <f>AW87+AX87</f>
        <v>0</v>
      </c>
      <c r="BD87" s="367">
        <f>H87/(100-BE87)*100</f>
        <v>0</v>
      </c>
      <c r="BE87" s="367">
        <v>0</v>
      </c>
      <c r="BF87" s="367">
        <f>M87</f>
        <v>11.067074999999999</v>
      </c>
      <c r="BG87" s="311"/>
      <c r="BH87" s="367">
        <f>G87*AO87</f>
        <v>0</v>
      </c>
      <c r="BI87" s="367">
        <f>G87*AP87</f>
        <v>0</v>
      </c>
      <c r="BJ87" s="367">
        <f>G87*H87</f>
        <v>0</v>
      </c>
      <c r="BK87" s="367"/>
      <c r="BL87" s="367">
        <v>63</v>
      </c>
      <c r="BM87" s="311"/>
      <c r="BN87" s="311"/>
      <c r="BO87" s="311"/>
      <c r="BP87" s="311"/>
      <c r="BQ87" s="311"/>
      <c r="BR87" s="311"/>
      <c r="BS87" s="311"/>
      <c r="BT87" s="311"/>
      <c r="BU87" s="311"/>
    </row>
    <row r="88" spans="1:73" ht="15" customHeight="1">
      <c r="A88" s="370"/>
      <c r="B88" s="311"/>
      <c r="C88" s="311"/>
      <c r="D88" s="371" t="s">
        <v>434</v>
      </c>
      <c r="E88" s="372"/>
      <c r="F88" s="311"/>
      <c r="G88" s="373">
        <v>4.383</v>
      </c>
      <c r="H88" s="311"/>
      <c r="I88" s="311"/>
      <c r="J88" s="311"/>
      <c r="K88" s="311"/>
      <c r="L88" s="311"/>
      <c r="M88" s="311"/>
      <c r="N88" s="374"/>
      <c r="O88" s="346"/>
      <c r="P88" s="346"/>
      <c r="Q88" s="346"/>
      <c r="R88" s="346"/>
      <c r="S88" s="346"/>
      <c r="T88" s="346"/>
      <c r="U88" s="346"/>
      <c r="V88" s="346"/>
      <c r="W88" s="346"/>
      <c r="X88" s="346"/>
      <c r="Y88" s="311"/>
      <c r="Z88" s="311"/>
      <c r="AA88" s="311"/>
      <c r="AB88" s="311"/>
      <c r="AC88" s="311"/>
      <c r="AD88" s="311"/>
      <c r="AE88" s="311"/>
      <c r="AF88" s="311"/>
      <c r="AG88" s="311"/>
      <c r="AH88" s="311"/>
      <c r="AI88" s="311"/>
      <c r="AJ88" s="311"/>
      <c r="AK88" s="311"/>
      <c r="AL88" s="311"/>
      <c r="AM88" s="311"/>
      <c r="AN88" s="311"/>
      <c r="AO88" s="311"/>
      <c r="AP88" s="311"/>
      <c r="AQ88" s="311"/>
      <c r="AR88" s="311"/>
      <c r="AS88" s="311"/>
      <c r="AT88" s="311"/>
      <c r="AU88" s="311"/>
      <c r="AV88" s="311"/>
      <c r="AW88" s="311"/>
      <c r="AX88" s="311"/>
      <c r="AY88" s="311"/>
      <c r="AZ88" s="311"/>
      <c r="BA88" s="311"/>
      <c r="BB88" s="311"/>
      <c r="BC88" s="311"/>
      <c r="BD88" s="311"/>
      <c r="BE88" s="311"/>
      <c r="BF88" s="311"/>
      <c r="BG88" s="311"/>
      <c r="BH88" s="311"/>
      <c r="BI88" s="311"/>
      <c r="BJ88" s="311"/>
      <c r="BK88" s="311"/>
      <c r="BL88" s="311"/>
      <c r="BM88" s="311"/>
      <c r="BN88" s="311"/>
      <c r="BO88" s="311"/>
      <c r="BP88" s="311"/>
      <c r="BQ88" s="311"/>
      <c r="BR88" s="311"/>
      <c r="BS88" s="311"/>
      <c r="BT88" s="311"/>
      <c r="BU88" s="311"/>
    </row>
    <row r="89" spans="1:73" ht="15" customHeight="1">
      <c r="A89" s="365" t="s">
        <v>433</v>
      </c>
      <c r="B89" s="366" t="s">
        <v>7</v>
      </c>
      <c r="C89" s="366" t="s">
        <v>432</v>
      </c>
      <c r="D89" s="304" t="s">
        <v>431</v>
      </c>
      <c r="E89" s="304"/>
      <c r="F89" s="366" t="s">
        <v>89</v>
      </c>
      <c r="G89" s="367">
        <f>'[2]Stavební rozpočet'!G86</f>
        <v>9.74</v>
      </c>
      <c r="H89" s="328">
        <v>0</v>
      </c>
      <c r="I89" s="367">
        <f>G89*AO89</f>
        <v>0</v>
      </c>
      <c r="J89" s="367">
        <f>G89*AP89</f>
        <v>0</v>
      </c>
      <c r="K89" s="367">
        <f>G89*H89</f>
        <v>0</v>
      </c>
      <c r="L89" s="367">
        <f>'[2]Stavební rozpočet'!L86</f>
        <v>0.0141</v>
      </c>
      <c r="M89" s="367">
        <f>G89*L89</f>
        <v>0.137334</v>
      </c>
      <c r="N89" s="368" t="s">
        <v>36</v>
      </c>
      <c r="O89" s="346"/>
      <c r="P89" s="346"/>
      <c r="Q89" s="346"/>
      <c r="R89" s="346"/>
      <c r="S89" s="346"/>
      <c r="T89" s="346"/>
      <c r="U89" s="346"/>
      <c r="V89" s="346"/>
      <c r="W89" s="346"/>
      <c r="X89" s="346"/>
      <c r="Y89" s="311"/>
      <c r="Z89" s="367">
        <f>IF(AQ89="5",BJ89,0)</f>
        <v>0</v>
      </c>
      <c r="AA89" s="311"/>
      <c r="AB89" s="367">
        <f>IF(AQ89="1",BH89,0)</f>
        <v>0</v>
      </c>
      <c r="AC89" s="367">
        <f>IF(AQ89="1",BI89,0)</f>
        <v>0</v>
      </c>
      <c r="AD89" s="367">
        <f>IF(AQ89="7",BH89,0)</f>
        <v>0</v>
      </c>
      <c r="AE89" s="367">
        <f>IF(AQ89="7",BI89,0)</f>
        <v>0</v>
      </c>
      <c r="AF89" s="367">
        <f>IF(AQ89="2",BH89,0)</f>
        <v>0</v>
      </c>
      <c r="AG89" s="367">
        <f>IF(AQ89="2",BI89,0)</f>
        <v>0</v>
      </c>
      <c r="AH89" s="367">
        <f>IF(AQ89="0",BJ89,0)</f>
        <v>0</v>
      </c>
      <c r="AI89" s="351" t="s">
        <v>7</v>
      </c>
      <c r="AJ89" s="367">
        <f>IF(AN89=0,K89,0)</f>
        <v>0</v>
      </c>
      <c r="AK89" s="367">
        <f>IF(AN89=15,K89,0)</f>
        <v>0</v>
      </c>
      <c r="AL89" s="367">
        <f>IF(AN89=21,K89,0)</f>
        <v>0</v>
      </c>
      <c r="AM89" s="311"/>
      <c r="AN89" s="367">
        <v>21</v>
      </c>
      <c r="AO89" s="367">
        <f>H89*0.485106406770185</f>
        <v>0</v>
      </c>
      <c r="AP89" s="367">
        <f>H89*(1-0.485106406770185)</f>
        <v>0</v>
      </c>
      <c r="AQ89" s="369" t="s">
        <v>2</v>
      </c>
      <c r="AR89" s="311"/>
      <c r="AS89" s="311"/>
      <c r="AT89" s="311"/>
      <c r="AU89" s="311"/>
      <c r="AV89" s="367">
        <f>AW89+AX89</f>
        <v>0</v>
      </c>
      <c r="AW89" s="367">
        <f>G89*AO89</f>
        <v>0</v>
      </c>
      <c r="AX89" s="367">
        <f>G89*AP89</f>
        <v>0</v>
      </c>
      <c r="AY89" s="369" t="s">
        <v>399</v>
      </c>
      <c r="AZ89" s="369" t="s">
        <v>398</v>
      </c>
      <c r="BA89" s="351" t="s">
        <v>3</v>
      </c>
      <c r="BB89" s="311"/>
      <c r="BC89" s="367">
        <f>AW89+AX89</f>
        <v>0</v>
      </c>
      <c r="BD89" s="367">
        <f>H89/(100-BE89)*100</f>
        <v>0</v>
      </c>
      <c r="BE89" s="367">
        <v>0</v>
      </c>
      <c r="BF89" s="367">
        <f>M89</f>
        <v>0.137334</v>
      </c>
      <c r="BG89" s="311"/>
      <c r="BH89" s="367">
        <f>G89*AO89</f>
        <v>0</v>
      </c>
      <c r="BI89" s="367">
        <f>G89*AP89</f>
        <v>0</v>
      </c>
      <c r="BJ89" s="367">
        <f>G89*H89</f>
        <v>0</v>
      </c>
      <c r="BK89" s="367"/>
      <c r="BL89" s="367">
        <v>63</v>
      </c>
      <c r="BM89" s="311"/>
      <c r="BN89" s="311"/>
      <c r="BO89" s="311"/>
      <c r="BP89" s="311"/>
      <c r="BQ89" s="311"/>
      <c r="BR89" s="311"/>
      <c r="BS89" s="311"/>
      <c r="BT89" s="311"/>
      <c r="BU89" s="311"/>
    </row>
    <row r="90" spans="1:73" ht="15" customHeight="1">
      <c r="A90" s="370"/>
      <c r="B90" s="311"/>
      <c r="C90" s="311"/>
      <c r="D90" s="371" t="s">
        <v>430</v>
      </c>
      <c r="E90" s="372"/>
      <c r="F90" s="311"/>
      <c r="G90" s="373">
        <v>9.74</v>
      </c>
      <c r="H90" s="311"/>
      <c r="I90" s="311"/>
      <c r="J90" s="311"/>
      <c r="K90" s="311"/>
      <c r="L90" s="311"/>
      <c r="M90" s="311"/>
      <c r="N90" s="374"/>
      <c r="O90" s="346"/>
      <c r="P90" s="346"/>
      <c r="Q90" s="346"/>
      <c r="R90" s="346"/>
      <c r="S90" s="346"/>
      <c r="T90" s="346"/>
      <c r="U90" s="346"/>
      <c r="V90" s="346"/>
      <c r="W90" s="346"/>
      <c r="X90" s="346"/>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311"/>
      <c r="BA90" s="311"/>
      <c r="BB90" s="311"/>
      <c r="BC90" s="311"/>
      <c r="BD90" s="311"/>
      <c r="BE90" s="311"/>
      <c r="BF90" s="311"/>
      <c r="BG90" s="311"/>
      <c r="BH90" s="311"/>
      <c r="BI90" s="311"/>
      <c r="BJ90" s="311"/>
      <c r="BK90" s="311"/>
      <c r="BL90" s="311"/>
      <c r="BM90" s="311"/>
      <c r="BN90" s="311"/>
      <c r="BO90" s="311"/>
      <c r="BP90" s="311"/>
      <c r="BQ90" s="311"/>
      <c r="BR90" s="311"/>
      <c r="BS90" s="311"/>
      <c r="BT90" s="311"/>
      <c r="BU90" s="311"/>
    </row>
    <row r="91" spans="1:73" ht="15" customHeight="1">
      <c r="A91" s="365" t="s">
        <v>429</v>
      </c>
      <c r="B91" s="366" t="s">
        <v>7</v>
      </c>
      <c r="C91" s="366" t="s">
        <v>428</v>
      </c>
      <c r="D91" s="304" t="s">
        <v>427</v>
      </c>
      <c r="E91" s="304"/>
      <c r="F91" s="366" t="s">
        <v>89</v>
      </c>
      <c r="G91" s="367">
        <f>'[2]Stavební rozpočet'!G88</f>
        <v>9.74</v>
      </c>
      <c r="H91" s="328">
        <v>0</v>
      </c>
      <c r="I91" s="367">
        <f>G91*AO91</f>
        <v>0</v>
      </c>
      <c r="J91" s="367">
        <f>G91*AP91</f>
        <v>0</v>
      </c>
      <c r="K91" s="367">
        <f>G91*H91</f>
        <v>0</v>
      </c>
      <c r="L91" s="367">
        <f>'[2]Stavební rozpočet'!L88</f>
        <v>0</v>
      </c>
      <c r="M91" s="367">
        <f>G91*L91</f>
        <v>0</v>
      </c>
      <c r="N91" s="368" t="s">
        <v>36</v>
      </c>
      <c r="O91" s="346"/>
      <c r="P91" s="346"/>
      <c r="Q91" s="346"/>
      <c r="R91" s="346"/>
      <c r="S91" s="346"/>
      <c r="T91" s="346"/>
      <c r="U91" s="346"/>
      <c r="V91" s="346"/>
      <c r="W91" s="346"/>
      <c r="X91" s="346"/>
      <c r="Y91" s="311"/>
      <c r="Z91" s="367">
        <f>IF(AQ91="5",BJ91,0)</f>
        <v>0</v>
      </c>
      <c r="AA91" s="311"/>
      <c r="AB91" s="367">
        <f>IF(AQ91="1",BH91,0)</f>
        <v>0</v>
      </c>
      <c r="AC91" s="367">
        <f>IF(AQ91="1",BI91,0)</f>
        <v>0</v>
      </c>
      <c r="AD91" s="367">
        <f>IF(AQ91="7",BH91,0)</f>
        <v>0</v>
      </c>
      <c r="AE91" s="367">
        <f>IF(AQ91="7",BI91,0)</f>
        <v>0</v>
      </c>
      <c r="AF91" s="367">
        <f>IF(AQ91="2",BH91,0)</f>
        <v>0</v>
      </c>
      <c r="AG91" s="367">
        <f>IF(AQ91="2",BI91,0)</f>
        <v>0</v>
      </c>
      <c r="AH91" s="367">
        <f>IF(AQ91="0",BJ91,0)</f>
        <v>0</v>
      </c>
      <c r="AI91" s="351" t="s">
        <v>7</v>
      </c>
      <c r="AJ91" s="367">
        <f>IF(AN91=0,K91,0)</f>
        <v>0</v>
      </c>
      <c r="AK91" s="367">
        <f>IF(AN91=15,K91,0)</f>
        <v>0</v>
      </c>
      <c r="AL91" s="367">
        <f>IF(AN91=21,K91,0)</f>
        <v>0</v>
      </c>
      <c r="AM91" s="311"/>
      <c r="AN91" s="367">
        <v>21</v>
      </c>
      <c r="AO91" s="367">
        <f>H91*0</f>
        <v>0</v>
      </c>
      <c r="AP91" s="367">
        <f>H91*(1-0)</f>
        <v>0</v>
      </c>
      <c r="AQ91" s="369" t="s">
        <v>2</v>
      </c>
      <c r="AR91" s="311"/>
      <c r="AS91" s="311"/>
      <c r="AT91" s="311"/>
      <c r="AU91" s="311"/>
      <c r="AV91" s="367">
        <f>AW91+AX91</f>
        <v>0</v>
      </c>
      <c r="AW91" s="367">
        <f>G91*AO91</f>
        <v>0</v>
      </c>
      <c r="AX91" s="367">
        <f>G91*AP91</f>
        <v>0</v>
      </c>
      <c r="AY91" s="369" t="s">
        <v>399</v>
      </c>
      <c r="AZ91" s="369" t="s">
        <v>398</v>
      </c>
      <c r="BA91" s="351" t="s">
        <v>3</v>
      </c>
      <c r="BB91" s="311"/>
      <c r="BC91" s="367">
        <f>AW91+AX91</f>
        <v>0</v>
      </c>
      <c r="BD91" s="367">
        <f>H91/(100-BE91)*100</f>
        <v>0</v>
      </c>
      <c r="BE91" s="367">
        <v>0</v>
      </c>
      <c r="BF91" s="367">
        <f>M91</f>
        <v>0</v>
      </c>
      <c r="BG91" s="311"/>
      <c r="BH91" s="367">
        <f>G91*AO91</f>
        <v>0</v>
      </c>
      <c r="BI91" s="367">
        <f>G91*AP91</f>
        <v>0</v>
      </c>
      <c r="BJ91" s="367">
        <f>G91*H91</f>
        <v>0</v>
      </c>
      <c r="BK91" s="367"/>
      <c r="BL91" s="367">
        <v>63</v>
      </c>
      <c r="BM91" s="311"/>
      <c r="BN91" s="311"/>
      <c r="BO91" s="311"/>
      <c r="BP91" s="311"/>
      <c r="BQ91" s="311"/>
      <c r="BR91" s="311"/>
      <c r="BS91" s="311"/>
      <c r="BT91" s="311"/>
      <c r="BU91" s="311"/>
    </row>
    <row r="92" spans="1:73" ht="15" customHeight="1">
      <c r="A92" s="370"/>
      <c r="B92" s="311"/>
      <c r="C92" s="311"/>
      <c r="D92" s="371" t="s">
        <v>426</v>
      </c>
      <c r="E92" s="372"/>
      <c r="F92" s="311"/>
      <c r="G92" s="373">
        <v>9.74</v>
      </c>
      <c r="H92" s="311"/>
      <c r="I92" s="311"/>
      <c r="J92" s="311"/>
      <c r="K92" s="311"/>
      <c r="L92" s="311"/>
      <c r="M92" s="311"/>
      <c r="N92" s="374"/>
      <c r="O92" s="346"/>
      <c r="P92" s="346"/>
      <c r="Q92" s="346"/>
      <c r="R92" s="346"/>
      <c r="S92" s="346"/>
      <c r="T92" s="346"/>
      <c r="U92" s="346"/>
      <c r="V92" s="346"/>
      <c r="W92" s="346"/>
      <c r="X92" s="346"/>
      <c r="Y92" s="311"/>
      <c r="Z92" s="311"/>
      <c r="AA92" s="311"/>
      <c r="AB92" s="311"/>
      <c r="AC92" s="311"/>
      <c r="AD92" s="311"/>
      <c r="AE92" s="311"/>
      <c r="AF92" s="311"/>
      <c r="AG92" s="311"/>
      <c r="AH92" s="311"/>
      <c r="AI92" s="311"/>
      <c r="AJ92" s="311"/>
      <c r="AK92" s="311"/>
      <c r="AL92" s="311"/>
      <c r="AM92" s="311"/>
      <c r="AN92" s="311"/>
      <c r="AO92" s="311"/>
      <c r="AP92" s="311"/>
      <c r="AQ92" s="311"/>
      <c r="AR92" s="311"/>
      <c r="AS92" s="311"/>
      <c r="AT92" s="311"/>
      <c r="AU92" s="311"/>
      <c r="AV92" s="311"/>
      <c r="AW92" s="311"/>
      <c r="AX92" s="311"/>
      <c r="AY92" s="311"/>
      <c r="AZ92" s="311"/>
      <c r="BA92" s="311"/>
      <c r="BB92" s="311"/>
      <c r="BC92" s="311"/>
      <c r="BD92" s="311"/>
      <c r="BE92" s="311"/>
      <c r="BF92" s="311"/>
      <c r="BG92" s="311"/>
      <c r="BH92" s="311"/>
      <c r="BI92" s="311"/>
      <c r="BJ92" s="311"/>
      <c r="BK92" s="311"/>
      <c r="BL92" s="311"/>
      <c r="BM92" s="311"/>
      <c r="BN92" s="311"/>
      <c r="BO92" s="311"/>
      <c r="BP92" s="311"/>
      <c r="BQ92" s="311"/>
      <c r="BR92" s="311"/>
      <c r="BS92" s="311"/>
      <c r="BT92" s="311"/>
      <c r="BU92" s="311"/>
    </row>
    <row r="93" spans="1:73" ht="15" customHeight="1">
      <c r="A93" s="365" t="s">
        <v>425</v>
      </c>
      <c r="B93" s="366" t="s">
        <v>7</v>
      </c>
      <c r="C93" s="366" t="s">
        <v>424</v>
      </c>
      <c r="D93" s="304" t="s">
        <v>423</v>
      </c>
      <c r="E93" s="304"/>
      <c r="F93" s="366" t="s">
        <v>79</v>
      </c>
      <c r="G93" s="367">
        <f>'[2]Stavební rozpočet'!G90</f>
        <v>0.5932</v>
      </c>
      <c r="H93" s="328">
        <v>0</v>
      </c>
      <c r="I93" s="367">
        <f>G93*AO93</f>
        <v>0</v>
      </c>
      <c r="J93" s="367">
        <f>G93*AP93</f>
        <v>0</v>
      </c>
      <c r="K93" s="367">
        <f>G93*H93</f>
        <v>0</v>
      </c>
      <c r="L93" s="367">
        <f>'[2]Stavební rozpočet'!L90</f>
        <v>2.76314</v>
      </c>
      <c r="M93" s="367">
        <f>G93*L93</f>
        <v>1.6390946479999997</v>
      </c>
      <c r="N93" s="368" t="s">
        <v>36</v>
      </c>
      <c r="O93" s="346"/>
      <c r="P93" s="346"/>
      <c r="Q93" s="346"/>
      <c r="R93" s="346"/>
      <c r="S93" s="346"/>
      <c r="T93" s="346"/>
      <c r="U93" s="346"/>
      <c r="V93" s="346"/>
      <c r="W93" s="346"/>
      <c r="X93" s="346"/>
      <c r="Y93" s="311"/>
      <c r="Z93" s="367">
        <f>IF(AQ93="5",BJ93,0)</f>
        <v>0</v>
      </c>
      <c r="AA93" s="311"/>
      <c r="AB93" s="367">
        <f>IF(AQ93="1",BH93,0)</f>
        <v>0</v>
      </c>
      <c r="AC93" s="367">
        <f>IF(AQ93="1",BI93,0)</f>
        <v>0</v>
      </c>
      <c r="AD93" s="367">
        <f>IF(AQ93="7",BH93,0)</f>
        <v>0</v>
      </c>
      <c r="AE93" s="367">
        <f>IF(AQ93="7",BI93,0)</f>
        <v>0</v>
      </c>
      <c r="AF93" s="367">
        <f>IF(AQ93="2",BH93,0)</f>
        <v>0</v>
      </c>
      <c r="AG93" s="367">
        <f>IF(AQ93="2",BI93,0)</f>
        <v>0</v>
      </c>
      <c r="AH93" s="367">
        <f>IF(AQ93="0",BJ93,0)</f>
        <v>0</v>
      </c>
      <c r="AI93" s="351" t="s">
        <v>7</v>
      </c>
      <c r="AJ93" s="367">
        <f>IF(AN93=0,K93,0)</f>
        <v>0</v>
      </c>
      <c r="AK93" s="367">
        <f>IF(AN93=15,K93,0)</f>
        <v>0</v>
      </c>
      <c r="AL93" s="367">
        <f>IF(AN93=21,K93,0)</f>
        <v>0</v>
      </c>
      <c r="AM93" s="311"/>
      <c r="AN93" s="367">
        <v>21</v>
      </c>
      <c r="AO93" s="367">
        <f>H93*0.874265343794005</f>
        <v>0</v>
      </c>
      <c r="AP93" s="367">
        <f>H93*(1-0.874265343794005)</f>
        <v>0</v>
      </c>
      <c r="AQ93" s="369" t="s">
        <v>2</v>
      </c>
      <c r="AR93" s="311"/>
      <c r="AS93" s="311"/>
      <c r="AT93" s="311"/>
      <c r="AU93" s="311"/>
      <c r="AV93" s="367">
        <f>AW93+AX93</f>
        <v>0</v>
      </c>
      <c r="AW93" s="367">
        <f>G93*AO93</f>
        <v>0</v>
      </c>
      <c r="AX93" s="367">
        <f>G93*AP93</f>
        <v>0</v>
      </c>
      <c r="AY93" s="369" t="s">
        <v>399</v>
      </c>
      <c r="AZ93" s="369" t="s">
        <v>398</v>
      </c>
      <c r="BA93" s="351" t="s">
        <v>3</v>
      </c>
      <c r="BB93" s="311"/>
      <c r="BC93" s="367">
        <f>AW93+AX93</f>
        <v>0</v>
      </c>
      <c r="BD93" s="367">
        <f>H93/(100-BE93)*100</f>
        <v>0</v>
      </c>
      <c r="BE93" s="367">
        <v>0</v>
      </c>
      <c r="BF93" s="367">
        <f>M93</f>
        <v>1.6390946479999997</v>
      </c>
      <c r="BG93" s="311"/>
      <c r="BH93" s="367">
        <f>G93*AO93</f>
        <v>0</v>
      </c>
      <c r="BI93" s="367">
        <f>G93*AP93</f>
        <v>0</v>
      </c>
      <c r="BJ93" s="367">
        <f>G93*H93</f>
        <v>0</v>
      </c>
      <c r="BK93" s="367"/>
      <c r="BL93" s="367">
        <v>63</v>
      </c>
      <c r="BM93" s="311"/>
      <c r="BN93" s="311"/>
      <c r="BO93" s="311"/>
      <c r="BP93" s="311"/>
      <c r="BQ93" s="311"/>
      <c r="BR93" s="311"/>
      <c r="BS93" s="311"/>
      <c r="BT93" s="311"/>
      <c r="BU93" s="311"/>
    </row>
    <row r="94" spans="1:73" ht="15" customHeight="1">
      <c r="A94" s="370"/>
      <c r="B94" s="311"/>
      <c r="C94" s="311"/>
      <c r="D94" s="371" t="s">
        <v>422</v>
      </c>
      <c r="E94" s="372"/>
      <c r="F94" s="311"/>
      <c r="G94" s="373">
        <v>0.5932000000000001</v>
      </c>
      <c r="H94" s="311"/>
      <c r="I94" s="311"/>
      <c r="J94" s="311"/>
      <c r="K94" s="311"/>
      <c r="L94" s="311"/>
      <c r="M94" s="311"/>
      <c r="N94" s="374"/>
      <c r="O94" s="346"/>
      <c r="P94" s="346"/>
      <c r="Q94" s="346"/>
      <c r="R94" s="346"/>
      <c r="S94" s="346"/>
      <c r="T94" s="346"/>
      <c r="U94" s="346"/>
      <c r="V94" s="346"/>
      <c r="W94" s="346"/>
      <c r="X94" s="346"/>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311"/>
      <c r="AV94" s="311"/>
      <c r="AW94" s="311"/>
      <c r="AX94" s="311"/>
      <c r="AY94" s="311"/>
      <c r="AZ94" s="311"/>
      <c r="BA94" s="311"/>
      <c r="BB94" s="311"/>
      <c r="BC94" s="311"/>
      <c r="BD94" s="311"/>
      <c r="BE94" s="311"/>
      <c r="BF94" s="311"/>
      <c r="BG94" s="311"/>
      <c r="BH94" s="311"/>
      <c r="BI94" s="311"/>
      <c r="BJ94" s="311"/>
      <c r="BK94" s="311"/>
      <c r="BL94" s="311"/>
      <c r="BM94" s="311"/>
      <c r="BN94" s="311"/>
      <c r="BO94" s="311"/>
      <c r="BP94" s="311"/>
      <c r="BQ94" s="311"/>
      <c r="BR94" s="311"/>
      <c r="BS94" s="311"/>
      <c r="BT94" s="311"/>
      <c r="BU94" s="311"/>
    </row>
    <row r="95" spans="1:73" ht="15" customHeight="1">
      <c r="A95" s="365" t="s">
        <v>421</v>
      </c>
      <c r="B95" s="366" t="s">
        <v>7</v>
      </c>
      <c r="C95" s="366" t="s">
        <v>420</v>
      </c>
      <c r="D95" s="304" t="s">
        <v>419</v>
      </c>
      <c r="E95" s="304"/>
      <c r="F95" s="366" t="s">
        <v>89</v>
      </c>
      <c r="G95" s="367">
        <f>'[2]Stavební rozpočet'!G92</f>
        <v>37.68</v>
      </c>
      <c r="H95" s="328">
        <v>0</v>
      </c>
      <c r="I95" s="367">
        <f>G95*AO95</f>
        <v>0</v>
      </c>
      <c r="J95" s="367">
        <f>G95*AP95</f>
        <v>0</v>
      </c>
      <c r="K95" s="367">
        <f>G95*H95</f>
        <v>0</v>
      </c>
      <c r="L95" s="367">
        <f>'[2]Stavební rozpočet'!L92</f>
        <v>0.16878</v>
      </c>
      <c r="M95" s="367">
        <f>G95*L95</f>
        <v>6.3596304</v>
      </c>
      <c r="N95" s="368" t="s">
        <v>36</v>
      </c>
      <c r="O95" s="346"/>
      <c r="P95" s="346"/>
      <c r="Q95" s="346"/>
      <c r="R95" s="346"/>
      <c r="S95" s="346"/>
      <c r="T95" s="346"/>
      <c r="U95" s="346"/>
      <c r="V95" s="346"/>
      <c r="W95" s="346"/>
      <c r="X95" s="346"/>
      <c r="Y95" s="311"/>
      <c r="Z95" s="367">
        <f>IF(AQ95="5",BJ95,0)</f>
        <v>0</v>
      </c>
      <c r="AA95" s="311"/>
      <c r="AB95" s="367">
        <f>IF(AQ95="1",BH95,0)</f>
        <v>0</v>
      </c>
      <c r="AC95" s="367">
        <f>IF(AQ95="1",BI95,0)</f>
        <v>0</v>
      </c>
      <c r="AD95" s="367">
        <f>IF(AQ95="7",BH95,0)</f>
        <v>0</v>
      </c>
      <c r="AE95" s="367">
        <f>IF(AQ95="7",BI95,0)</f>
        <v>0</v>
      </c>
      <c r="AF95" s="367">
        <f>IF(AQ95="2",BH95,0)</f>
        <v>0</v>
      </c>
      <c r="AG95" s="367">
        <f>IF(AQ95="2",BI95,0)</f>
        <v>0</v>
      </c>
      <c r="AH95" s="367">
        <f>IF(AQ95="0",BJ95,0)</f>
        <v>0</v>
      </c>
      <c r="AI95" s="351" t="s">
        <v>7</v>
      </c>
      <c r="AJ95" s="367">
        <f>IF(AN95=0,K95,0)</f>
        <v>0</v>
      </c>
      <c r="AK95" s="367">
        <f>IF(AN95=15,K95,0)</f>
        <v>0</v>
      </c>
      <c r="AL95" s="367">
        <f>IF(AN95=21,K95,0)</f>
        <v>0</v>
      </c>
      <c r="AM95" s="311"/>
      <c r="AN95" s="367">
        <v>21</v>
      </c>
      <c r="AO95" s="367">
        <f>H95*0.605824866437496</f>
        <v>0</v>
      </c>
      <c r="AP95" s="367">
        <f>H95*(1-0.605824866437496)</f>
        <v>0</v>
      </c>
      <c r="AQ95" s="369" t="s">
        <v>2</v>
      </c>
      <c r="AR95" s="311"/>
      <c r="AS95" s="311"/>
      <c r="AT95" s="311"/>
      <c r="AU95" s="311"/>
      <c r="AV95" s="367">
        <f>AW95+AX95</f>
        <v>0</v>
      </c>
      <c r="AW95" s="367">
        <f>G95*AO95</f>
        <v>0</v>
      </c>
      <c r="AX95" s="367">
        <f>G95*AP95</f>
        <v>0</v>
      </c>
      <c r="AY95" s="369" t="s">
        <v>399</v>
      </c>
      <c r="AZ95" s="369" t="s">
        <v>398</v>
      </c>
      <c r="BA95" s="351" t="s">
        <v>3</v>
      </c>
      <c r="BB95" s="311"/>
      <c r="BC95" s="367">
        <f>AW95+AX95</f>
        <v>0</v>
      </c>
      <c r="BD95" s="367">
        <f>H95/(100-BE95)*100</f>
        <v>0</v>
      </c>
      <c r="BE95" s="367">
        <v>0</v>
      </c>
      <c r="BF95" s="367">
        <f>M95</f>
        <v>6.3596304</v>
      </c>
      <c r="BG95" s="311"/>
      <c r="BH95" s="367">
        <f>G95*AO95</f>
        <v>0</v>
      </c>
      <c r="BI95" s="367">
        <f>G95*AP95</f>
        <v>0</v>
      </c>
      <c r="BJ95" s="367">
        <f>G95*H95</f>
        <v>0</v>
      </c>
      <c r="BK95" s="367"/>
      <c r="BL95" s="367">
        <v>63</v>
      </c>
      <c r="BM95" s="311"/>
      <c r="BN95" s="311"/>
      <c r="BO95" s="311"/>
      <c r="BP95" s="311"/>
      <c r="BQ95" s="311"/>
      <c r="BR95" s="311"/>
      <c r="BS95" s="311"/>
      <c r="BT95" s="311"/>
      <c r="BU95" s="311"/>
    </row>
    <row r="96" spans="1:73" ht="15" customHeight="1">
      <c r="A96" s="370"/>
      <c r="B96" s="311"/>
      <c r="C96" s="311"/>
      <c r="D96" s="371" t="s">
        <v>415</v>
      </c>
      <c r="E96" s="372"/>
      <c r="F96" s="311"/>
      <c r="G96" s="373">
        <v>37.68</v>
      </c>
      <c r="H96" s="311"/>
      <c r="I96" s="311"/>
      <c r="J96" s="311"/>
      <c r="K96" s="311"/>
      <c r="L96" s="311"/>
      <c r="M96" s="311"/>
      <c r="N96" s="374"/>
      <c r="O96" s="346"/>
      <c r="P96" s="346"/>
      <c r="Q96" s="346"/>
      <c r="R96" s="346"/>
      <c r="S96" s="346"/>
      <c r="T96" s="346"/>
      <c r="U96" s="346"/>
      <c r="V96" s="346"/>
      <c r="W96" s="346"/>
      <c r="X96" s="346"/>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1"/>
      <c r="AZ96" s="311"/>
      <c r="BA96" s="311"/>
      <c r="BB96" s="311"/>
      <c r="BC96" s="311"/>
      <c r="BD96" s="311"/>
      <c r="BE96" s="311"/>
      <c r="BF96" s="311"/>
      <c r="BG96" s="311"/>
      <c r="BH96" s="311"/>
      <c r="BI96" s="311"/>
      <c r="BJ96" s="311"/>
      <c r="BK96" s="311"/>
      <c r="BL96" s="311"/>
      <c r="BM96" s="311"/>
      <c r="BN96" s="311"/>
      <c r="BO96" s="311"/>
      <c r="BP96" s="311"/>
      <c r="BQ96" s="311"/>
      <c r="BR96" s="311"/>
      <c r="BS96" s="311"/>
      <c r="BT96" s="311"/>
      <c r="BU96" s="311"/>
    </row>
    <row r="97" spans="1:73" ht="15" customHeight="1">
      <c r="A97" s="365" t="s">
        <v>418</v>
      </c>
      <c r="B97" s="366" t="s">
        <v>7</v>
      </c>
      <c r="C97" s="366" t="s">
        <v>417</v>
      </c>
      <c r="D97" s="304" t="s">
        <v>416</v>
      </c>
      <c r="E97" s="304"/>
      <c r="F97" s="366" t="s">
        <v>89</v>
      </c>
      <c r="G97" s="367">
        <f>'[2]Stavební rozpočet'!G94</f>
        <v>39.564</v>
      </c>
      <c r="H97" s="328">
        <v>0</v>
      </c>
      <c r="I97" s="367">
        <f>G97*AO97</f>
        <v>0</v>
      </c>
      <c r="J97" s="367">
        <f>G97*AP97</f>
        <v>0</v>
      </c>
      <c r="K97" s="367">
        <f>G97*H97</f>
        <v>0</v>
      </c>
      <c r="L97" s="367">
        <f>'[2]Stavební rozpočet'!L94</f>
        <v>0.059</v>
      </c>
      <c r="M97" s="367">
        <f>G97*L97</f>
        <v>2.334276</v>
      </c>
      <c r="N97" s="368" t="s">
        <v>36</v>
      </c>
      <c r="O97" s="346"/>
      <c r="P97" s="346"/>
      <c r="Q97" s="346"/>
      <c r="R97" s="346"/>
      <c r="S97" s="346"/>
      <c r="T97" s="346"/>
      <c r="U97" s="346"/>
      <c r="V97" s="346"/>
      <c r="W97" s="346"/>
      <c r="X97" s="346"/>
      <c r="Y97" s="311"/>
      <c r="Z97" s="367">
        <f>IF(AQ97="5",BJ97,0)</f>
        <v>0</v>
      </c>
      <c r="AA97" s="311"/>
      <c r="AB97" s="367">
        <f>IF(AQ97="1",BH97,0)</f>
        <v>0</v>
      </c>
      <c r="AC97" s="367">
        <f>IF(AQ97="1",BI97,0)</f>
        <v>0</v>
      </c>
      <c r="AD97" s="367">
        <f>IF(AQ97="7",BH97,0)</f>
        <v>0</v>
      </c>
      <c r="AE97" s="367">
        <f>IF(AQ97="7",BI97,0)</f>
        <v>0</v>
      </c>
      <c r="AF97" s="367">
        <f>IF(AQ97="2",BH97,0)</f>
        <v>0</v>
      </c>
      <c r="AG97" s="367">
        <f>IF(AQ97="2",BI97,0)</f>
        <v>0</v>
      </c>
      <c r="AH97" s="367">
        <f>IF(AQ97="0",BJ97,0)</f>
        <v>0</v>
      </c>
      <c r="AI97" s="351" t="s">
        <v>7</v>
      </c>
      <c r="AJ97" s="367">
        <f>IF(AN97=0,K97,0)</f>
        <v>0</v>
      </c>
      <c r="AK97" s="367">
        <f>IF(AN97=15,K97,0)</f>
        <v>0</v>
      </c>
      <c r="AL97" s="367">
        <f>IF(AN97=21,K97,0)</f>
        <v>0</v>
      </c>
      <c r="AM97" s="311"/>
      <c r="AN97" s="367">
        <v>21</v>
      </c>
      <c r="AO97" s="367">
        <f>H97*1</f>
        <v>0</v>
      </c>
      <c r="AP97" s="367">
        <f>H97*(1-1)</f>
        <v>0</v>
      </c>
      <c r="AQ97" s="369" t="s">
        <v>2</v>
      </c>
      <c r="AR97" s="311"/>
      <c r="AS97" s="311"/>
      <c r="AT97" s="311"/>
      <c r="AU97" s="311"/>
      <c r="AV97" s="367">
        <f>AW97+AX97</f>
        <v>0</v>
      </c>
      <c r="AW97" s="367">
        <f>G97*AO97</f>
        <v>0</v>
      </c>
      <c r="AX97" s="367">
        <f>G97*AP97</f>
        <v>0</v>
      </c>
      <c r="AY97" s="369" t="s">
        <v>399</v>
      </c>
      <c r="AZ97" s="369" t="s">
        <v>398</v>
      </c>
      <c r="BA97" s="351" t="s">
        <v>3</v>
      </c>
      <c r="BB97" s="311"/>
      <c r="BC97" s="367">
        <f>AW97+AX97</f>
        <v>0</v>
      </c>
      <c r="BD97" s="367">
        <f>H97/(100-BE97)*100</f>
        <v>0</v>
      </c>
      <c r="BE97" s="367">
        <v>0</v>
      </c>
      <c r="BF97" s="367">
        <f>M97</f>
        <v>2.334276</v>
      </c>
      <c r="BG97" s="311"/>
      <c r="BH97" s="367">
        <f>G97*AO97</f>
        <v>0</v>
      </c>
      <c r="BI97" s="367">
        <f>G97*AP97</f>
        <v>0</v>
      </c>
      <c r="BJ97" s="367">
        <f>G97*H97</f>
        <v>0</v>
      </c>
      <c r="BK97" s="367"/>
      <c r="BL97" s="367">
        <v>63</v>
      </c>
      <c r="BM97" s="311"/>
      <c r="BN97" s="311"/>
      <c r="BO97" s="311"/>
      <c r="BP97" s="311"/>
      <c r="BQ97" s="311"/>
      <c r="BR97" s="311"/>
      <c r="BS97" s="311"/>
      <c r="BT97" s="311"/>
      <c r="BU97" s="311"/>
    </row>
    <row r="98" spans="1:73" ht="15" customHeight="1">
      <c r="A98" s="370"/>
      <c r="B98" s="311"/>
      <c r="C98" s="311"/>
      <c r="D98" s="371" t="s">
        <v>415</v>
      </c>
      <c r="E98" s="372"/>
      <c r="F98" s="311"/>
      <c r="G98" s="373">
        <v>37.68</v>
      </c>
      <c r="H98" s="311"/>
      <c r="I98" s="311"/>
      <c r="J98" s="311"/>
      <c r="K98" s="311"/>
      <c r="L98" s="311"/>
      <c r="M98" s="311"/>
      <c r="N98" s="374"/>
      <c r="O98" s="346"/>
      <c r="P98" s="346"/>
      <c r="Q98" s="346"/>
      <c r="R98" s="346"/>
      <c r="S98" s="346"/>
      <c r="T98" s="346"/>
      <c r="U98" s="346"/>
      <c r="V98" s="346"/>
      <c r="W98" s="346"/>
      <c r="X98" s="346"/>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1"/>
      <c r="AY98" s="311"/>
      <c r="AZ98" s="311"/>
      <c r="BA98" s="311"/>
      <c r="BB98" s="311"/>
      <c r="BC98" s="311"/>
      <c r="BD98" s="311"/>
      <c r="BE98" s="311"/>
      <c r="BF98" s="311"/>
      <c r="BG98" s="311"/>
      <c r="BH98" s="311"/>
      <c r="BI98" s="311"/>
      <c r="BJ98" s="311"/>
      <c r="BK98" s="311"/>
      <c r="BL98" s="311"/>
      <c r="BM98" s="311"/>
      <c r="BN98" s="311"/>
      <c r="BO98" s="311"/>
      <c r="BP98" s="311"/>
      <c r="BQ98" s="311"/>
      <c r="BR98" s="311"/>
      <c r="BS98" s="311"/>
      <c r="BT98" s="311"/>
      <c r="BU98" s="311"/>
    </row>
    <row r="99" spans="1:73" ht="15" customHeight="1">
      <c r="A99" s="370"/>
      <c r="B99" s="311"/>
      <c r="C99" s="311"/>
      <c r="D99" s="371" t="s">
        <v>414</v>
      </c>
      <c r="E99" s="372"/>
      <c r="F99" s="311"/>
      <c r="G99" s="373">
        <v>1.8840000000000001</v>
      </c>
      <c r="H99" s="311"/>
      <c r="I99" s="311"/>
      <c r="J99" s="311"/>
      <c r="K99" s="311"/>
      <c r="L99" s="311"/>
      <c r="M99" s="311"/>
      <c r="N99" s="374"/>
      <c r="O99" s="346"/>
      <c r="P99" s="346"/>
      <c r="Q99" s="346"/>
      <c r="R99" s="346"/>
      <c r="S99" s="346"/>
      <c r="T99" s="346"/>
      <c r="U99" s="346"/>
      <c r="V99" s="346"/>
      <c r="W99" s="346"/>
      <c r="X99" s="346"/>
      <c r="Y99" s="311"/>
      <c r="Z99" s="311"/>
      <c r="AA99" s="311"/>
      <c r="AB99" s="311"/>
      <c r="AC99" s="311"/>
      <c r="AD99" s="311"/>
      <c r="AE99" s="311"/>
      <c r="AF99" s="311"/>
      <c r="AG99" s="311"/>
      <c r="AH99" s="311"/>
      <c r="AI99" s="311"/>
      <c r="AJ99" s="311"/>
      <c r="AK99" s="311"/>
      <c r="AL99" s="311"/>
      <c r="AM99" s="311"/>
      <c r="AN99" s="311"/>
      <c r="AO99" s="311"/>
      <c r="AP99" s="311"/>
      <c r="AQ99" s="311"/>
      <c r="AR99" s="311"/>
      <c r="AS99" s="311"/>
      <c r="AT99" s="311"/>
      <c r="AU99" s="311"/>
      <c r="AV99" s="311"/>
      <c r="AW99" s="311"/>
      <c r="AX99" s="311"/>
      <c r="AY99" s="311"/>
      <c r="AZ99" s="311"/>
      <c r="BA99" s="311"/>
      <c r="BB99" s="311"/>
      <c r="BC99" s="311"/>
      <c r="BD99" s="311"/>
      <c r="BE99" s="311"/>
      <c r="BF99" s="311"/>
      <c r="BG99" s="311"/>
      <c r="BH99" s="311"/>
      <c r="BI99" s="311"/>
      <c r="BJ99" s="311"/>
      <c r="BK99" s="311"/>
      <c r="BL99" s="311"/>
      <c r="BM99" s="311"/>
      <c r="BN99" s="311"/>
      <c r="BO99" s="311"/>
      <c r="BP99" s="311"/>
      <c r="BQ99" s="311"/>
      <c r="BR99" s="311"/>
      <c r="BS99" s="311"/>
      <c r="BT99" s="311"/>
      <c r="BU99" s="311"/>
    </row>
    <row r="100" spans="1:73" ht="15" customHeight="1">
      <c r="A100" s="365" t="s">
        <v>413</v>
      </c>
      <c r="B100" s="366" t="s">
        <v>7</v>
      </c>
      <c r="C100" s="366" t="s">
        <v>412</v>
      </c>
      <c r="D100" s="304" t="s">
        <v>411</v>
      </c>
      <c r="E100" s="304"/>
      <c r="F100" s="366" t="s">
        <v>89</v>
      </c>
      <c r="G100" s="367">
        <f>'[2]Stavební rozpočet'!G97</f>
        <v>160.46</v>
      </c>
      <c r="H100" s="328">
        <v>0</v>
      </c>
      <c r="I100" s="367">
        <f>G100*AO100</f>
        <v>0</v>
      </c>
      <c r="J100" s="367">
        <f>G100*AP100</f>
        <v>0</v>
      </c>
      <c r="K100" s="367">
        <f>G100*H100</f>
        <v>0</v>
      </c>
      <c r="L100" s="367">
        <f>'[2]Stavební rozpočet'!L97</f>
        <v>0.01375</v>
      </c>
      <c r="M100" s="367">
        <f>G100*L100</f>
        <v>2.206325</v>
      </c>
      <c r="N100" s="368" t="s">
        <v>36</v>
      </c>
      <c r="O100" s="346"/>
      <c r="P100" s="346"/>
      <c r="Q100" s="346"/>
      <c r="R100" s="346"/>
      <c r="S100" s="346"/>
      <c r="T100" s="346"/>
      <c r="U100" s="346"/>
      <c r="V100" s="346"/>
      <c r="W100" s="346"/>
      <c r="X100" s="346"/>
      <c r="Y100" s="311"/>
      <c r="Z100" s="367">
        <f>IF(AQ100="5",BJ100,0)</f>
        <v>0</v>
      </c>
      <c r="AA100" s="311"/>
      <c r="AB100" s="367">
        <f>IF(AQ100="1",BH100,0)</f>
        <v>0</v>
      </c>
      <c r="AC100" s="367">
        <f>IF(AQ100="1",BI100,0)</f>
        <v>0</v>
      </c>
      <c r="AD100" s="367">
        <f>IF(AQ100="7",BH100,0)</f>
        <v>0</v>
      </c>
      <c r="AE100" s="367">
        <f>IF(AQ100="7",BI100,0)</f>
        <v>0</v>
      </c>
      <c r="AF100" s="367">
        <f>IF(AQ100="2",BH100,0)</f>
        <v>0</v>
      </c>
      <c r="AG100" s="367">
        <f>IF(AQ100="2",BI100,0)</f>
        <v>0</v>
      </c>
      <c r="AH100" s="367">
        <f>IF(AQ100="0",BJ100,0)</f>
        <v>0</v>
      </c>
      <c r="AI100" s="351" t="s">
        <v>7</v>
      </c>
      <c r="AJ100" s="367">
        <f>IF(AN100=0,K100,0)</f>
        <v>0</v>
      </c>
      <c r="AK100" s="367">
        <f>IF(AN100=15,K100,0)</f>
        <v>0</v>
      </c>
      <c r="AL100" s="367">
        <f>IF(AN100=21,K100,0)</f>
        <v>0</v>
      </c>
      <c r="AM100" s="311"/>
      <c r="AN100" s="367">
        <v>21</v>
      </c>
      <c r="AO100" s="367">
        <f>H100*0.612113805346618</f>
        <v>0</v>
      </c>
      <c r="AP100" s="367">
        <f>H100*(1-0.612113805346618)</f>
        <v>0</v>
      </c>
      <c r="AQ100" s="369" t="s">
        <v>2</v>
      </c>
      <c r="AR100" s="311"/>
      <c r="AS100" s="311"/>
      <c r="AT100" s="311"/>
      <c r="AU100" s="311"/>
      <c r="AV100" s="367">
        <f>AW100+AX100</f>
        <v>0</v>
      </c>
      <c r="AW100" s="367">
        <f>G100*AO100</f>
        <v>0</v>
      </c>
      <c r="AX100" s="367">
        <f>G100*AP100</f>
        <v>0</v>
      </c>
      <c r="AY100" s="369" t="s">
        <v>399</v>
      </c>
      <c r="AZ100" s="369" t="s">
        <v>398</v>
      </c>
      <c r="BA100" s="351" t="s">
        <v>3</v>
      </c>
      <c r="BB100" s="311"/>
      <c r="BC100" s="367">
        <f>AW100+AX100</f>
        <v>0</v>
      </c>
      <c r="BD100" s="367">
        <f>H100/(100-BE100)*100</f>
        <v>0</v>
      </c>
      <c r="BE100" s="367">
        <v>0</v>
      </c>
      <c r="BF100" s="367">
        <f>M100</f>
        <v>2.206325</v>
      </c>
      <c r="BG100" s="311"/>
      <c r="BH100" s="367">
        <f>G100*AO100</f>
        <v>0</v>
      </c>
      <c r="BI100" s="367">
        <f>G100*AP100</f>
        <v>0</v>
      </c>
      <c r="BJ100" s="367">
        <f>G100*H100</f>
        <v>0</v>
      </c>
      <c r="BK100" s="367"/>
      <c r="BL100" s="367">
        <v>63</v>
      </c>
      <c r="BM100" s="311"/>
      <c r="BN100" s="311"/>
      <c r="BO100" s="311"/>
      <c r="BP100" s="311"/>
      <c r="BQ100" s="311"/>
      <c r="BR100" s="311"/>
      <c r="BS100" s="311"/>
      <c r="BT100" s="311"/>
      <c r="BU100" s="311"/>
    </row>
    <row r="101" spans="1:73" ht="13.5" customHeight="1">
      <c r="A101" s="370"/>
      <c r="B101" s="311"/>
      <c r="C101" s="311"/>
      <c r="D101" s="375" t="s">
        <v>410</v>
      </c>
      <c r="E101" s="375"/>
      <c r="F101" s="375"/>
      <c r="G101" s="375"/>
      <c r="H101" s="375"/>
      <c r="I101" s="375"/>
      <c r="J101" s="375"/>
      <c r="K101" s="375"/>
      <c r="L101" s="375"/>
      <c r="M101" s="375"/>
      <c r="N101" s="375"/>
      <c r="O101" s="346"/>
      <c r="P101" s="346"/>
      <c r="Q101" s="346"/>
      <c r="R101" s="346"/>
      <c r="S101" s="346"/>
      <c r="T101" s="346"/>
      <c r="U101" s="346"/>
      <c r="V101" s="346"/>
      <c r="W101" s="346"/>
      <c r="X101" s="346"/>
      <c r="Y101" s="311"/>
      <c r="Z101" s="311"/>
      <c r="AA101" s="311"/>
      <c r="AB101" s="311"/>
      <c r="AC101" s="311"/>
      <c r="AD101" s="311"/>
      <c r="AE101" s="311"/>
      <c r="AF101" s="311"/>
      <c r="AG101" s="311"/>
      <c r="AH101" s="311"/>
      <c r="AI101" s="311"/>
      <c r="AJ101" s="311"/>
      <c r="AK101" s="311"/>
      <c r="AL101" s="311"/>
      <c r="AM101" s="311"/>
      <c r="AN101" s="311"/>
      <c r="AO101" s="311"/>
      <c r="AP101" s="311"/>
      <c r="AQ101" s="311"/>
      <c r="AR101" s="311"/>
      <c r="AS101" s="311"/>
      <c r="AT101" s="311"/>
      <c r="AU101" s="311"/>
      <c r="AV101" s="311"/>
      <c r="AW101" s="311"/>
      <c r="AX101" s="311"/>
      <c r="AY101" s="311"/>
      <c r="AZ101" s="311"/>
      <c r="BA101" s="311"/>
      <c r="BB101" s="311"/>
      <c r="BC101" s="311"/>
      <c r="BD101" s="311"/>
      <c r="BE101" s="311"/>
      <c r="BF101" s="311"/>
      <c r="BG101" s="311"/>
      <c r="BH101" s="311"/>
      <c r="BI101" s="311"/>
      <c r="BJ101" s="311"/>
      <c r="BK101" s="311"/>
      <c r="BL101" s="311"/>
      <c r="BM101" s="311"/>
      <c r="BN101" s="311"/>
      <c r="BO101" s="311"/>
      <c r="BP101" s="311"/>
      <c r="BQ101" s="311"/>
      <c r="BR101" s="311"/>
      <c r="BS101" s="311"/>
      <c r="BT101" s="311"/>
      <c r="BU101" s="311"/>
    </row>
    <row r="102" spans="1:73" ht="15" customHeight="1">
      <c r="A102" s="370"/>
      <c r="B102" s="311"/>
      <c r="C102" s="311"/>
      <c r="D102" s="371" t="s">
        <v>263</v>
      </c>
      <c r="E102" s="372"/>
      <c r="F102" s="311"/>
      <c r="G102" s="373">
        <v>160.46</v>
      </c>
      <c r="H102" s="311"/>
      <c r="I102" s="311"/>
      <c r="J102" s="311"/>
      <c r="K102" s="311"/>
      <c r="L102" s="311"/>
      <c r="M102" s="311"/>
      <c r="N102" s="374"/>
      <c r="O102" s="346"/>
      <c r="P102" s="346"/>
      <c r="Q102" s="346"/>
      <c r="R102" s="346"/>
      <c r="S102" s="346"/>
      <c r="T102" s="346"/>
      <c r="U102" s="346"/>
      <c r="V102" s="346"/>
      <c r="W102" s="346"/>
      <c r="X102" s="346"/>
      <c r="Y102" s="311"/>
      <c r="Z102" s="311"/>
      <c r="AA102" s="311"/>
      <c r="AB102" s="311"/>
      <c r="AC102" s="311"/>
      <c r="AD102" s="311"/>
      <c r="AE102" s="311"/>
      <c r="AF102" s="311"/>
      <c r="AG102" s="311"/>
      <c r="AH102" s="311"/>
      <c r="AI102" s="311"/>
      <c r="AJ102" s="311"/>
      <c r="AK102" s="311"/>
      <c r="AL102" s="311"/>
      <c r="AM102" s="311"/>
      <c r="AN102" s="311"/>
      <c r="AO102" s="311"/>
      <c r="AP102" s="311"/>
      <c r="AQ102" s="311"/>
      <c r="AR102" s="311"/>
      <c r="AS102" s="311"/>
      <c r="AT102" s="311"/>
      <c r="AU102" s="311"/>
      <c r="AV102" s="311"/>
      <c r="AW102" s="311"/>
      <c r="AX102" s="311"/>
      <c r="AY102" s="311"/>
      <c r="AZ102" s="311"/>
      <c r="BA102" s="311"/>
      <c r="BB102" s="311"/>
      <c r="BC102" s="311"/>
      <c r="BD102" s="311"/>
      <c r="BE102" s="311"/>
      <c r="BF102" s="311"/>
      <c r="BG102" s="311"/>
      <c r="BH102" s="311"/>
      <c r="BI102" s="311"/>
      <c r="BJ102" s="311"/>
      <c r="BK102" s="311"/>
      <c r="BL102" s="311"/>
      <c r="BM102" s="311"/>
      <c r="BN102" s="311"/>
      <c r="BO102" s="311"/>
      <c r="BP102" s="311"/>
      <c r="BQ102" s="311"/>
      <c r="BR102" s="311"/>
      <c r="BS102" s="311"/>
      <c r="BT102" s="311"/>
      <c r="BU102" s="311"/>
    </row>
    <row r="103" spans="1:73" ht="15" customHeight="1">
      <c r="A103" s="365" t="s">
        <v>409</v>
      </c>
      <c r="B103" s="366" t="s">
        <v>7</v>
      </c>
      <c r="C103" s="366" t="s">
        <v>408</v>
      </c>
      <c r="D103" s="304" t="s">
        <v>407</v>
      </c>
      <c r="E103" s="304"/>
      <c r="F103" s="366" t="s">
        <v>89</v>
      </c>
      <c r="G103" s="367">
        <f>'[2]Stavební rozpočet'!G99</f>
        <v>160.46</v>
      </c>
      <c r="H103" s="328">
        <v>0</v>
      </c>
      <c r="I103" s="367">
        <f>G103*AO103</f>
        <v>0</v>
      </c>
      <c r="J103" s="367">
        <f>G103*AP103</f>
        <v>0</v>
      </c>
      <c r="K103" s="367">
        <f>G103*H103</f>
        <v>0</v>
      </c>
      <c r="L103" s="367">
        <f>'[2]Stavební rozpočet'!L99</f>
        <v>0.00026</v>
      </c>
      <c r="M103" s="367">
        <f>G103*L103</f>
        <v>0.041719599999999996</v>
      </c>
      <c r="N103" s="368" t="s">
        <v>36</v>
      </c>
      <c r="O103" s="346"/>
      <c r="P103" s="346"/>
      <c r="Q103" s="346"/>
      <c r="R103" s="346"/>
      <c r="S103" s="346"/>
      <c r="T103" s="346"/>
      <c r="U103" s="346"/>
      <c r="V103" s="346"/>
      <c r="W103" s="346"/>
      <c r="X103" s="346"/>
      <c r="Y103" s="311"/>
      <c r="Z103" s="367">
        <f>IF(AQ103="5",BJ103,0)</f>
        <v>0</v>
      </c>
      <c r="AA103" s="311"/>
      <c r="AB103" s="367">
        <f>IF(AQ103="1",BH103,0)</f>
        <v>0</v>
      </c>
      <c r="AC103" s="367">
        <f>IF(AQ103="1",BI103,0)</f>
        <v>0</v>
      </c>
      <c r="AD103" s="367">
        <f>IF(AQ103="7",BH103,0)</f>
        <v>0</v>
      </c>
      <c r="AE103" s="367">
        <f>IF(AQ103="7",BI103,0)</f>
        <v>0</v>
      </c>
      <c r="AF103" s="367">
        <f>IF(AQ103="2",BH103,0)</f>
        <v>0</v>
      </c>
      <c r="AG103" s="367">
        <f>IF(AQ103="2",BI103,0)</f>
        <v>0</v>
      </c>
      <c r="AH103" s="367">
        <f>IF(AQ103="0",BJ103,0)</f>
        <v>0</v>
      </c>
      <c r="AI103" s="351" t="s">
        <v>7</v>
      </c>
      <c r="AJ103" s="367">
        <f>IF(AN103=0,K103,0)</f>
        <v>0</v>
      </c>
      <c r="AK103" s="367">
        <f>IF(AN103=15,K103,0)</f>
        <v>0</v>
      </c>
      <c r="AL103" s="367">
        <f>IF(AN103=21,K103,0)</f>
        <v>0</v>
      </c>
      <c r="AM103" s="311"/>
      <c r="AN103" s="367">
        <v>21</v>
      </c>
      <c r="AO103" s="367">
        <f>H103*0.539979137194928</f>
        <v>0</v>
      </c>
      <c r="AP103" s="367">
        <f>H103*(1-0.539979137194928)</f>
        <v>0</v>
      </c>
      <c r="AQ103" s="369" t="s">
        <v>2</v>
      </c>
      <c r="AR103" s="311"/>
      <c r="AS103" s="311"/>
      <c r="AT103" s="311"/>
      <c r="AU103" s="311"/>
      <c r="AV103" s="367">
        <f>AW103+AX103</f>
        <v>0</v>
      </c>
      <c r="AW103" s="367">
        <f>G103*AO103</f>
        <v>0</v>
      </c>
      <c r="AX103" s="367">
        <f>G103*AP103</f>
        <v>0</v>
      </c>
      <c r="AY103" s="369" t="s">
        <v>399</v>
      </c>
      <c r="AZ103" s="369" t="s">
        <v>398</v>
      </c>
      <c r="BA103" s="351" t="s">
        <v>3</v>
      </c>
      <c r="BB103" s="311"/>
      <c r="BC103" s="367">
        <f>AW103+AX103</f>
        <v>0</v>
      </c>
      <c r="BD103" s="367">
        <f>H103/(100-BE103)*100</f>
        <v>0</v>
      </c>
      <c r="BE103" s="367">
        <v>0</v>
      </c>
      <c r="BF103" s="367">
        <f>M103</f>
        <v>0.041719599999999996</v>
      </c>
      <c r="BG103" s="311"/>
      <c r="BH103" s="367">
        <f>G103*AO103</f>
        <v>0</v>
      </c>
      <c r="BI103" s="367">
        <f>G103*AP103</f>
        <v>0</v>
      </c>
      <c r="BJ103" s="367">
        <f>G103*H103</f>
        <v>0</v>
      </c>
      <c r="BK103" s="367"/>
      <c r="BL103" s="367">
        <v>63</v>
      </c>
      <c r="BM103" s="311"/>
      <c r="BN103" s="311"/>
      <c r="BO103" s="311"/>
      <c r="BP103" s="311"/>
      <c r="BQ103" s="311"/>
      <c r="BR103" s="311"/>
      <c r="BS103" s="311"/>
      <c r="BT103" s="311"/>
      <c r="BU103" s="311"/>
    </row>
    <row r="104" spans="1:73" ht="15" customHeight="1">
      <c r="A104" s="370"/>
      <c r="B104" s="311"/>
      <c r="C104" s="311"/>
      <c r="D104" s="371" t="s">
        <v>263</v>
      </c>
      <c r="E104" s="372"/>
      <c r="F104" s="311"/>
      <c r="G104" s="373">
        <v>160.46</v>
      </c>
      <c r="H104" s="311"/>
      <c r="I104" s="311"/>
      <c r="J104" s="311"/>
      <c r="K104" s="311"/>
      <c r="L104" s="311"/>
      <c r="M104" s="311"/>
      <c r="N104" s="374"/>
      <c r="O104" s="346"/>
      <c r="P104" s="346"/>
      <c r="Q104" s="346"/>
      <c r="R104" s="346"/>
      <c r="S104" s="346"/>
      <c r="T104" s="346"/>
      <c r="U104" s="346"/>
      <c r="V104" s="346"/>
      <c r="W104" s="346"/>
      <c r="X104" s="346"/>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1"/>
      <c r="BS104" s="311"/>
      <c r="BT104" s="311"/>
      <c r="BU104" s="311"/>
    </row>
    <row r="105" spans="1:73" ht="15" customHeight="1">
      <c r="A105" s="365" t="s">
        <v>406</v>
      </c>
      <c r="B105" s="366" t="s">
        <v>7</v>
      </c>
      <c r="C105" s="366" t="s">
        <v>405</v>
      </c>
      <c r="D105" s="304" t="s">
        <v>404</v>
      </c>
      <c r="E105" s="304"/>
      <c r="F105" s="366" t="s">
        <v>89</v>
      </c>
      <c r="G105" s="367">
        <f>'[2]Stavební rozpočet'!G101</f>
        <v>5.005</v>
      </c>
      <c r="H105" s="328">
        <v>0</v>
      </c>
      <c r="I105" s="367">
        <f>G105*AO105</f>
        <v>0</v>
      </c>
      <c r="J105" s="367">
        <f>G105*AP105</f>
        <v>0</v>
      </c>
      <c r="K105" s="367">
        <f>G105*H105</f>
        <v>0</v>
      </c>
      <c r="L105" s="367">
        <f>'[2]Stavební rozpočet'!L101</f>
        <v>0.03735</v>
      </c>
      <c r="M105" s="367">
        <f>G105*L105</f>
        <v>0.18693675</v>
      </c>
      <c r="N105" s="368" t="s">
        <v>36</v>
      </c>
      <c r="O105" s="346"/>
      <c r="P105" s="346"/>
      <c r="Q105" s="346"/>
      <c r="R105" s="346"/>
      <c r="S105" s="346"/>
      <c r="T105" s="346"/>
      <c r="U105" s="346"/>
      <c r="V105" s="346"/>
      <c r="W105" s="346"/>
      <c r="X105" s="346"/>
      <c r="Y105" s="311"/>
      <c r="Z105" s="367">
        <f>IF(AQ105="5",BJ105,0)</f>
        <v>0</v>
      </c>
      <c r="AA105" s="311"/>
      <c r="AB105" s="367">
        <f>IF(AQ105="1",BH105,0)</f>
        <v>0</v>
      </c>
      <c r="AC105" s="367">
        <f>IF(AQ105="1",BI105,0)</f>
        <v>0</v>
      </c>
      <c r="AD105" s="367">
        <f>IF(AQ105="7",BH105,0)</f>
        <v>0</v>
      </c>
      <c r="AE105" s="367">
        <f>IF(AQ105="7",BI105,0)</f>
        <v>0</v>
      </c>
      <c r="AF105" s="367">
        <f>IF(AQ105="2",BH105,0)</f>
        <v>0</v>
      </c>
      <c r="AG105" s="367">
        <f>IF(AQ105="2",BI105,0)</f>
        <v>0</v>
      </c>
      <c r="AH105" s="367">
        <f>IF(AQ105="0",BJ105,0)</f>
        <v>0</v>
      </c>
      <c r="AI105" s="351" t="s">
        <v>7</v>
      </c>
      <c r="AJ105" s="367">
        <f>IF(AN105=0,K105,0)</f>
        <v>0</v>
      </c>
      <c r="AK105" s="367">
        <f>IF(AN105=15,K105,0)</f>
        <v>0</v>
      </c>
      <c r="AL105" s="367">
        <f>IF(AN105=21,K105,0)</f>
        <v>0</v>
      </c>
      <c r="AM105" s="311"/>
      <c r="AN105" s="367">
        <v>21</v>
      </c>
      <c r="AO105" s="367">
        <f>H105*0.824401138209286</f>
        <v>0</v>
      </c>
      <c r="AP105" s="367">
        <f>H105*(1-0.824401138209286)</f>
        <v>0</v>
      </c>
      <c r="AQ105" s="369" t="s">
        <v>2</v>
      </c>
      <c r="AR105" s="311"/>
      <c r="AS105" s="311"/>
      <c r="AT105" s="311"/>
      <c r="AU105" s="311"/>
      <c r="AV105" s="367">
        <f>AW105+AX105</f>
        <v>0</v>
      </c>
      <c r="AW105" s="367">
        <f>G105*AO105</f>
        <v>0</v>
      </c>
      <c r="AX105" s="367">
        <f>G105*AP105</f>
        <v>0</v>
      </c>
      <c r="AY105" s="369" t="s">
        <v>399</v>
      </c>
      <c r="AZ105" s="369" t="s">
        <v>398</v>
      </c>
      <c r="BA105" s="351" t="s">
        <v>3</v>
      </c>
      <c r="BB105" s="311"/>
      <c r="BC105" s="367">
        <f>AW105+AX105</f>
        <v>0</v>
      </c>
      <c r="BD105" s="367">
        <f>H105/(100-BE105)*100</f>
        <v>0</v>
      </c>
      <c r="BE105" s="367">
        <v>0</v>
      </c>
      <c r="BF105" s="367">
        <f>M105</f>
        <v>0.18693675</v>
      </c>
      <c r="BG105" s="311"/>
      <c r="BH105" s="367">
        <f>G105*AO105</f>
        <v>0</v>
      </c>
      <c r="BI105" s="367">
        <f>G105*AP105</f>
        <v>0</v>
      </c>
      <c r="BJ105" s="367">
        <f>G105*H105</f>
        <v>0</v>
      </c>
      <c r="BK105" s="367"/>
      <c r="BL105" s="367">
        <v>63</v>
      </c>
      <c r="BM105" s="311"/>
      <c r="BN105" s="311"/>
      <c r="BO105" s="311"/>
      <c r="BP105" s="311"/>
      <c r="BQ105" s="311"/>
      <c r="BR105" s="311"/>
      <c r="BS105" s="311"/>
      <c r="BT105" s="311"/>
      <c r="BU105" s="311"/>
    </row>
    <row r="106" spans="1:73" ht="15" customHeight="1">
      <c r="A106" s="370"/>
      <c r="B106" s="311"/>
      <c r="C106" s="311"/>
      <c r="D106" s="371" t="s">
        <v>403</v>
      </c>
      <c r="E106" s="372"/>
      <c r="F106" s="311"/>
      <c r="G106" s="373">
        <v>5.005000000000001</v>
      </c>
      <c r="H106" s="311"/>
      <c r="I106" s="311"/>
      <c r="J106" s="311"/>
      <c r="K106" s="311"/>
      <c r="L106" s="311"/>
      <c r="M106" s="311"/>
      <c r="N106" s="374"/>
      <c r="O106" s="346"/>
      <c r="P106" s="346"/>
      <c r="Q106" s="346"/>
      <c r="R106" s="346"/>
      <c r="S106" s="346"/>
      <c r="T106" s="346"/>
      <c r="U106" s="346"/>
      <c r="V106" s="346"/>
      <c r="W106" s="346"/>
      <c r="X106" s="346"/>
      <c r="Y106" s="311"/>
      <c r="Z106" s="311"/>
      <c r="AA106" s="311"/>
      <c r="AB106" s="311"/>
      <c r="AC106" s="311"/>
      <c r="AD106" s="311"/>
      <c r="AE106" s="311"/>
      <c r="AF106" s="311"/>
      <c r="AG106" s="311"/>
      <c r="AH106" s="311"/>
      <c r="AI106" s="311"/>
      <c r="AJ106" s="311"/>
      <c r="AK106" s="311"/>
      <c r="AL106" s="311"/>
      <c r="AM106" s="311"/>
      <c r="AN106" s="311"/>
      <c r="AO106" s="311"/>
      <c r="AP106" s="311"/>
      <c r="AQ106" s="311"/>
      <c r="AR106" s="311"/>
      <c r="AS106" s="311"/>
      <c r="AT106" s="311"/>
      <c r="AU106" s="311"/>
      <c r="AV106" s="311"/>
      <c r="AW106" s="311"/>
      <c r="AX106" s="311"/>
      <c r="AY106" s="311"/>
      <c r="AZ106" s="311"/>
      <c r="BA106" s="311"/>
      <c r="BB106" s="311"/>
      <c r="BC106" s="311"/>
      <c r="BD106" s="311"/>
      <c r="BE106" s="311"/>
      <c r="BF106" s="311"/>
      <c r="BG106" s="311"/>
      <c r="BH106" s="311"/>
      <c r="BI106" s="311"/>
      <c r="BJ106" s="311"/>
      <c r="BK106" s="311"/>
      <c r="BL106" s="311"/>
      <c r="BM106" s="311"/>
      <c r="BN106" s="311"/>
      <c r="BO106" s="311"/>
      <c r="BP106" s="311"/>
      <c r="BQ106" s="311"/>
      <c r="BR106" s="311"/>
      <c r="BS106" s="311"/>
      <c r="BT106" s="311"/>
      <c r="BU106" s="311"/>
    </row>
    <row r="107" spans="1:73" ht="15" customHeight="1">
      <c r="A107" s="365" t="s">
        <v>402</v>
      </c>
      <c r="B107" s="366" t="s">
        <v>7</v>
      </c>
      <c r="C107" s="366" t="s">
        <v>401</v>
      </c>
      <c r="D107" s="304" t="s">
        <v>400</v>
      </c>
      <c r="E107" s="304"/>
      <c r="F107" s="366" t="s">
        <v>69</v>
      </c>
      <c r="G107" s="367">
        <f>'[2]Stavební rozpočet'!G103</f>
        <v>17</v>
      </c>
      <c r="H107" s="328">
        <v>0</v>
      </c>
      <c r="I107" s="367">
        <f>G107*AO107</f>
        <v>0</v>
      </c>
      <c r="J107" s="367">
        <f>G107*AP107</f>
        <v>0</v>
      </c>
      <c r="K107" s="367">
        <f>G107*H107</f>
        <v>0</v>
      </c>
      <c r="L107" s="367">
        <f>'[2]Stavební rozpočet'!L103</f>
        <v>0.00257</v>
      </c>
      <c r="M107" s="367">
        <f>G107*L107</f>
        <v>0.04369</v>
      </c>
      <c r="N107" s="368" t="s">
        <v>36</v>
      </c>
      <c r="O107" s="346"/>
      <c r="P107" s="346"/>
      <c r="Q107" s="346"/>
      <c r="R107" s="346"/>
      <c r="S107" s="346"/>
      <c r="T107" s="346"/>
      <c r="U107" s="346"/>
      <c r="V107" s="346"/>
      <c r="W107" s="346"/>
      <c r="X107" s="346"/>
      <c r="Y107" s="311"/>
      <c r="Z107" s="367">
        <f>IF(AQ107="5",BJ107,0)</f>
        <v>0</v>
      </c>
      <c r="AA107" s="311"/>
      <c r="AB107" s="367">
        <f>IF(AQ107="1",BH107,0)</f>
        <v>0</v>
      </c>
      <c r="AC107" s="367">
        <f>IF(AQ107="1",BI107,0)</f>
        <v>0</v>
      </c>
      <c r="AD107" s="367">
        <f>IF(AQ107="7",BH107,0)</f>
        <v>0</v>
      </c>
      <c r="AE107" s="367">
        <f>IF(AQ107="7",BI107,0)</f>
        <v>0</v>
      </c>
      <c r="AF107" s="367">
        <f>IF(AQ107="2",BH107,0)</f>
        <v>0</v>
      </c>
      <c r="AG107" s="367">
        <f>IF(AQ107="2",BI107,0)</f>
        <v>0</v>
      </c>
      <c r="AH107" s="367">
        <f>IF(AQ107="0",BJ107,0)</f>
        <v>0</v>
      </c>
      <c r="AI107" s="351" t="s">
        <v>7</v>
      </c>
      <c r="AJ107" s="367">
        <f>IF(AN107=0,K107,0)</f>
        <v>0</v>
      </c>
      <c r="AK107" s="367">
        <f>IF(AN107=15,K107,0)</f>
        <v>0</v>
      </c>
      <c r="AL107" s="367">
        <f>IF(AN107=21,K107,0)</f>
        <v>0</v>
      </c>
      <c r="AM107" s="311"/>
      <c r="AN107" s="367">
        <v>21</v>
      </c>
      <c r="AO107" s="367">
        <f>H107*0.387847222222222</f>
        <v>0</v>
      </c>
      <c r="AP107" s="367">
        <f>H107*(1-0.387847222222222)</f>
        <v>0</v>
      </c>
      <c r="AQ107" s="369" t="s">
        <v>2</v>
      </c>
      <c r="AR107" s="311"/>
      <c r="AS107" s="311"/>
      <c r="AT107" s="311"/>
      <c r="AU107" s="311"/>
      <c r="AV107" s="367">
        <f>AW107+AX107</f>
        <v>0</v>
      </c>
      <c r="AW107" s="367">
        <f>G107*AO107</f>
        <v>0</v>
      </c>
      <c r="AX107" s="367">
        <f>G107*AP107</f>
        <v>0</v>
      </c>
      <c r="AY107" s="369" t="s">
        <v>399</v>
      </c>
      <c r="AZ107" s="369" t="s">
        <v>398</v>
      </c>
      <c r="BA107" s="351" t="s">
        <v>3</v>
      </c>
      <c r="BB107" s="311"/>
      <c r="BC107" s="367">
        <f>AW107+AX107</f>
        <v>0</v>
      </c>
      <c r="BD107" s="367">
        <f>H107/(100-BE107)*100</f>
        <v>0</v>
      </c>
      <c r="BE107" s="367">
        <v>0</v>
      </c>
      <c r="BF107" s="367">
        <f>M107</f>
        <v>0.04369</v>
      </c>
      <c r="BG107" s="311"/>
      <c r="BH107" s="367">
        <f>G107*AO107</f>
        <v>0</v>
      </c>
      <c r="BI107" s="367">
        <f>G107*AP107</f>
        <v>0</v>
      </c>
      <c r="BJ107" s="367">
        <f>G107*H107</f>
        <v>0</v>
      </c>
      <c r="BK107" s="367"/>
      <c r="BL107" s="367">
        <v>63</v>
      </c>
      <c r="BM107" s="311"/>
      <c r="BN107" s="311"/>
      <c r="BO107" s="311"/>
      <c r="BP107" s="311"/>
      <c r="BQ107" s="311"/>
      <c r="BR107" s="311"/>
      <c r="BS107" s="311"/>
      <c r="BT107" s="311"/>
      <c r="BU107" s="311"/>
    </row>
    <row r="108" spans="1:73" ht="15" customHeight="1">
      <c r="A108" s="370"/>
      <c r="B108" s="311"/>
      <c r="C108" s="311"/>
      <c r="D108" s="371" t="s">
        <v>244</v>
      </c>
      <c r="E108" s="372"/>
      <c r="F108" s="311"/>
      <c r="G108" s="373">
        <v>17</v>
      </c>
      <c r="H108" s="311"/>
      <c r="I108" s="311"/>
      <c r="J108" s="311"/>
      <c r="K108" s="311"/>
      <c r="L108" s="311"/>
      <c r="M108" s="311"/>
      <c r="N108" s="374"/>
      <c r="O108" s="346"/>
      <c r="P108" s="346"/>
      <c r="Q108" s="346"/>
      <c r="R108" s="346"/>
      <c r="S108" s="346"/>
      <c r="T108" s="346"/>
      <c r="U108" s="346"/>
      <c r="V108" s="346"/>
      <c r="W108" s="346"/>
      <c r="X108" s="346"/>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1"/>
      <c r="BJ108" s="311"/>
      <c r="BK108" s="311"/>
      <c r="BL108" s="311"/>
      <c r="BM108" s="311"/>
      <c r="BN108" s="311"/>
      <c r="BO108" s="311"/>
      <c r="BP108" s="311"/>
      <c r="BQ108" s="311"/>
      <c r="BR108" s="311"/>
      <c r="BS108" s="311"/>
      <c r="BT108" s="311"/>
      <c r="BU108" s="311"/>
    </row>
    <row r="109" spans="1:73" ht="15" customHeight="1">
      <c r="A109" s="360"/>
      <c r="B109" s="361" t="s">
        <v>7</v>
      </c>
      <c r="C109" s="361" t="s">
        <v>397</v>
      </c>
      <c r="D109" s="362" t="s">
        <v>396</v>
      </c>
      <c r="E109" s="362"/>
      <c r="F109" s="363" t="s">
        <v>12</v>
      </c>
      <c r="G109" s="363" t="s">
        <v>12</v>
      </c>
      <c r="H109" s="363" t="s">
        <v>12</v>
      </c>
      <c r="I109" s="347">
        <f>SUM(I110:I177)</f>
        <v>0</v>
      </c>
      <c r="J109" s="347">
        <f>SUM(J110:J177)</f>
        <v>0</v>
      </c>
      <c r="K109" s="347">
        <f>SUM(K110:K177)</f>
        <v>0</v>
      </c>
      <c r="L109" s="351"/>
      <c r="M109" s="347">
        <f>SUM(M110:M177)</f>
        <v>1.6595411600000003</v>
      </c>
      <c r="N109" s="364"/>
      <c r="O109" s="346"/>
      <c r="P109" s="346"/>
      <c r="Q109" s="346"/>
      <c r="R109" s="346"/>
      <c r="S109" s="346"/>
      <c r="T109" s="346"/>
      <c r="U109" s="346"/>
      <c r="V109" s="346"/>
      <c r="W109" s="346"/>
      <c r="X109" s="346"/>
      <c r="Y109" s="311"/>
      <c r="Z109" s="311"/>
      <c r="AA109" s="311"/>
      <c r="AB109" s="311"/>
      <c r="AC109" s="311"/>
      <c r="AD109" s="311"/>
      <c r="AE109" s="311"/>
      <c r="AF109" s="311"/>
      <c r="AG109" s="311"/>
      <c r="AH109" s="311"/>
      <c r="AI109" s="351" t="s">
        <v>7</v>
      </c>
      <c r="AJ109" s="311"/>
      <c r="AK109" s="311"/>
      <c r="AL109" s="311"/>
      <c r="AM109" s="311"/>
      <c r="AN109" s="311"/>
      <c r="AO109" s="311"/>
      <c r="AP109" s="311"/>
      <c r="AQ109" s="311"/>
      <c r="AR109" s="311"/>
      <c r="AS109" s="347">
        <f>SUM(AJ110:AJ177)</f>
        <v>0</v>
      </c>
      <c r="AT109" s="347">
        <f>SUM(AK110:AK177)</f>
        <v>0</v>
      </c>
      <c r="AU109" s="347">
        <f>SUM(AL110:AL177)</f>
        <v>0</v>
      </c>
      <c r="AV109" s="311"/>
      <c r="AW109" s="311"/>
      <c r="AX109" s="311"/>
      <c r="AY109" s="311"/>
      <c r="AZ109" s="311"/>
      <c r="BA109" s="311"/>
      <c r="BB109" s="311"/>
      <c r="BC109" s="311"/>
      <c r="BD109" s="311"/>
      <c r="BE109" s="311"/>
      <c r="BF109" s="311"/>
      <c r="BG109" s="311"/>
      <c r="BH109" s="311"/>
      <c r="BI109" s="311"/>
      <c r="BJ109" s="311"/>
      <c r="BK109" s="311"/>
      <c r="BL109" s="311"/>
      <c r="BM109" s="311"/>
      <c r="BN109" s="311"/>
      <c r="BO109" s="311"/>
      <c r="BP109" s="311"/>
      <c r="BQ109" s="311"/>
      <c r="BR109" s="311"/>
      <c r="BS109" s="311"/>
      <c r="BT109" s="311"/>
      <c r="BU109" s="311"/>
    </row>
    <row r="110" spans="1:73" ht="15" customHeight="1">
      <c r="A110" s="365" t="s">
        <v>395</v>
      </c>
      <c r="B110" s="366" t="s">
        <v>7</v>
      </c>
      <c r="C110" s="366" t="s">
        <v>394</v>
      </c>
      <c r="D110" s="304" t="s">
        <v>393</v>
      </c>
      <c r="E110" s="304"/>
      <c r="F110" s="366" t="s">
        <v>89</v>
      </c>
      <c r="G110" s="367">
        <f>'[2]Stavební rozpočet'!G106</f>
        <v>4.2</v>
      </c>
      <c r="H110" s="328">
        <v>0</v>
      </c>
      <c r="I110" s="367">
        <f>G110*AO110</f>
        <v>0</v>
      </c>
      <c r="J110" s="367">
        <f>G110*AP110</f>
        <v>0</v>
      </c>
      <c r="K110" s="367">
        <f>G110*H110</f>
        <v>0</v>
      </c>
      <c r="L110" s="367">
        <f>'[2]Stavební rozpočet'!L106</f>
        <v>0.02465</v>
      </c>
      <c r="M110" s="367">
        <f>G110*L110</f>
        <v>0.10353</v>
      </c>
      <c r="N110" s="368" t="s">
        <v>36</v>
      </c>
      <c r="O110" s="346"/>
      <c r="P110" s="346"/>
      <c r="Q110" s="346"/>
      <c r="R110" s="346"/>
      <c r="S110" s="346"/>
      <c r="T110" s="346"/>
      <c r="U110" s="346"/>
      <c r="V110" s="346"/>
      <c r="W110" s="346"/>
      <c r="X110" s="346"/>
      <c r="Y110" s="311"/>
      <c r="Z110" s="367">
        <f>IF(AQ110="5",BJ110,0)</f>
        <v>0</v>
      </c>
      <c r="AA110" s="311"/>
      <c r="AB110" s="367">
        <f>IF(AQ110="1",BH110,0)</f>
        <v>0</v>
      </c>
      <c r="AC110" s="367">
        <f>IF(AQ110="1",BI110,0)</f>
        <v>0</v>
      </c>
      <c r="AD110" s="367">
        <f>IF(AQ110="7",BH110,0)</f>
        <v>0</v>
      </c>
      <c r="AE110" s="367">
        <f>IF(AQ110="7",BI110,0)</f>
        <v>0</v>
      </c>
      <c r="AF110" s="367">
        <f>IF(AQ110="2",BH110,0)</f>
        <v>0</v>
      </c>
      <c r="AG110" s="367">
        <f>IF(AQ110="2",BI110,0)</f>
        <v>0</v>
      </c>
      <c r="AH110" s="367">
        <f>IF(AQ110="0",BJ110,0)</f>
        <v>0</v>
      </c>
      <c r="AI110" s="351" t="s">
        <v>7</v>
      </c>
      <c r="AJ110" s="367">
        <f>IF(AN110=0,K110,0)</f>
        <v>0</v>
      </c>
      <c r="AK110" s="367">
        <f>IF(AN110=15,K110,0)</f>
        <v>0</v>
      </c>
      <c r="AL110" s="367">
        <f>IF(AN110=21,K110,0)</f>
        <v>0</v>
      </c>
      <c r="AM110" s="311"/>
      <c r="AN110" s="367">
        <v>21</v>
      </c>
      <c r="AO110" s="367">
        <f>H110*0</f>
        <v>0</v>
      </c>
      <c r="AP110" s="367">
        <f>H110*(1-0)</f>
        <v>0</v>
      </c>
      <c r="AQ110" s="369" t="s">
        <v>178</v>
      </c>
      <c r="AR110" s="311"/>
      <c r="AS110" s="311"/>
      <c r="AT110" s="311"/>
      <c r="AU110" s="311"/>
      <c r="AV110" s="367">
        <f>AW110+AX110</f>
        <v>0</v>
      </c>
      <c r="AW110" s="367">
        <f>G110*AO110</f>
        <v>0</v>
      </c>
      <c r="AX110" s="367">
        <f>G110*AP110</f>
        <v>0</v>
      </c>
      <c r="AY110" s="369" t="s">
        <v>294</v>
      </c>
      <c r="AZ110" s="369" t="s">
        <v>281</v>
      </c>
      <c r="BA110" s="351" t="s">
        <v>3</v>
      </c>
      <c r="BB110" s="311"/>
      <c r="BC110" s="367">
        <f>AW110+AX110</f>
        <v>0</v>
      </c>
      <c r="BD110" s="367">
        <f>H110/(100-BE110)*100</f>
        <v>0</v>
      </c>
      <c r="BE110" s="367">
        <v>0</v>
      </c>
      <c r="BF110" s="367">
        <f>M110</f>
        <v>0.10353</v>
      </c>
      <c r="BG110" s="311"/>
      <c r="BH110" s="367">
        <f>G110*AO110</f>
        <v>0</v>
      </c>
      <c r="BI110" s="367">
        <f>G110*AP110</f>
        <v>0</v>
      </c>
      <c r="BJ110" s="367">
        <f>G110*H110</f>
        <v>0</v>
      </c>
      <c r="BK110" s="367"/>
      <c r="BL110" s="367">
        <v>766</v>
      </c>
      <c r="BM110" s="311"/>
      <c r="BN110" s="311"/>
      <c r="BO110" s="311"/>
      <c r="BP110" s="311"/>
      <c r="BQ110" s="311"/>
      <c r="BR110" s="311"/>
      <c r="BS110" s="311"/>
      <c r="BT110" s="311"/>
      <c r="BU110" s="311"/>
    </row>
    <row r="111" spans="1:73" ht="15" customHeight="1">
      <c r="A111" s="370"/>
      <c r="B111" s="311"/>
      <c r="C111" s="311"/>
      <c r="D111" s="371" t="s">
        <v>392</v>
      </c>
      <c r="E111" s="372"/>
      <c r="F111" s="311"/>
      <c r="G111" s="373">
        <v>1.89</v>
      </c>
      <c r="H111" s="311"/>
      <c r="I111" s="311"/>
      <c r="J111" s="311"/>
      <c r="K111" s="311"/>
      <c r="L111" s="311"/>
      <c r="M111" s="311"/>
      <c r="N111" s="374"/>
      <c r="O111" s="346"/>
      <c r="P111" s="346"/>
      <c r="Q111" s="346"/>
      <c r="R111" s="346"/>
      <c r="S111" s="346"/>
      <c r="T111" s="346"/>
      <c r="U111" s="346"/>
      <c r="V111" s="346"/>
      <c r="W111" s="346"/>
      <c r="X111" s="346"/>
      <c r="Y111" s="311"/>
      <c r="Z111" s="311"/>
      <c r="AA111" s="311"/>
      <c r="AB111" s="311"/>
      <c r="AC111" s="311"/>
      <c r="AD111" s="311"/>
      <c r="AE111" s="311"/>
      <c r="AF111" s="311"/>
      <c r="AG111" s="311"/>
      <c r="AH111" s="311"/>
      <c r="AI111" s="311"/>
      <c r="AJ111" s="311"/>
      <c r="AK111" s="311"/>
      <c r="AL111" s="311"/>
      <c r="AM111" s="311"/>
      <c r="AN111" s="311"/>
      <c r="AO111" s="311"/>
      <c r="AP111" s="311"/>
      <c r="AQ111" s="311"/>
      <c r="AR111" s="311"/>
      <c r="AS111" s="311"/>
      <c r="AT111" s="311"/>
      <c r="AU111" s="311"/>
      <c r="AV111" s="311"/>
      <c r="AW111" s="311"/>
      <c r="AX111" s="311"/>
      <c r="AY111" s="311"/>
      <c r="AZ111" s="311"/>
      <c r="BA111" s="311"/>
      <c r="BB111" s="311"/>
      <c r="BC111" s="311"/>
      <c r="BD111" s="311"/>
      <c r="BE111" s="311"/>
      <c r="BF111" s="311"/>
      <c r="BG111" s="311"/>
      <c r="BH111" s="311"/>
      <c r="BI111" s="311"/>
      <c r="BJ111" s="311"/>
      <c r="BK111" s="311"/>
      <c r="BL111" s="311"/>
      <c r="BM111" s="311"/>
      <c r="BN111" s="311"/>
      <c r="BO111" s="311"/>
      <c r="BP111" s="311"/>
      <c r="BQ111" s="311"/>
      <c r="BR111" s="311"/>
      <c r="BS111" s="311"/>
      <c r="BT111" s="311"/>
      <c r="BU111" s="311"/>
    </row>
    <row r="112" spans="1:73" ht="15" customHeight="1">
      <c r="A112" s="370"/>
      <c r="B112" s="311"/>
      <c r="C112" s="311"/>
      <c r="D112" s="371" t="s">
        <v>391</v>
      </c>
      <c r="E112" s="372"/>
      <c r="F112" s="311"/>
      <c r="G112" s="373">
        <v>2.31</v>
      </c>
      <c r="H112" s="311"/>
      <c r="I112" s="311"/>
      <c r="J112" s="311"/>
      <c r="K112" s="311"/>
      <c r="L112" s="311"/>
      <c r="M112" s="311"/>
      <c r="N112" s="374"/>
      <c r="O112" s="346"/>
      <c r="P112" s="346"/>
      <c r="Q112" s="346"/>
      <c r="R112" s="346"/>
      <c r="S112" s="346"/>
      <c r="T112" s="346"/>
      <c r="U112" s="346"/>
      <c r="V112" s="346"/>
      <c r="W112" s="346"/>
      <c r="X112" s="346"/>
      <c r="Y112" s="311"/>
      <c r="Z112" s="311"/>
      <c r="AA112" s="311"/>
      <c r="AB112" s="311"/>
      <c r="AC112" s="311"/>
      <c r="AD112" s="311"/>
      <c r="AE112" s="311"/>
      <c r="AF112" s="311"/>
      <c r="AG112" s="311"/>
      <c r="AH112" s="311"/>
      <c r="AI112" s="311"/>
      <c r="AJ112" s="311"/>
      <c r="AK112" s="311"/>
      <c r="AL112" s="311"/>
      <c r="AM112" s="311"/>
      <c r="AN112" s="311"/>
      <c r="AO112" s="311"/>
      <c r="AP112" s="311"/>
      <c r="AQ112" s="311"/>
      <c r="AR112" s="311"/>
      <c r="AS112" s="311"/>
      <c r="AT112" s="311"/>
      <c r="AU112" s="311"/>
      <c r="AV112" s="311"/>
      <c r="AW112" s="311"/>
      <c r="AX112" s="311"/>
      <c r="AY112" s="311"/>
      <c r="AZ112" s="311"/>
      <c r="BA112" s="311"/>
      <c r="BB112" s="311"/>
      <c r="BC112" s="311"/>
      <c r="BD112" s="311"/>
      <c r="BE112" s="311"/>
      <c r="BF112" s="311"/>
      <c r="BG112" s="311"/>
      <c r="BH112" s="311"/>
      <c r="BI112" s="311"/>
      <c r="BJ112" s="311"/>
      <c r="BK112" s="311"/>
      <c r="BL112" s="311"/>
      <c r="BM112" s="311"/>
      <c r="BN112" s="311"/>
      <c r="BO112" s="311"/>
      <c r="BP112" s="311"/>
      <c r="BQ112" s="311"/>
      <c r="BR112" s="311"/>
      <c r="BS112" s="311"/>
      <c r="BT112" s="311"/>
      <c r="BU112" s="311"/>
    </row>
    <row r="113" spans="1:73" ht="15" customHeight="1">
      <c r="A113" s="365" t="s">
        <v>390</v>
      </c>
      <c r="B113" s="366" t="s">
        <v>7</v>
      </c>
      <c r="C113" s="366" t="s">
        <v>389</v>
      </c>
      <c r="D113" s="304" t="s">
        <v>388</v>
      </c>
      <c r="E113" s="304"/>
      <c r="F113" s="366" t="s">
        <v>69</v>
      </c>
      <c r="G113" s="367">
        <f>'[2]Stavební rozpočet'!G109</f>
        <v>43.38</v>
      </c>
      <c r="H113" s="328">
        <v>0</v>
      </c>
      <c r="I113" s="367">
        <f>G113*AO113</f>
        <v>0</v>
      </c>
      <c r="J113" s="367">
        <f>G113*AP113</f>
        <v>0</v>
      </c>
      <c r="K113" s="367">
        <f>G113*H113</f>
        <v>0</v>
      </c>
      <c r="L113" s="367">
        <f>'[2]Stavební rozpočet'!L109</f>
        <v>0.00018</v>
      </c>
      <c r="M113" s="367">
        <f>G113*L113</f>
        <v>0.007808400000000001</v>
      </c>
      <c r="N113" s="368" t="s">
        <v>36</v>
      </c>
      <c r="O113" s="346"/>
      <c r="P113" s="346"/>
      <c r="Q113" s="346"/>
      <c r="R113" s="346"/>
      <c r="S113" s="346"/>
      <c r="T113" s="346"/>
      <c r="U113" s="346"/>
      <c r="V113" s="346"/>
      <c r="W113" s="346"/>
      <c r="X113" s="346"/>
      <c r="Y113" s="311"/>
      <c r="Z113" s="367">
        <f>IF(AQ113="5",BJ113,0)</f>
        <v>0</v>
      </c>
      <c r="AA113" s="311"/>
      <c r="AB113" s="367">
        <f>IF(AQ113="1",BH113,0)</f>
        <v>0</v>
      </c>
      <c r="AC113" s="367">
        <f>IF(AQ113="1",BI113,0)</f>
        <v>0</v>
      </c>
      <c r="AD113" s="367">
        <f>IF(AQ113="7",BH113,0)</f>
        <v>0</v>
      </c>
      <c r="AE113" s="367">
        <f>IF(AQ113="7",BI113,0)</f>
        <v>0</v>
      </c>
      <c r="AF113" s="367">
        <f>IF(AQ113="2",BH113,0)</f>
        <v>0</v>
      </c>
      <c r="AG113" s="367">
        <f>IF(AQ113="2",BI113,0)</f>
        <v>0</v>
      </c>
      <c r="AH113" s="367">
        <f>IF(AQ113="0",BJ113,0)</f>
        <v>0</v>
      </c>
      <c r="AI113" s="351" t="s">
        <v>7</v>
      </c>
      <c r="AJ113" s="367">
        <f>IF(AN113=0,K113,0)</f>
        <v>0</v>
      </c>
      <c r="AK113" s="367">
        <f>IF(AN113=15,K113,0)</f>
        <v>0</v>
      </c>
      <c r="AL113" s="367">
        <f>IF(AN113=21,K113,0)</f>
        <v>0</v>
      </c>
      <c r="AM113" s="311"/>
      <c r="AN113" s="367">
        <v>21</v>
      </c>
      <c r="AO113" s="367">
        <f>H113*0.109651489781407</f>
        <v>0</v>
      </c>
      <c r="AP113" s="367">
        <f>H113*(1-0.109651489781407)</f>
        <v>0</v>
      </c>
      <c r="AQ113" s="369" t="s">
        <v>178</v>
      </c>
      <c r="AR113" s="311"/>
      <c r="AS113" s="311"/>
      <c r="AT113" s="311"/>
      <c r="AU113" s="311"/>
      <c r="AV113" s="367">
        <f>AW113+AX113</f>
        <v>0</v>
      </c>
      <c r="AW113" s="367">
        <f>G113*AO113</f>
        <v>0</v>
      </c>
      <c r="AX113" s="367">
        <f>G113*AP113</f>
        <v>0</v>
      </c>
      <c r="AY113" s="369" t="s">
        <v>294</v>
      </c>
      <c r="AZ113" s="369" t="s">
        <v>281</v>
      </c>
      <c r="BA113" s="351" t="s">
        <v>3</v>
      </c>
      <c r="BB113" s="311"/>
      <c r="BC113" s="367">
        <f>AW113+AX113</f>
        <v>0</v>
      </c>
      <c r="BD113" s="367">
        <f>H113/(100-BE113)*100</f>
        <v>0</v>
      </c>
      <c r="BE113" s="367">
        <v>0</v>
      </c>
      <c r="BF113" s="367">
        <f>M113</f>
        <v>0.007808400000000001</v>
      </c>
      <c r="BG113" s="311"/>
      <c r="BH113" s="367">
        <f>G113*AO113</f>
        <v>0</v>
      </c>
      <c r="BI113" s="367">
        <f>G113*AP113</f>
        <v>0</v>
      </c>
      <c r="BJ113" s="367">
        <f>G113*H113</f>
        <v>0</v>
      </c>
      <c r="BK113" s="367"/>
      <c r="BL113" s="367">
        <v>766</v>
      </c>
      <c r="BM113" s="311"/>
      <c r="BN113" s="311"/>
      <c r="BO113" s="311"/>
      <c r="BP113" s="311"/>
      <c r="BQ113" s="311"/>
      <c r="BR113" s="311"/>
      <c r="BS113" s="311"/>
      <c r="BT113" s="311"/>
      <c r="BU113" s="311"/>
    </row>
    <row r="114" spans="1:73" ht="15" customHeight="1">
      <c r="A114" s="370"/>
      <c r="B114" s="311"/>
      <c r="C114" s="311"/>
      <c r="D114" s="371" t="s">
        <v>387</v>
      </c>
      <c r="E114" s="372"/>
      <c r="F114" s="311"/>
      <c r="G114" s="373">
        <v>43.38</v>
      </c>
      <c r="H114" s="311"/>
      <c r="I114" s="311"/>
      <c r="J114" s="311"/>
      <c r="K114" s="311"/>
      <c r="L114" s="311"/>
      <c r="M114" s="311"/>
      <c r="N114" s="374"/>
      <c r="O114" s="346"/>
      <c r="P114" s="346"/>
      <c r="Q114" s="346"/>
      <c r="R114" s="346"/>
      <c r="S114" s="346"/>
      <c r="T114" s="346"/>
      <c r="U114" s="346"/>
      <c r="V114" s="346"/>
      <c r="W114" s="346"/>
      <c r="X114" s="346"/>
      <c r="Y114" s="311"/>
      <c r="Z114" s="311"/>
      <c r="AA114" s="311"/>
      <c r="AB114" s="311"/>
      <c r="AC114" s="311"/>
      <c r="AD114" s="311"/>
      <c r="AE114" s="311"/>
      <c r="AF114" s="311"/>
      <c r="AG114" s="311"/>
      <c r="AH114" s="311"/>
      <c r="AI114" s="311"/>
      <c r="AJ114" s="311"/>
      <c r="AK114" s="311"/>
      <c r="AL114" s="311"/>
      <c r="AM114" s="311"/>
      <c r="AN114" s="311"/>
      <c r="AO114" s="311"/>
      <c r="AP114" s="311"/>
      <c r="AQ114" s="311"/>
      <c r="AR114" s="311"/>
      <c r="AS114" s="311"/>
      <c r="AT114" s="311"/>
      <c r="AU114" s="311"/>
      <c r="AV114" s="311"/>
      <c r="AW114" s="311"/>
      <c r="AX114" s="311"/>
      <c r="AY114" s="311"/>
      <c r="AZ114" s="311"/>
      <c r="BA114" s="311"/>
      <c r="BB114" s="311"/>
      <c r="BC114" s="311"/>
      <c r="BD114" s="311"/>
      <c r="BE114" s="311"/>
      <c r="BF114" s="311"/>
      <c r="BG114" s="311"/>
      <c r="BH114" s="311"/>
      <c r="BI114" s="311"/>
      <c r="BJ114" s="311"/>
      <c r="BK114" s="311"/>
      <c r="BL114" s="311"/>
      <c r="BM114" s="311"/>
      <c r="BN114" s="311"/>
      <c r="BO114" s="311"/>
      <c r="BP114" s="311"/>
      <c r="BQ114" s="311"/>
      <c r="BR114" s="311"/>
      <c r="BS114" s="311"/>
      <c r="BT114" s="311"/>
      <c r="BU114" s="311"/>
    </row>
    <row r="115" spans="1:73" ht="15" customHeight="1">
      <c r="A115" s="365" t="s">
        <v>386</v>
      </c>
      <c r="B115" s="366" t="s">
        <v>7</v>
      </c>
      <c r="C115" s="366" t="s">
        <v>385</v>
      </c>
      <c r="D115" s="304" t="s">
        <v>384</v>
      </c>
      <c r="E115" s="304"/>
      <c r="F115" s="366" t="s">
        <v>69</v>
      </c>
      <c r="G115" s="367">
        <f>'[2]Stavební rozpočet'!G111</f>
        <v>7.47</v>
      </c>
      <c r="H115" s="328">
        <v>0</v>
      </c>
      <c r="I115" s="367">
        <f>G115*AO115</f>
        <v>0</v>
      </c>
      <c r="J115" s="367">
        <f>G115*AP115</f>
        <v>0</v>
      </c>
      <c r="K115" s="367">
        <f>G115*H115</f>
        <v>0</v>
      </c>
      <c r="L115" s="367">
        <f>'[2]Stavební rozpočet'!L111</f>
        <v>0.00028</v>
      </c>
      <c r="M115" s="367">
        <f>G115*L115</f>
        <v>0.0020916</v>
      </c>
      <c r="N115" s="368" t="s">
        <v>36</v>
      </c>
      <c r="O115" s="346"/>
      <c r="P115" s="346"/>
      <c r="Q115" s="346"/>
      <c r="R115" s="346"/>
      <c r="S115" s="346"/>
      <c r="T115" s="346"/>
      <c r="U115" s="346"/>
      <c r="V115" s="346"/>
      <c r="W115" s="346"/>
      <c r="X115" s="346"/>
      <c r="Y115" s="311"/>
      <c r="Z115" s="367">
        <f>IF(AQ115="5",BJ115,0)</f>
        <v>0</v>
      </c>
      <c r="AA115" s="311"/>
      <c r="AB115" s="367">
        <f>IF(AQ115="1",BH115,0)</f>
        <v>0</v>
      </c>
      <c r="AC115" s="367">
        <f>IF(AQ115="1",BI115,0)</f>
        <v>0</v>
      </c>
      <c r="AD115" s="367">
        <f>IF(AQ115="7",BH115,0)</f>
        <v>0</v>
      </c>
      <c r="AE115" s="367">
        <f>IF(AQ115="7",BI115,0)</f>
        <v>0</v>
      </c>
      <c r="AF115" s="367">
        <f>IF(AQ115="2",BH115,0)</f>
        <v>0</v>
      </c>
      <c r="AG115" s="367">
        <f>IF(AQ115="2",BI115,0)</f>
        <v>0</v>
      </c>
      <c r="AH115" s="367">
        <f>IF(AQ115="0",BJ115,0)</f>
        <v>0</v>
      </c>
      <c r="AI115" s="351" t="s">
        <v>7</v>
      </c>
      <c r="AJ115" s="367">
        <f>IF(AN115=0,K115,0)</f>
        <v>0</v>
      </c>
      <c r="AK115" s="367">
        <f>IF(AN115=15,K115,0)</f>
        <v>0</v>
      </c>
      <c r="AL115" s="367">
        <f>IF(AN115=21,K115,0)</f>
        <v>0</v>
      </c>
      <c r="AM115" s="311"/>
      <c r="AN115" s="367">
        <v>21</v>
      </c>
      <c r="AO115" s="367">
        <f>H115*0.149862208472156</f>
        <v>0</v>
      </c>
      <c r="AP115" s="367">
        <f>H115*(1-0.149862208472156)</f>
        <v>0</v>
      </c>
      <c r="AQ115" s="369" t="s">
        <v>178</v>
      </c>
      <c r="AR115" s="311"/>
      <c r="AS115" s="311"/>
      <c r="AT115" s="311"/>
      <c r="AU115" s="311"/>
      <c r="AV115" s="367">
        <f>AW115+AX115</f>
        <v>0</v>
      </c>
      <c r="AW115" s="367">
        <f>G115*AO115</f>
        <v>0</v>
      </c>
      <c r="AX115" s="367">
        <f>G115*AP115</f>
        <v>0</v>
      </c>
      <c r="AY115" s="369" t="s">
        <v>294</v>
      </c>
      <c r="AZ115" s="369" t="s">
        <v>281</v>
      </c>
      <c r="BA115" s="351" t="s">
        <v>3</v>
      </c>
      <c r="BB115" s="311"/>
      <c r="BC115" s="367">
        <f>AW115+AX115</f>
        <v>0</v>
      </c>
      <c r="BD115" s="367">
        <f>H115/(100-BE115)*100</f>
        <v>0</v>
      </c>
      <c r="BE115" s="367">
        <v>0</v>
      </c>
      <c r="BF115" s="367">
        <f>M115</f>
        <v>0.0020916</v>
      </c>
      <c r="BG115" s="311"/>
      <c r="BH115" s="367">
        <f>G115*AO115</f>
        <v>0</v>
      </c>
      <c r="BI115" s="367">
        <f>G115*AP115</f>
        <v>0</v>
      </c>
      <c r="BJ115" s="367">
        <f>G115*H115</f>
        <v>0</v>
      </c>
      <c r="BK115" s="367"/>
      <c r="BL115" s="367">
        <v>766</v>
      </c>
      <c r="BM115" s="311"/>
      <c r="BN115" s="311"/>
      <c r="BO115" s="311"/>
      <c r="BP115" s="311"/>
      <c r="BQ115" s="311"/>
      <c r="BR115" s="311"/>
      <c r="BS115" s="311"/>
      <c r="BT115" s="311"/>
      <c r="BU115" s="311"/>
    </row>
    <row r="116" spans="1:73" ht="15" customHeight="1">
      <c r="A116" s="370"/>
      <c r="B116" s="311"/>
      <c r="C116" s="311"/>
      <c r="D116" s="371" t="s">
        <v>383</v>
      </c>
      <c r="E116" s="372"/>
      <c r="F116" s="311"/>
      <c r="G116" s="373">
        <v>7.470000000000001</v>
      </c>
      <c r="H116" s="311"/>
      <c r="I116" s="311"/>
      <c r="J116" s="311"/>
      <c r="K116" s="311"/>
      <c r="L116" s="311"/>
      <c r="M116" s="311"/>
      <c r="N116" s="374"/>
      <c r="O116" s="346"/>
      <c r="P116" s="346"/>
      <c r="Q116" s="346"/>
      <c r="R116" s="346"/>
      <c r="S116" s="346"/>
      <c r="T116" s="346"/>
      <c r="U116" s="346"/>
      <c r="V116" s="346"/>
      <c r="W116" s="346"/>
      <c r="X116" s="346"/>
      <c r="Y116" s="311"/>
      <c r="Z116" s="311"/>
      <c r="AA116" s="311"/>
      <c r="AB116" s="311"/>
      <c r="AC116" s="311"/>
      <c r="AD116" s="311"/>
      <c r="AE116" s="311"/>
      <c r="AF116" s="311"/>
      <c r="AG116" s="311"/>
      <c r="AH116" s="311"/>
      <c r="AI116" s="311"/>
      <c r="AJ116" s="311"/>
      <c r="AK116" s="311"/>
      <c r="AL116" s="311"/>
      <c r="AM116" s="311"/>
      <c r="AN116" s="311"/>
      <c r="AO116" s="311"/>
      <c r="AP116" s="311"/>
      <c r="AQ116" s="311"/>
      <c r="AR116" s="311"/>
      <c r="AS116" s="311"/>
      <c r="AT116" s="311"/>
      <c r="AU116" s="311"/>
      <c r="AV116" s="311"/>
      <c r="AW116" s="311"/>
      <c r="AX116" s="311"/>
      <c r="AY116" s="311"/>
      <c r="AZ116" s="311"/>
      <c r="BA116" s="311"/>
      <c r="BB116" s="311"/>
      <c r="BC116" s="311"/>
      <c r="BD116" s="311"/>
      <c r="BE116" s="311"/>
      <c r="BF116" s="311"/>
      <c r="BG116" s="311"/>
      <c r="BH116" s="311"/>
      <c r="BI116" s="311"/>
      <c r="BJ116" s="311"/>
      <c r="BK116" s="311"/>
      <c r="BL116" s="311"/>
      <c r="BM116" s="311"/>
      <c r="BN116" s="311"/>
      <c r="BO116" s="311"/>
      <c r="BP116" s="311"/>
      <c r="BQ116" s="311"/>
      <c r="BR116" s="311"/>
      <c r="BS116" s="311"/>
      <c r="BT116" s="311"/>
      <c r="BU116" s="311"/>
    </row>
    <row r="117" spans="1:73" ht="15" customHeight="1">
      <c r="A117" s="365" t="s">
        <v>382</v>
      </c>
      <c r="B117" s="366" t="s">
        <v>7</v>
      </c>
      <c r="C117" s="366" t="s">
        <v>381</v>
      </c>
      <c r="D117" s="304" t="s">
        <v>380</v>
      </c>
      <c r="E117" s="304"/>
      <c r="F117" s="366" t="s">
        <v>79</v>
      </c>
      <c r="G117" s="367">
        <f>'[2]Stavební rozpočet'!G113</f>
        <v>0.14048</v>
      </c>
      <c r="H117" s="328">
        <v>0</v>
      </c>
      <c r="I117" s="367">
        <f>G117*AO117</f>
        <v>0</v>
      </c>
      <c r="J117" s="367">
        <f>G117*AP117</f>
        <v>0</v>
      </c>
      <c r="K117" s="367">
        <f>G117*H117</f>
        <v>0</v>
      </c>
      <c r="L117" s="367">
        <f>'[2]Stavební rozpočet'!L113</f>
        <v>0.5</v>
      </c>
      <c r="M117" s="367">
        <f>G117*L117</f>
        <v>0.07024</v>
      </c>
      <c r="N117" s="368" t="s">
        <v>36</v>
      </c>
      <c r="O117" s="346"/>
      <c r="P117" s="346"/>
      <c r="Q117" s="346"/>
      <c r="R117" s="346"/>
      <c r="S117" s="346"/>
      <c r="T117" s="346"/>
      <c r="U117" s="346"/>
      <c r="V117" s="346"/>
      <c r="W117" s="346"/>
      <c r="X117" s="346"/>
      <c r="Y117" s="311"/>
      <c r="Z117" s="367">
        <f>IF(AQ117="5",BJ117,0)</f>
        <v>0</v>
      </c>
      <c r="AA117" s="311"/>
      <c r="AB117" s="367">
        <f>IF(AQ117="1",BH117,0)</f>
        <v>0</v>
      </c>
      <c r="AC117" s="367">
        <f>IF(AQ117="1",BI117,0)</f>
        <v>0</v>
      </c>
      <c r="AD117" s="367">
        <f>IF(AQ117="7",BH117,0)</f>
        <v>0</v>
      </c>
      <c r="AE117" s="367">
        <f>IF(AQ117="7",BI117,0)</f>
        <v>0</v>
      </c>
      <c r="AF117" s="367">
        <f>IF(AQ117="2",BH117,0)</f>
        <v>0</v>
      </c>
      <c r="AG117" s="367">
        <f>IF(AQ117="2",BI117,0)</f>
        <v>0</v>
      </c>
      <c r="AH117" s="367">
        <f>IF(AQ117="0",BJ117,0)</f>
        <v>0</v>
      </c>
      <c r="AI117" s="351" t="s">
        <v>7</v>
      </c>
      <c r="AJ117" s="367">
        <f>IF(AN117=0,K117,0)</f>
        <v>0</v>
      </c>
      <c r="AK117" s="367">
        <f>IF(AN117=15,K117,0)</f>
        <v>0</v>
      </c>
      <c r="AL117" s="367">
        <f>IF(AN117=21,K117,0)</f>
        <v>0</v>
      </c>
      <c r="AM117" s="311"/>
      <c r="AN117" s="367">
        <v>21</v>
      </c>
      <c r="AO117" s="367">
        <f>H117*1</f>
        <v>0</v>
      </c>
      <c r="AP117" s="367">
        <f>H117*(1-1)</f>
        <v>0</v>
      </c>
      <c r="AQ117" s="369" t="s">
        <v>178</v>
      </c>
      <c r="AR117" s="311"/>
      <c r="AS117" s="311"/>
      <c r="AT117" s="311"/>
      <c r="AU117" s="311"/>
      <c r="AV117" s="367">
        <f>AW117+AX117</f>
        <v>0</v>
      </c>
      <c r="AW117" s="367">
        <f>G117*AO117</f>
        <v>0</v>
      </c>
      <c r="AX117" s="367">
        <f>G117*AP117</f>
        <v>0</v>
      </c>
      <c r="AY117" s="369" t="s">
        <v>294</v>
      </c>
      <c r="AZ117" s="369" t="s">
        <v>281</v>
      </c>
      <c r="BA117" s="351" t="s">
        <v>3</v>
      </c>
      <c r="BB117" s="311"/>
      <c r="BC117" s="367">
        <f>AW117+AX117</f>
        <v>0</v>
      </c>
      <c r="BD117" s="367">
        <f>H117/(100-BE117)*100</f>
        <v>0</v>
      </c>
      <c r="BE117" s="367">
        <v>0</v>
      </c>
      <c r="BF117" s="367">
        <f>M117</f>
        <v>0.07024</v>
      </c>
      <c r="BG117" s="311"/>
      <c r="BH117" s="367">
        <f>G117*AO117</f>
        <v>0</v>
      </c>
      <c r="BI117" s="367">
        <f>G117*AP117</f>
        <v>0</v>
      </c>
      <c r="BJ117" s="367">
        <f>G117*H117</f>
        <v>0</v>
      </c>
      <c r="BK117" s="367"/>
      <c r="BL117" s="367">
        <v>766</v>
      </c>
      <c r="BM117" s="311"/>
      <c r="BN117" s="311"/>
      <c r="BO117" s="311"/>
      <c r="BP117" s="311"/>
      <c r="BQ117" s="311"/>
      <c r="BR117" s="311"/>
      <c r="BS117" s="311"/>
      <c r="BT117" s="311"/>
      <c r="BU117" s="311"/>
    </row>
    <row r="118" spans="1:73" ht="15" customHeight="1">
      <c r="A118" s="370"/>
      <c r="B118" s="311"/>
      <c r="C118" s="311"/>
      <c r="D118" s="371" t="s">
        <v>379</v>
      </c>
      <c r="E118" s="372"/>
      <c r="F118" s="311"/>
      <c r="G118" s="373">
        <v>0.12216</v>
      </c>
      <c r="H118" s="311"/>
      <c r="I118" s="311"/>
      <c r="J118" s="311"/>
      <c r="K118" s="311"/>
      <c r="L118" s="311"/>
      <c r="M118" s="311"/>
      <c r="N118" s="374"/>
      <c r="O118" s="346"/>
      <c r="P118" s="346"/>
      <c r="Q118" s="346"/>
      <c r="R118" s="346"/>
      <c r="S118" s="346"/>
      <c r="T118" s="346"/>
      <c r="U118" s="346"/>
      <c r="V118" s="346"/>
      <c r="W118" s="346"/>
      <c r="X118" s="346"/>
      <c r="Y118" s="311"/>
      <c r="Z118" s="311"/>
      <c r="AA118" s="311"/>
      <c r="AB118" s="311"/>
      <c r="AC118" s="311"/>
      <c r="AD118" s="311"/>
      <c r="AE118" s="311"/>
      <c r="AF118" s="311"/>
      <c r="AG118" s="311"/>
      <c r="AH118" s="311"/>
      <c r="AI118" s="311"/>
      <c r="AJ118" s="311"/>
      <c r="AK118" s="311"/>
      <c r="AL118" s="311"/>
      <c r="AM118" s="311"/>
      <c r="AN118" s="311"/>
      <c r="AO118" s="311"/>
      <c r="AP118" s="311"/>
      <c r="AQ118" s="311"/>
      <c r="AR118" s="311"/>
      <c r="AS118" s="311"/>
      <c r="AT118" s="311"/>
      <c r="AU118" s="311"/>
      <c r="AV118" s="311"/>
      <c r="AW118" s="311"/>
      <c r="AX118" s="311"/>
      <c r="AY118" s="311"/>
      <c r="AZ118" s="311"/>
      <c r="BA118" s="311"/>
      <c r="BB118" s="311"/>
      <c r="BC118" s="311"/>
      <c r="BD118" s="311"/>
      <c r="BE118" s="311"/>
      <c r="BF118" s="311"/>
      <c r="BG118" s="311"/>
      <c r="BH118" s="311"/>
      <c r="BI118" s="311"/>
      <c r="BJ118" s="311"/>
      <c r="BK118" s="311"/>
      <c r="BL118" s="311"/>
      <c r="BM118" s="311"/>
      <c r="BN118" s="311"/>
      <c r="BO118" s="311"/>
      <c r="BP118" s="311"/>
      <c r="BQ118" s="311"/>
      <c r="BR118" s="311"/>
      <c r="BS118" s="311"/>
      <c r="BT118" s="311"/>
      <c r="BU118" s="311"/>
    </row>
    <row r="119" spans="1:73" ht="15" customHeight="1">
      <c r="A119" s="370"/>
      <c r="B119" s="311"/>
      <c r="C119" s="311"/>
      <c r="D119" s="371" t="s">
        <v>378</v>
      </c>
      <c r="E119" s="372"/>
      <c r="F119" s="311"/>
      <c r="G119" s="373">
        <v>0.018320000000000003</v>
      </c>
      <c r="H119" s="311"/>
      <c r="I119" s="311"/>
      <c r="J119" s="311"/>
      <c r="K119" s="311"/>
      <c r="L119" s="311"/>
      <c r="M119" s="311"/>
      <c r="N119" s="374"/>
      <c r="O119" s="346"/>
      <c r="P119" s="346"/>
      <c r="Q119" s="346"/>
      <c r="R119" s="346"/>
      <c r="S119" s="346"/>
      <c r="T119" s="346"/>
      <c r="U119" s="346"/>
      <c r="V119" s="346"/>
      <c r="W119" s="346"/>
      <c r="X119" s="346"/>
      <c r="Y119" s="311"/>
      <c r="Z119" s="311"/>
      <c r="AA119" s="311"/>
      <c r="AB119" s="311"/>
      <c r="AC119" s="311"/>
      <c r="AD119" s="311"/>
      <c r="AE119" s="311"/>
      <c r="AF119" s="311"/>
      <c r="AG119" s="311"/>
      <c r="AH119" s="311"/>
      <c r="AI119" s="311"/>
      <c r="AJ119" s="311"/>
      <c r="AK119" s="311"/>
      <c r="AL119" s="311"/>
      <c r="AM119" s="311"/>
      <c r="AN119" s="311"/>
      <c r="AO119" s="311"/>
      <c r="AP119" s="311"/>
      <c r="AQ119" s="311"/>
      <c r="AR119" s="311"/>
      <c r="AS119" s="311"/>
      <c r="AT119" s="311"/>
      <c r="AU119" s="311"/>
      <c r="AV119" s="311"/>
      <c r="AW119" s="311"/>
      <c r="AX119" s="311"/>
      <c r="AY119" s="311"/>
      <c r="AZ119" s="311"/>
      <c r="BA119" s="311"/>
      <c r="BB119" s="311"/>
      <c r="BC119" s="311"/>
      <c r="BD119" s="311"/>
      <c r="BE119" s="311"/>
      <c r="BF119" s="311"/>
      <c r="BG119" s="311"/>
      <c r="BH119" s="311"/>
      <c r="BI119" s="311"/>
      <c r="BJ119" s="311"/>
      <c r="BK119" s="311"/>
      <c r="BL119" s="311"/>
      <c r="BM119" s="311"/>
      <c r="BN119" s="311"/>
      <c r="BO119" s="311"/>
      <c r="BP119" s="311"/>
      <c r="BQ119" s="311"/>
      <c r="BR119" s="311"/>
      <c r="BS119" s="311"/>
      <c r="BT119" s="311"/>
      <c r="BU119" s="311"/>
    </row>
    <row r="120" spans="1:73" ht="15" customHeight="1">
      <c r="A120" s="365" t="s">
        <v>377</v>
      </c>
      <c r="B120" s="366" t="s">
        <v>7</v>
      </c>
      <c r="C120" s="366" t="s">
        <v>376</v>
      </c>
      <c r="D120" s="304" t="s">
        <v>375</v>
      </c>
      <c r="E120" s="304"/>
      <c r="F120" s="366" t="s">
        <v>89</v>
      </c>
      <c r="G120" s="367">
        <f>'[2]Stavební rozpočet'!G116</f>
        <v>22.612</v>
      </c>
      <c r="H120" s="328">
        <v>0</v>
      </c>
      <c r="I120" s="367">
        <f>G120*AO120</f>
        <v>0</v>
      </c>
      <c r="J120" s="367">
        <f>G120*AP120</f>
        <v>0</v>
      </c>
      <c r="K120" s="367">
        <f>G120*H120</f>
        <v>0</v>
      </c>
      <c r="L120" s="367">
        <f>'[2]Stavební rozpočet'!L116</f>
        <v>0.00017</v>
      </c>
      <c r="M120" s="367">
        <f>G120*L120</f>
        <v>0.00384404</v>
      </c>
      <c r="N120" s="368" t="s">
        <v>36</v>
      </c>
      <c r="O120" s="346"/>
      <c r="P120" s="346"/>
      <c r="Q120" s="346"/>
      <c r="R120" s="346"/>
      <c r="S120" s="346"/>
      <c r="T120" s="346"/>
      <c r="U120" s="346"/>
      <c r="V120" s="346"/>
      <c r="W120" s="346"/>
      <c r="X120" s="346"/>
      <c r="Y120" s="311"/>
      <c r="Z120" s="367">
        <f>IF(AQ120="5",BJ120,0)</f>
        <v>0</v>
      </c>
      <c r="AA120" s="311"/>
      <c r="AB120" s="367">
        <f>IF(AQ120="1",BH120,0)</f>
        <v>0</v>
      </c>
      <c r="AC120" s="367">
        <f>IF(AQ120="1",BI120,0)</f>
        <v>0</v>
      </c>
      <c r="AD120" s="367">
        <f>IF(AQ120="7",BH120,0)</f>
        <v>0</v>
      </c>
      <c r="AE120" s="367">
        <f>IF(AQ120="7",BI120,0)</f>
        <v>0</v>
      </c>
      <c r="AF120" s="367">
        <f>IF(AQ120="2",BH120,0)</f>
        <v>0</v>
      </c>
      <c r="AG120" s="367">
        <f>IF(AQ120="2",BI120,0)</f>
        <v>0</v>
      </c>
      <c r="AH120" s="367">
        <f>IF(AQ120="0",BJ120,0)</f>
        <v>0</v>
      </c>
      <c r="AI120" s="351" t="s">
        <v>7</v>
      </c>
      <c r="AJ120" s="367">
        <f>IF(AN120=0,K120,0)</f>
        <v>0</v>
      </c>
      <c r="AK120" s="367">
        <f>IF(AN120=15,K120,0)</f>
        <v>0</v>
      </c>
      <c r="AL120" s="367">
        <f>IF(AN120=21,K120,0)</f>
        <v>0</v>
      </c>
      <c r="AM120" s="311"/>
      <c r="AN120" s="367">
        <v>21</v>
      </c>
      <c r="AO120" s="367">
        <f>H120*0.0218546602870813</f>
        <v>0</v>
      </c>
      <c r="AP120" s="367">
        <f>H120*(1-0.0218546602870813)</f>
        <v>0</v>
      </c>
      <c r="AQ120" s="369" t="s">
        <v>178</v>
      </c>
      <c r="AR120" s="311"/>
      <c r="AS120" s="311"/>
      <c r="AT120" s="311"/>
      <c r="AU120" s="311"/>
      <c r="AV120" s="367">
        <f>AW120+AX120</f>
        <v>0</v>
      </c>
      <c r="AW120" s="367">
        <f>G120*AO120</f>
        <v>0</v>
      </c>
      <c r="AX120" s="367">
        <f>G120*AP120</f>
        <v>0</v>
      </c>
      <c r="AY120" s="369" t="s">
        <v>294</v>
      </c>
      <c r="AZ120" s="369" t="s">
        <v>281</v>
      </c>
      <c r="BA120" s="351" t="s">
        <v>3</v>
      </c>
      <c r="BB120" s="311"/>
      <c r="BC120" s="367">
        <f>AW120+AX120</f>
        <v>0</v>
      </c>
      <c r="BD120" s="367">
        <f>H120/(100-BE120)*100</f>
        <v>0</v>
      </c>
      <c r="BE120" s="367">
        <v>0</v>
      </c>
      <c r="BF120" s="367">
        <f>M120</f>
        <v>0.00384404</v>
      </c>
      <c r="BG120" s="311"/>
      <c r="BH120" s="367">
        <f>G120*AO120</f>
        <v>0</v>
      </c>
      <c r="BI120" s="367">
        <f>G120*AP120</f>
        <v>0</v>
      </c>
      <c r="BJ120" s="367">
        <f>G120*H120</f>
        <v>0</v>
      </c>
      <c r="BK120" s="367"/>
      <c r="BL120" s="367">
        <v>766</v>
      </c>
      <c r="BM120" s="311"/>
      <c r="BN120" s="311"/>
      <c r="BO120" s="311"/>
      <c r="BP120" s="311"/>
      <c r="BQ120" s="311"/>
      <c r="BR120" s="311"/>
      <c r="BS120" s="311"/>
      <c r="BT120" s="311"/>
      <c r="BU120" s="311"/>
    </row>
    <row r="121" spans="1:73" ht="15" customHeight="1">
      <c r="A121" s="370"/>
      <c r="B121" s="311"/>
      <c r="C121" s="311"/>
      <c r="D121" s="371" t="s">
        <v>374</v>
      </c>
      <c r="E121" s="372"/>
      <c r="F121" s="311"/>
      <c r="G121" s="373">
        <v>22.612000000000002</v>
      </c>
      <c r="H121" s="311"/>
      <c r="I121" s="311"/>
      <c r="J121" s="311"/>
      <c r="K121" s="311"/>
      <c r="L121" s="311"/>
      <c r="M121" s="311"/>
      <c r="N121" s="374"/>
      <c r="O121" s="346"/>
      <c r="P121" s="346"/>
      <c r="Q121" s="346"/>
      <c r="R121" s="346"/>
      <c r="S121" s="346"/>
      <c r="T121" s="346"/>
      <c r="U121" s="346"/>
      <c r="V121" s="346"/>
      <c r="W121" s="346"/>
      <c r="X121" s="346"/>
      <c r="Y121" s="311"/>
      <c r="Z121" s="311"/>
      <c r="AA121" s="311"/>
      <c r="AB121" s="311"/>
      <c r="AC121" s="311"/>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1"/>
      <c r="AY121" s="311"/>
      <c r="AZ121" s="311"/>
      <c r="BA121" s="311"/>
      <c r="BB121" s="311"/>
      <c r="BC121" s="311"/>
      <c r="BD121" s="311"/>
      <c r="BE121" s="311"/>
      <c r="BF121" s="311"/>
      <c r="BG121" s="311"/>
      <c r="BH121" s="311"/>
      <c r="BI121" s="311"/>
      <c r="BJ121" s="311"/>
      <c r="BK121" s="311"/>
      <c r="BL121" s="311"/>
      <c r="BM121" s="311"/>
      <c r="BN121" s="311"/>
      <c r="BO121" s="311"/>
      <c r="BP121" s="311"/>
      <c r="BQ121" s="311"/>
      <c r="BR121" s="311"/>
      <c r="BS121" s="311"/>
      <c r="BT121" s="311"/>
      <c r="BU121" s="311"/>
    </row>
    <row r="122" spans="1:73" ht="15" customHeight="1">
      <c r="A122" s="365" t="s">
        <v>373</v>
      </c>
      <c r="B122" s="366" t="s">
        <v>7</v>
      </c>
      <c r="C122" s="366" t="s">
        <v>372</v>
      </c>
      <c r="D122" s="304" t="s">
        <v>371</v>
      </c>
      <c r="E122" s="304"/>
      <c r="F122" s="366" t="s">
        <v>89</v>
      </c>
      <c r="G122" s="367">
        <f>'[2]Stavební rozpočet'!G118</f>
        <v>29.4382</v>
      </c>
      <c r="H122" s="328">
        <v>0</v>
      </c>
      <c r="I122" s="367">
        <f>G122*AO122</f>
        <v>0</v>
      </c>
      <c r="J122" s="367">
        <f>G122*AP122</f>
        <v>0</v>
      </c>
      <c r="K122" s="367">
        <f>G122*H122</f>
        <v>0</v>
      </c>
      <c r="L122" s="367">
        <f>'[2]Stavební rozpočet'!L118</f>
        <v>0.0216</v>
      </c>
      <c r="M122" s="367">
        <f>G122*L122</f>
        <v>0.63586512</v>
      </c>
      <c r="N122" s="368" t="s">
        <v>36</v>
      </c>
      <c r="O122" s="346"/>
      <c r="P122" s="346"/>
      <c r="Q122" s="346"/>
      <c r="R122" s="346"/>
      <c r="S122" s="346"/>
      <c r="T122" s="346"/>
      <c r="U122" s="346"/>
      <c r="V122" s="346"/>
      <c r="W122" s="346"/>
      <c r="X122" s="346"/>
      <c r="Y122" s="311"/>
      <c r="Z122" s="367">
        <f>IF(AQ122="5",BJ122,0)</f>
        <v>0</v>
      </c>
      <c r="AA122" s="311"/>
      <c r="AB122" s="367">
        <f>IF(AQ122="1",BH122,0)</f>
        <v>0</v>
      </c>
      <c r="AC122" s="367">
        <f>IF(AQ122="1",BI122,0)</f>
        <v>0</v>
      </c>
      <c r="AD122" s="367">
        <f>IF(AQ122="7",BH122,0)</f>
        <v>0</v>
      </c>
      <c r="AE122" s="367">
        <f>IF(AQ122="7",BI122,0)</f>
        <v>0</v>
      </c>
      <c r="AF122" s="367">
        <f>IF(AQ122="2",BH122,0)</f>
        <v>0</v>
      </c>
      <c r="AG122" s="367">
        <f>IF(AQ122="2",BI122,0)</f>
        <v>0</v>
      </c>
      <c r="AH122" s="367">
        <f>IF(AQ122="0",BJ122,0)</f>
        <v>0</v>
      </c>
      <c r="AI122" s="351" t="s">
        <v>7</v>
      </c>
      <c r="AJ122" s="367">
        <f>IF(AN122=0,K122,0)</f>
        <v>0</v>
      </c>
      <c r="AK122" s="367">
        <f>IF(AN122=15,K122,0)</f>
        <v>0</v>
      </c>
      <c r="AL122" s="367">
        <f>IF(AN122=21,K122,0)</f>
        <v>0</v>
      </c>
      <c r="AM122" s="311"/>
      <c r="AN122" s="367">
        <v>21</v>
      </c>
      <c r="AO122" s="367">
        <f>H122*1</f>
        <v>0</v>
      </c>
      <c r="AP122" s="367">
        <f>H122*(1-1)</f>
        <v>0</v>
      </c>
      <c r="AQ122" s="369" t="s">
        <v>178</v>
      </c>
      <c r="AR122" s="311"/>
      <c r="AS122" s="311"/>
      <c r="AT122" s="311"/>
      <c r="AU122" s="311"/>
      <c r="AV122" s="367">
        <f>AW122+AX122</f>
        <v>0</v>
      </c>
      <c r="AW122" s="367">
        <f>G122*AO122</f>
        <v>0</v>
      </c>
      <c r="AX122" s="367">
        <f>G122*AP122</f>
        <v>0</v>
      </c>
      <c r="AY122" s="369" t="s">
        <v>294</v>
      </c>
      <c r="AZ122" s="369" t="s">
        <v>281</v>
      </c>
      <c r="BA122" s="351" t="s">
        <v>3</v>
      </c>
      <c r="BB122" s="311"/>
      <c r="BC122" s="367">
        <f>AW122+AX122</f>
        <v>0</v>
      </c>
      <c r="BD122" s="367">
        <f>H122/(100-BE122)*100</f>
        <v>0</v>
      </c>
      <c r="BE122" s="367">
        <v>0</v>
      </c>
      <c r="BF122" s="367">
        <f>M122</f>
        <v>0.63586512</v>
      </c>
      <c r="BG122" s="311"/>
      <c r="BH122" s="367">
        <f>G122*AO122</f>
        <v>0</v>
      </c>
      <c r="BI122" s="367">
        <f>G122*AP122</f>
        <v>0</v>
      </c>
      <c r="BJ122" s="367">
        <f>G122*H122</f>
        <v>0</v>
      </c>
      <c r="BK122" s="367"/>
      <c r="BL122" s="367">
        <v>766</v>
      </c>
      <c r="BM122" s="311"/>
      <c r="BN122" s="311"/>
      <c r="BO122" s="311"/>
      <c r="BP122" s="311"/>
      <c r="BQ122" s="311"/>
      <c r="BR122" s="311"/>
      <c r="BS122" s="311"/>
      <c r="BT122" s="311"/>
      <c r="BU122" s="311"/>
    </row>
    <row r="123" spans="1:73" ht="15" customHeight="1">
      <c r="A123" s="370"/>
      <c r="B123" s="311"/>
      <c r="C123" s="311"/>
      <c r="D123" s="371" t="s">
        <v>370</v>
      </c>
      <c r="E123" s="372"/>
      <c r="F123" s="311"/>
      <c r="G123" s="373">
        <v>26.762</v>
      </c>
      <c r="H123" s="311"/>
      <c r="I123" s="311"/>
      <c r="J123" s="311"/>
      <c r="K123" s="311"/>
      <c r="L123" s="311"/>
      <c r="M123" s="311"/>
      <c r="N123" s="374"/>
      <c r="O123" s="346"/>
      <c r="P123" s="346"/>
      <c r="Q123" s="346"/>
      <c r="R123" s="346"/>
      <c r="S123" s="346"/>
      <c r="T123" s="346"/>
      <c r="U123" s="346"/>
      <c r="V123" s="346"/>
      <c r="W123" s="346"/>
      <c r="X123" s="346"/>
      <c r="Y123" s="311"/>
      <c r="Z123" s="311"/>
      <c r="AA123" s="311"/>
      <c r="AB123" s="311"/>
      <c r="AC123" s="311"/>
      <c r="AD123" s="311"/>
      <c r="AE123" s="311"/>
      <c r="AF123" s="311"/>
      <c r="AG123" s="311"/>
      <c r="AH123" s="311"/>
      <c r="AI123" s="311"/>
      <c r="AJ123" s="311"/>
      <c r="AK123" s="311"/>
      <c r="AL123" s="311"/>
      <c r="AM123" s="311"/>
      <c r="AN123" s="311"/>
      <c r="AO123" s="311"/>
      <c r="AP123" s="311"/>
      <c r="AQ123" s="311"/>
      <c r="AR123" s="311"/>
      <c r="AS123" s="311"/>
      <c r="AT123" s="311"/>
      <c r="AU123" s="311"/>
      <c r="AV123" s="311"/>
      <c r="AW123" s="311"/>
      <c r="AX123" s="311"/>
      <c r="AY123" s="311"/>
      <c r="AZ123" s="311"/>
      <c r="BA123" s="311"/>
      <c r="BB123" s="311"/>
      <c r="BC123" s="311"/>
      <c r="BD123" s="311"/>
      <c r="BE123" s="311"/>
      <c r="BF123" s="311"/>
      <c r="BG123" s="311"/>
      <c r="BH123" s="311"/>
      <c r="BI123" s="311"/>
      <c r="BJ123" s="311"/>
      <c r="BK123" s="311"/>
      <c r="BL123" s="311"/>
      <c r="BM123" s="311"/>
      <c r="BN123" s="311"/>
      <c r="BO123" s="311"/>
      <c r="BP123" s="311"/>
      <c r="BQ123" s="311"/>
      <c r="BR123" s="311"/>
      <c r="BS123" s="311"/>
      <c r="BT123" s="311"/>
      <c r="BU123" s="311"/>
    </row>
    <row r="124" spans="1:73" ht="15" customHeight="1">
      <c r="A124" s="370"/>
      <c r="B124" s="311"/>
      <c r="C124" s="311"/>
      <c r="D124" s="371" t="s">
        <v>369</v>
      </c>
      <c r="E124" s="372"/>
      <c r="F124" s="311"/>
      <c r="G124" s="373">
        <v>2.6762</v>
      </c>
      <c r="H124" s="311"/>
      <c r="I124" s="311"/>
      <c r="J124" s="311"/>
      <c r="K124" s="311"/>
      <c r="L124" s="311"/>
      <c r="M124" s="311"/>
      <c r="N124" s="374"/>
      <c r="O124" s="346"/>
      <c r="P124" s="346"/>
      <c r="Q124" s="346"/>
      <c r="R124" s="346"/>
      <c r="S124" s="346"/>
      <c r="T124" s="346"/>
      <c r="U124" s="346"/>
      <c r="V124" s="346"/>
      <c r="W124" s="346"/>
      <c r="X124" s="346"/>
      <c r="Y124" s="311"/>
      <c r="Z124" s="311"/>
      <c r="AA124" s="311"/>
      <c r="AB124" s="311"/>
      <c r="AC124" s="311"/>
      <c r="AD124" s="311"/>
      <c r="AE124" s="311"/>
      <c r="AF124" s="311"/>
      <c r="AG124" s="311"/>
      <c r="AH124" s="311"/>
      <c r="AI124" s="311"/>
      <c r="AJ124" s="311"/>
      <c r="AK124" s="311"/>
      <c r="AL124" s="311"/>
      <c r="AM124" s="311"/>
      <c r="AN124" s="311"/>
      <c r="AO124" s="311"/>
      <c r="AP124" s="311"/>
      <c r="AQ124" s="311"/>
      <c r="AR124" s="311"/>
      <c r="AS124" s="311"/>
      <c r="AT124" s="311"/>
      <c r="AU124" s="311"/>
      <c r="AV124" s="311"/>
      <c r="AW124" s="311"/>
      <c r="AX124" s="311"/>
      <c r="AY124" s="311"/>
      <c r="AZ124" s="311"/>
      <c r="BA124" s="311"/>
      <c r="BB124" s="311"/>
      <c r="BC124" s="311"/>
      <c r="BD124" s="311"/>
      <c r="BE124" s="311"/>
      <c r="BF124" s="311"/>
      <c r="BG124" s="311"/>
      <c r="BH124" s="311"/>
      <c r="BI124" s="311"/>
      <c r="BJ124" s="311"/>
      <c r="BK124" s="311"/>
      <c r="BL124" s="311"/>
      <c r="BM124" s="311"/>
      <c r="BN124" s="311"/>
      <c r="BO124" s="311"/>
      <c r="BP124" s="311"/>
      <c r="BQ124" s="311"/>
      <c r="BR124" s="311"/>
      <c r="BS124" s="311"/>
      <c r="BT124" s="311"/>
      <c r="BU124" s="311"/>
    </row>
    <row r="125" spans="1:73" ht="15" customHeight="1">
      <c r="A125" s="365" t="s">
        <v>368</v>
      </c>
      <c r="B125" s="366" t="s">
        <v>7</v>
      </c>
      <c r="C125" s="366" t="s">
        <v>367</v>
      </c>
      <c r="D125" s="304" t="s">
        <v>366</v>
      </c>
      <c r="E125" s="304"/>
      <c r="F125" s="366" t="s">
        <v>89</v>
      </c>
      <c r="G125" s="367">
        <f>'[2]Stavební rozpočet'!G121</f>
        <v>4.15</v>
      </c>
      <c r="H125" s="328">
        <v>0</v>
      </c>
      <c r="I125" s="367">
        <f>G125*AO125</f>
        <v>0</v>
      </c>
      <c r="J125" s="367">
        <f>G125*AP125</f>
        <v>0</v>
      </c>
      <c r="K125" s="367">
        <f>G125*H125</f>
        <v>0</v>
      </c>
      <c r="L125" s="367">
        <f>'[2]Stavební rozpočet'!L121</f>
        <v>0.00028</v>
      </c>
      <c r="M125" s="367">
        <f>G125*L125</f>
        <v>0.001162</v>
      </c>
      <c r="N125" s="368" t="s">
        <v>36</v>
      </c>
      <c r="O125" s="346"/>
      <c r="P125" s="346"/>
      <c r="Q125" s="346"/>
      <c r="R125" s="346"/>
      <c r="S125" s="346"/>
      <c r="T125" s="346"/>
      <c r="U125" s="346"/>
      <c r="V125" s="346"/>
      <c r="W125" s="346"/>
      <c r="X125" s="346"/>
      <c r="Y125" s="311"/>
      <c r="Z125" s="367">
        <f>IF(AQ125="5",BJ125,0)</f>
        <v>0</v>
      </c>
      <c r="AA125" s="311"/>
      <c r="AB125" s="367">
        <f>IF(AQ125="1",BH125,0)</f>
        <v>0</v>
      </c>
      <c r="AC125" s="367">
        <f>IF(AQ125="1",BI125,0)</f>
        <v>0</v>
      </c>
      <c r="AD125" s="367">
        <f>IF(AQ125="7",BH125,0)</f>
        <v>0</v>
      </c>
      <c r="AE125" s="367">
        <f>IF(AQ125="7",BI125,0)</f>
        <v>0</v>
      </c>
      <c r="AF125" s="367">
        <f>IF(AQ125="2",BH125,0)</f>
        <v>0</v>
      </c>
      <c r="AG125" s="367">
        <f>IF(AQ125="2",BI125,0)</f>
        <v>0</v>
      </c>
      <c r="AH125" s="367">
        <f>IF(AQ125="0",BJ125,0)</f>
        <v>0</v>
      </c>
      <c r="AI125" s="351" t="s">
        <v>7</v>
      </c>
      <c r="AJ125" s="367">
        <f>IF(AN125=0,K125,0)</f>
        <v>0</v>
      </c>
      <c r="AK125" s="367">
        <f>IF(AN125=15,K125,0)</f>
        <v>0</v>
      </c>
      <c r="AL125" s="367">
        <f>IF(AN125=21,K125,0)</f>
        <v>0</v>
      </c>
      <c r="AM125" s="311"/>
      <c r="AN125" s="367">
        <v>21</v>
      </c>
      <c r="AO125" s="367">
        <f>H125*0.0382379749120116</f>
        <v>0</v>
      </c>
      <c r="AP125" s="367">
        <f>H125*(1-0.0382379749120116)</f>
        <v>0</v>
      </c>
      <c r="AQ125" s="369" t="s">
        <v>178</v>
      </c>
      <c r="AR125" s="311"/>
      <c r="AS125" s="311"/>
      <c r="AT125" s="311"/>
      <c r="AU125" s="311"/>
      <c r="AV125" s="367">
        <f>AW125+AX125</f>
        <v>0</v>
      </c>
      <c r="AW125" s="367">
        <f>G125*AO125</f>
        <v>0</v>
      </c>
      <c r="AX125" s="367">
        <f>G125*AP125</f>
        <v>0</v>
      </c>
      <c r="AY125" s="369" t="s">
        <v>294</v>
      </c>
      <c r="AZ125" s="369" t="s">
        <v>281</v>
      </c>
      <c r="BA125" s="351" t="s">
        <v>3</v>
      </c>
      <c r="BB125" s="311"/>
      <c r="BC125" s="367">
        <f>AW125+AX125</f>
        <v>0</v>
      </c>
      <c r="BD125" s="367">
        <f>H125/(100-BE125)*100</f>
        <v>0</v>
      </c>
      <c r="BE125" s="367">
        <v>0</v>
      </c>
      <c r="BF125" s="367">
        <f>M125</f>
        <v>0.001162</v>
      </c>
      <c r="BG125" s="311"/>
      <c r="BH125" s="367">
        <f>G125*AO125</f>
        <v>0</v>
      </c>
      <c r="BI125" s="367">
        <f>G125*AP125</f>
        <v>0</v>
      </c>
      <c r="BJ125" s="367">
        <f>G125*H125</f>
        <v>0</v>
      </c>
      <c r="BK125" s="367"/>
      <c r="BL125" s="367">
        <v>766</v>
      </c>
      <c r="BM125" s="311"/>
      <c r="BN125" s="311"/>
      <c r="BO125" s="311"/>
      <c r="BP125" s="311"/>
      <c r="BQ125" s="311"/>
      <c r="BR125" s="311"/>
      <c r="BS125" s="311"/>
      <c r="BT125" s="311"/>
      <c r="BU125" s="311"/>
    </row>
    <row r="126" spans="1:73" ht="15" customHeight="1">
      <c r="A126" s="370"/>
      <c r="B126" s="311"/>
      <c r="C126" s="311"/>
      <c r="D126" s="371" t="s">
        <v>365</v>
      </c>
      <c r="E126" s="372"/>
      <c r="F126" s="311"/>
      <c r="G126" s="373">
        <v>4.15</v>
      </c>
      <c r="H126" s="311"/>
      <c r="I126" s="311"/>
      <c r="J126" s="311"/>
      <c r="K126" s="311"/>
      <c r="L126" s="311"/>
      <c r="M126" s="311"/>
      <c r="N126" s="374"/>
      <c r="O126" s="346"/>
      <c r="P126" s="346"/>
      <c r="Q126" s="346"/>
      <c r="R126" s="346"/>
      <c r="S126" s="346"/>
      <c r="T126" s="346"/>
      <c r="U126" s="346"/>
      <c r="V126" s="346"/>
      <c r="W126" s="346"/>
      <c r="X126" s="346"/>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1"/>
      <c r="AY126" s="311"/>
      <c r="AZ126" s="311"/>
      <c r="BA126" s="311"/>
      <c r="BB126" s="311"/>
      <c r="BC126" s="311"/>
      <c r="BD126" s="311"/>
      <c r="BE126" s="311"/>
      <c r="BF126" s="311"/>
      <c r="BG126" s="311"/>
      <c r="BH126" s="311"/>
      <c r="BI126" s="311"/>
      <c r="BJ126" s="311"/>
      <c r="BK126" s="311"/>
      <c r="BL126" s="311"/>
      <c r="BM126" s="311"/>
      <c r="BN126" s="311"/>
      <c r="BO126" s="311"/>
      <c r="BP126" s="311"/>
      <c r="BQ126" s="311"/>
      <c r="BR126" s="311"/>
      <c r="BS126" s="311"/>
      <c r="BT126" s="311"/>
      <c r="BU126" s="311"/>
    </row>
    <row r="127" spans="1:73" ht="15" customHeight="1">
      <c r="A127" s="365" t="s">
        <v>364</v>
      </c>
      <c r="B127" s="366" t="s">
        <v>7</v>
      </c>
      <c r="C127" s="366" t="s">
        <v>363</v>
      </c>
      <c r="D127" s="304" t="s">
        <v>362</v>
      </c>
      <c r="E127" s="304"/>
      <c r="F127" s="366" t="s">
        <v>283</v>
      </c>
      <c r="G127" s="367">
        <f>'[2]Stavební rozpočet'!G123</f>
        <v>1</v>
      </c>
      <c r="H127" s="328">
        <v>0</v>
      </c>
      <c r="I127" s="367">
        <f>G127*AO127</f>
        <v>0</v>
      </c>
      <c r="J127" s="367">
        <f>G127*AP127</f>
        <v>0</v>
      </c>
      <c r="K127" s="367">
        <f>G127*H127</f>
        <v>0</v>
      </c>
      <c r="L127" s="367">
        <f>'[2]Stavební rozpočet'!L123</f>
        <v>0</v>
      </c>
      <c r="M127" s="367">
        <f>G127*L127</f>
        <v>0</v>
      </c>
      <c r="N127" s="368"/>
      <c r="O127" s="346"/>
      <c r="P127" s="346"/>
      <c r="Q127" s="346"/>
      <c r="R127" s="346"/>
      <c r="S127" s="346"/>
      <c r="T127" s="346"/>
      <c r="U127" s="346"/>
      <c r="V127" s="346"/>
      <c r="W127" s="346"/>
      <c r="X127" s="346"/>
      <c r="Y127" s="311"/>
      <c r="Z127" s="367">
        <f>IF(AQ127="5",BJ127,0)</f>
        <v>0</v>
      </c>
      <c r="AA127" s="311"/>
      <c r="AB127" s="367">
        <f>IF(AQ127="1",BH127,0)</f>
        <v>0</v>
      </c>
      <c r="AC127" s="367">
        <f>IF(AQ127="1",BI127,0)</f>
        <v>0</v>
      </c>
      <c r="AD127" s="367">
        <f>IF(AQ127="7",BH127,0)</f>
        <v>0</v>
      </c>
      <c r="AE127" s="367">
        <f>IF(AQ127="7",BI127,0)</f>
        <v>0</v>
      </c>
      <c r="AF127" s="367">
        <f>IF(AQ127="2",BH127,0)</f>
        <v>0</v>
      </c>
      <c r="AG127" s="367">
        <f>IF(AQ127="2",BI127,0)</f>
        <v>0</v>
      </c>
      <c r="AH127" s="367">
        <f>IF(AQ127="0",BJ127,0)</f>
        <v>0</v>
      </c>
      <c r="AI127" s="351" t="s">
        <v>7</v>
      </c>
      <c r="AJ127" s="367">
        <f>IF(AN127=0,K127,0)</f>
        <v>0</v>
      </c>
      <c r="AK127" s="367">
        <f>IF(AN127=15,K127,0)</f>
        <v>0</v>
      </c>
      <c r="AL127" s="367">
        <f>IF(AN127=21,K127,0)</f>
        <v>0</v>
      </c>
      <c r="AM127" s="311"/>
      <c r="AN127" s="367">
        <v>21</v>
      </c>
      <c r="AO127" s="367">
        <f>H127*0.411764210526316</f>
        <v>0</v>
      </c>
      <c r="AP127" s="367">
        <f>H127*(1-0.411764210526316)</f>
        <v>0</v>
      </c>
      <c r="AQ127" s="369" t="s">
        <v>178</v>
      </c>
      <c r="AR127" s="311"/>
      <c r="AS127" s="311"/>
      <c r="AT127" s="311"/>
      <c r="AU127" s="311"/>
      <c r="AV127" s="367">
        <f>AW127+AX127</f>
        <v>0</v>
      </c>
      <c r="AW127" s="367">
        <f>G127*AO127</f>
        <v>0</v>
      </c>
      <c r="AX127" s="367">
        <f>G127*AP127</f>
        <v>0</v>
      </c>
      <c r="AY127" s="369" t="s">
        <v>294</v>
      </c>
      <c r="AZ127" s="369" t="s">
        <v>281</v>
      </c>
      <c r="BA127" s="351" t="s">
        <v>3</v>
      </c>
      <c r="BB127" s="311"/>
      <c r="BC127" s="367">
        <f>AW127+AX127</f>
        <v>0</v>
      </c>
      <c r="BD127" s="367">
        <f>H127/(100-BE127)*100</f>
        <v>0</v>
      </c>
      <c r="BE127" s="367">
        <v>0</v>
      </c>
      <c r="BF127" s="367">
        <f>M127</f>
        <v>0</v>
      </c>
      <c r="BG127" s="311"/>
      <c r="BH127" s="367">
        <f>G127*AO127</f>
        <v>0</v>
      </c>
      <c r="BI127" s="367">
        <f>G127*AP127</f>
        <v>0</v>
      </c>
      <c r="BJ127" s="367">
        <f>G127*H127</f>
        <v>0</v>
      </c>
      <c r="BK127" s="367"/>
      <c r="BL127" s="367">
        <v>766</v>
      </c>
      <c r="BM127" s="311"/>
      <c r="BN127" s="311"/>
      <c r="BO127" s="311"/>
      <c r="BP127" s="311"/>
      <c r="BQ127" s="311"/>
      <c r="BR127" s="311"/>
      <c r="BS127" s="311"/>
      <c r="BT127" s="311"/>
      <c r="BU127" s="311"/>
    </row>
    <row r="128" spans="1:73" ht="13.5" customHeight="1">
      <c r="A128" s="370"/>
      <c r="B128" s="311"/>
      <c r="C128" s="311"/>
      <c r="D128" s="375" t="s">
        <v>361</v>
      </c>
      <c r="E128" s="375"/>
      <c r="F128" s="375"/>
      <c r="G128" s="375"/>
      <c r="H128" s="375"/>
      <c r="I128" s="375"/>
      <c r="J128" s="375"/>
      <c r="K128" s="375"/>
      <c r="L128" s="375"/>
      <c r="M128" s="375"/>
      <c r="N128" s="375"/>
      <c r="O128" s="346"/>
      <c r="P128" s="346"/>
      <c r="Q128" s="346"/>
      <c r="R128" s="346"/>
      <c r="S128" s="346"/>
      <c r="T128" s="346"/>
      <c r="U128" s="346"/>
      <c r="V128" s="346"/>
      <c r="W128" s="346"/>
      <c r="X128" s="346"/>
      <c r="Y128" s="311"/>
      <c r="Z128" s="311"/>
      <c r="AA128" s="311"/>
      <c r="AB128" s="311"/>
      <c r="AC128" s="311"/>
      <c r="AD128" s="311"/>
      <c r="AE128" s="311"/>
      <c r="AF128" s="311"/>
      <c r="AG128" s="311"/>
      <c r="AH128" s="311"/>
      <c r="AI128" s="311"/>
      <c r="AJ128" s="311"/>
      <c r="AK128" s="311"/>
      <c r="AL128" s="311"/>
      <c r="AM128" s="311"/>
      <c r="AN128" s="311"/>
      <c r="AO128" s="311"/>
      <c r="AP128" s="311"/>
      <c r="AQ128" s="311"/>
      <c r="AR128" s="311"/>
      <c r="AS128" s="311"/>
      <c r="AT128" s="311"/>
      <c r="AU128" s="311"/>
      <c r="AV128" s="311"/>
      <c r="AW128" s="311"/>
      <c r="AX128" s="311"/>
      <c r="AY128" s="311"/>
      <c r="AZ128" s="311"/>
      <c r="BA128" s="311"/>
      <c r="BB128" s="311"/>
      <c r="BC128" s="311"/>
      <c r="BD128" s="311"/>
      <c r="BE128" s="311"/>
      <c r="BF128" s="311"/>
      <c r="BG128" s="311"/>
      <c r="BH128" s="311"/>
      <c r="BI128" s="311"/>
      <c r="BJ128" s="311"/>
      <c r="BK128" s="311"/>
      <c r="BL128" s="311"/>
      <c r="BM128" s="311"/>
      <c r="BN128" s="311"/>
      <c r="BO128" s="311"/>
      <c r="BP128" s="311"/>
      <c r="BQ128" s="311"/>
      <c r="BR128" s="311"/>
      <c r="BS128" s="311"/>
      <c r="BT128" s="311"/>
      <c r="BU128" s="311"/>
    </row>
    <row r="129" spans="1:73" ht="15" customHeight="1">
      <c r="A129" s="370"/>
      <c r="B129" s="311"/>
      <c r="C129" s="311"/>
      <c r="D129" s="371" t="s">
        <v>2</v>
      </c>
      <c r="E129" s="372"/>
      <c r="F129" s="311"/>
      <c r="G129" s="373">
        <v>1</v>
      </c>
      <c r="H129" s="311"/>
      <c r="I129" s="311"/>
      <c r="J129" s="311"/>
      <c r="K129" s="311"/>
      <c r="L129" s="311"/>
      <c r="M129" s="311"/>
      <c r="N129" s="374"/>
      <c r="O129" s="346"/>
      <c r="P129" s="346"/>
      <c r="Q129" s="346"/>
      <c r="R129" s="346"/>
      <c r="S129" s="346"/>
      <c r="T129" s="346"/>
      <c r="U129" s="346"/>
      <c r="V129" s="346"/>
      <c r="W129" s="346"/>
      <c r="X129" s="346"/>
      <c r="Y129" s="311"/>
      <c r="Z129" s="311"/>
      <c r="AA129" s="311"/>
      <c r="AB129" s="311"/>
      <c r="AC129" s="311"/>
      <c r="AD129" s="311"/>
      <c r="AE129" s="311"/>
      <c r="AF129" s="311"/>
      <c r="AG129" s="311"/>
      <c r="AH129" s="311"/>
      <c r="AI129" s="311"/>
      <c r="AJ129" s="311"/>
      <c r="AK129" s="311"/>
      <c r="AL129" s="311"/>
      <c r="AM129" s="311"/>
      <c r="AN129" s="311"/>
      <c r="AO129" s="311"/>
      <c r="AP129" s="311"/>
      <c r="AQ129" s="311"/>
      <c r="AR129" s="311"/>
      <c r="AS129" s="311"/>
      <c r="AT129" s="311"/>
      <c r="AU129" s="311"/>
      <c r="AV129" s="311"/>
      <c r="AW129" s="311"/>
      <c r="AX129" s="311"/>
      <c r="AY129" s="311"/>
      <c r="AZ129" s="311"/>
      <c r="BA129" s="311"/>
      <c r="BB129" s="311"/>
      <c r="BC129" s="311"/>
      <c r="BD129" s="311"/>
      <c r="BE129" s="311"/>
      <c r="BF129" s="311"/>
      <c r="BG129" s="311"/>
      <c r="BH129" s="311"/>
      <c r="BI129" s="311"/>
      <c r="BJ129" s="311"/>
      <c r="BK129" s="311"/>
      <c r="BL129" s="311"/>
      <c r="BM129" s="311"/>
      <c r="BN129" s="311"/>
      <c r="BO129" s="311"/>
      <c r="BP129" s="311"/>
      <c r="BQ129" s="311"/>
      <c r="BR129" s="311"/>
      <c r="BS129" s="311"/>
      <c r="BT129" s="311"/>
      <c r="BU129" s="311"/>
    </row>
    <row r="130" spans="1:73" ht="15" customHeight="1">
      <c r="A130" s="365" t="s">
        <v>360</v>
      </c>
      <c r="B130" s="366" t="s">
        <v>7</v>
      </c>
      <c r="C130" s="366" t="s">
        <v>359</v>
      </c>
      <c r="D130" s="304" t="s">
        <v>358</v>
      </c>
      <c r="E130" s="304"/>
      <c r="F130" s="366" t="s">
        <v>143</v>
      </c>
      <c r="G130" s="367">
        <f>'[2]Stavební rozpočet'!G125</f>
        <v>10</v>
      </c>
      <c r="H130" s="328">
        <v>0</v>
      </c>
      <c r="I130" s="367">
        <f>G130*AO130</f>
        <v>0</v>
      </c>
      <c r="J130" s="367">
        <f>G130*AP130</f>
        <v>0</v>
      </c>
      <c r="K130" s="367">
        <f>G130*H130</f>
        <v>0</v>
      </c>
      <c r="L130" s="367">
        <f>'[2]Stavební rozpočet'!L125</f>
        <v>0.02</v>
      </c>
      <c r="M130" s="367">
        <f>G130*L130</f>
        <v>0.2</v>
      </c>
      <c r="N130" s="368"/>
      <c r="O130" s="346"/>
      <c r="P130" s="346"/>
      <c r="Q130" s="346"/>
      <c r="R130" s="346"/>
      <c r="S130" s="346"/>
      <c r="T130" s="346"/>
      <c r="U130" s="346"/>
      <c r="V130" s="346"/>
      <c r="W130" s="346"/>
      <c r="X130" s="346"/>
      <c r="Y130" s="311"/>
      <c r="Z130" s="367">
        <f>IF(AQ130="5",BJ130,0)</f>
        <v>0</v>
      </c>
      <c r="AA130" s="311"/>
      <c r="AB130" s="367">
        <f>IF(AQ130="1",BH130,0)</f>
        <v>0</v>
      </c>
      <c r="AC130" s="367">
        <f>IF(AQ130="1",BI130,0)</f>
        <v>0</v>
      </c>
      <c r="AD130" s="367">
        <f>IF(AQ130="7",BH130,0)</f>
        <v>0</v>
      </c>
      <c r="AE130" s="367">
        <f>IF(AQ130="7",BI130,0)</f>
        <v>0</v>
      </c>
      <c r="AF130" s="367">
        <f>IF(AQ130="2",BH130,0)</f>
        <v>0</v>
      </c>
      <c r="AG130" s="367">
        <f>IF(AQ130="2",BI130,0)</f>
        <v>0</v>
      </c>
      <c r="AH130" s="367">
        <f>IF(AQ130="0",BJ130,0)</f>
        <v>0</v>
      </c>
      <c r="AI130" s="351" t="s">
        <v>7</v>
      </c>
      <c r="AJ130" s="367">
        <f>IF(AN130=0,K130,0)</f>
        <v>0</v>
      </c>
      <c r="AK130" s="367">
        <f>IF(AN130=15,K130,0)</f>
        <v>0</v>
      </c>
      <c r="AL130" s="367">
        <f>IF(AN130=21,K130,0)</f>
        <v>0</v>
      </c>
      <c r="AM130" s="311"/>
      <c r="AN130" s="367">
        <v>21</v>
      </c>
      <c r="AO130" s="367">
        <f>H130*0</f>
        <v>0</v>
      </c>
      <c r="AP130" s="367">
        <f>H130*(1-0)</f>
        <v>0</v>
      </c>
      <c r="AQ130" s="369" t="s">
        <v>178</v>
      </c>
      <c r="AR130" s="311"/>
      <c r="AS130" s="311"/>
      <c r="AT130" s="311"/>
      <c r="AU130" s="311"/>
      <c r="AV130" s="367">
        <f>AW130+AX130</f>
        <v>0</v>
      </c>
      <c r="AW130" s="367">
        <f>G130*AO130</f>
        <v>0</v>
      </c>
      <c r="AX130" s="367">
        <f>G130*AP130</f>
        <v>0</v>
      </c>
      <c r="AY130" s="369" t="s">
        <v>294</v>
      </c>
      <c r="AZ130" s="369" t="s">
        <v>281</v>
      </c>
      <c r="BA130" s="351" t="s">
        <v>3</v>
      </c>
      <c r="BB130" s="311"/>
      <c r="BC130" s="367">
        <f>AW130+AX130</f>
        <v>0</v>
      </c>
      <c r="BD130" s="367">
        <f>H130/(100-BE130)*100</f>
        <v>0</v>
      </c>
      <c r="BE130" s="367">
        <v>0</v>
      </c>
      <c r="BF130" s="367">
        <f>M130</f>
        <v>0.2</v>
      </c>
      <c r="BG130" s="311"/>
      <c r="BH130" s="367">
        <f>G130*AO130</f>
        <v>0</v>
      </c>
      <c r="BI130" s="367">
        <f>G130*AP130</f>
        <v>0</v>
      </c>
      <c r="BJ130" s="367">
        <f>G130*H130</f>
        <v>0</v>
      </c>
      <c r="BK130" s="367"/>
      <c r="BL130" s="367">
        <v>766</v>
      </c>
      <c r="BM130" s="311"/>
      <c r="BN130" s="311"/>
      <c r="BO130" s="311"/>
      <c r="BP130" s="311"/>
      <c r="BQ130" s="311"/>
      <c r="BR130" s="311"/>
      <c r="BS130" s="311"/>
      <c r="BT130" s="311"/>
      <c r="BU130" s="311"/>
    </row>
    <row r="131" spans="1:73" ht="13.5" customHeight="1">
      <c r="A131" s="370"/>
      <c r="B131" s="311"/>
      <c r="C131" s="311"/>
      <c r="D131" s="375" t="s">
        <v>357</v>
      </c>
      <c r="E131" s="375"/>
      <c r="F131" s="375"/>
      <c r="G131" s="375"/>
      <c r="H131" s="375"/>
      <c r="I131" s="375"/>
      <c r="J131" s="375"/>
      <c r="K131" s="375"/>
      <c r="L131" s="375"/>
      <c r="M131" s="375"/>
      <c r="N131" s="375"/>
      <c r="O131" s="346"/>
      <c r="P131" s="346"/>
      <c r="Q131" s="346"/>
      <c r="R131" s="346"/>
      <c r="S131" s="346"/>
      <c r="T131" s="346"/>
      <c r="U131" s="346"/>
      <c r="V131" s="346"/>
      <c r="W131" s="346"/>
      <c r="X131" s="346"/>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1"/>
      <c r="AY131" s="311"/>
      <c r="AZ131" s="311"/>
      <c r="BA131" s="311"/>
      <c r="BB131" s="311"/>
      <c r="BC131" s="311"/>
      <c r="BD131" s="311"/>
      <c r="BE131" s="311"/>
      <c r="BF131" s="311"/>
      <c r="BG131" s="311"/>
      <c r="BH131" s="311"/>
      <c r="BI131" s="311"/>
      <c r="BJ131" s="311"/>
      <c r="BK131" s="311"/>
      <c r="BL131" s="311"/>
      <c r="BM131" s="311"/>
      <c r="BN131" s="311"/>
      <c r="BO131" s="311"/>
      <c r="BP131" s="311"/>
      <c r="BQ131" s="311"/>
      <c r="BR131" s="311"/>
      <c r="BS131" s="311"/>
      <c r="BT131" s="311"/>
      <c r="BU131" s="311"/>
    </row>
    <row r="132" spans="1:73" ht="15" customHeight="1">
      <c r="A132" s="370"/>
      <c r="B132" s="311"/>
      <c r="C132" s="311"/>
      <c r="D132" s="371" t="s">
        <v>356</v>
      </c>
      <c r="E132" s="372"/>
      <c r="F132" s="311"/>
      <c r="G132" s="373">
        <v>10</v>
      </c>
      <c r="H132" s="311"/>
      <c r="I132" s="311"/>
      <c r="J132" s="311"/>
      <c r="K132" s="311"/>
      <c r="L132" s="311"/>
      <c r="M132" s="311"/>
      <c r="N132" s="374"/>
      <c r="O132" s="346"/>
      <c r="P132" s="346"/>
      <c r="Q132" s="346"/>
      <c r="R132" s="346"/>
      <c r="S132" s="346"/>
      <c r="T132" s="346"/>
      <c r="U132" s="346"/>
      <c r="V132" s="346"/>
      <c r="W132" s="346"/>
      <c r="X132" s="346"/>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1"/>
      <c r="AY132" s="311"/>
      <c r="AZ132" s="311"/>
      <c r="BA132" s="311"/>
      <c r="BB132" s="311"/>
      <c r="BC132" s="311"/>
      <c r="BD132" s="311"/>
      <c r="BE132" s="311"/>
      <c r="BF132" s="311"/>
      <c r="BG132" s="311"/>
      <c r="BH132" s="311"/>
      <c r="BI132" s="311"/>
      <c r="BJ132" s="311"/>
      <c r="BK132" s="311"/>
      <c r="BL132" s="311"/>
      <c r="BM132" s="311"/>
      <c r="BN132" s="311"/>
      <c r="BO132" s="311"/>
      <c r="BP132" s="311"/>
      <c r="BQ132" s="311"/>
      <c r="BR132" s="311"/>
      <c r="BS132" s="311"/>
      <c r="BT132" s="311"/>
      <c r="BU132" s="311"/>
    </row>
    <row r="133" spans="1:73" ht="15" customHeight="1">
      <c r="A133" s="365" t="s">
        <v>355</v>
      </c>
      <c r="B133" s="366" t="s">
        <v>7</v>
      </c>
      <c r="C133" s="366" t="s">
        <v>354</v>
      </c>
      <c r="D133" s="304" t="s">
        <v>353</v>
      </c>
      <c r="E133" s="304"/>
      <c r="F133" s="366" t="s">
        <v>143</v>
      </c>
      <c r="G133" s="367">
        <f>'[2]Stavební rozpočet'!G127</f>
        <v>1</v>
      </c>
      <c r="H133" s="328">
        <v>0</v>
      </c>
      <c r="I133" s="367">
        <f>G133*AO133</f>
        <v>0</v>
      </c>
      <c r="J133" s="367">
        <f>G133*AP133</f>
        <v>0</v>
      </c>
      <c r="K133" s="367">
        <f>G133*H133</f>
        <v>0</v>
      </c>
      <c r="L133" s="367">
        <f>'[2]Stavební rozpočet'!L127</f>
        <v>0.02</v>
      </c>
      <c r="M133" s="367">
        <f>G133*L133</f>
        <v>0.02</v>
      </c>
      <c r="N133" s="368"/>
      <c r="O133" s="346"/>
      <c r="P133" s="346"/>
      <c r="Q133" s="346"/>
      <c r="R133" s="346"/>
      <c r="S133" s="346"/>
      <c r="T133" s="346"/>
      <c r="U133" s="346"/>
      <c r="V133" s="346"/>
      <c r="W133" s="346"/>
      <c r="X133" s="346"/>
      <c r="Y133" s="311"/>
      <c r="Z133" s="367">
        <f>IF(AQ133="5",BJ133,0)</f>
        <v>0</v>
      </c>
      <c r="AA133" s="311"/>
      <c r="AB133" s="367">
        <f>IF(AQ133="1",BH133,0)</f>
        <v>0</v>
      </c>
      <c r="AC133" s="367">
        <f>IF(AQ133="1",BI133,0)</f>
        <v>0</v>
      </c>
      <c r="AD133" s="367">
        <f>IF(AQ133="7",BH133,0)</f>
        <v>0</v>
      </c>
      <c r="AE133" s="367">
        <f>IF(AQ133="7",BI133,0)</f>
        <v>0</v>
      </c>
      <c r="AF133" s="367">
        <f>IF(AQ133="2",BH133,0)</f>
        <v>0</v>
      </c>
      <c r="AG133" s="367">
        <f>IF(AQ133="2",BI133,0)</f>
        <v>0</v>
      </c>
      <c r="AH133" s="367">
        <f>IF(AQ133="0",BJ133,0)</f>
        <v>0</v>
      </c>
      <c r="AI133" s="351" t="s">
        <v>7</v>
      </c>
      <c r="AJ133" s="367">
        <f>IF(AN133=0,K133,0)</f>
        <v>0</v>
      </c>
      <c r="AK133" s="367">
        <f>IF(AN133=15,K133,0)</f>
        <v>0</v>
      </c>
      <c r="AL133" s="367">
        <f>IF(AN133=21,K133,0)</f>
        <v>0</v>
      </c>
      <c r="AM133" s="311"/>
      <c r="AN133" s="367">
        <v>21</v>
      </c>
      <c r="AO133" s="367">
        <f>H133*0.842105570776256</f>
        <v>0</v>
      </c>
      <c r="AP133" s="367">
        <f>H133*(1-0.842105570776256)</f>
        <v>0</v>
      </c>
      <c r="AQ133" s="369" t="s">
        <v>178</v>
      </c>
      <c r="AR133" s="311"/>
      <c r="AS133" s="311"/>
      <c r="AT133" s="311"/>
      <c r="AU133" s="311"/>
      <c r="AV133" s="367">
        <f>AW133+AX133</f>
        <v>0</v>
      </c>
      <c r="AW133" s="367">
        <f>G133*AO133</f>
        <v>0</v>
      </c>
      <c r="AX133" s="367">
        <f>G133*AP133</f>
        <v>0</v>
      </c>
      <c r="AY133" s="369" t="s">
        <v>294</v>
      </c>
      <c r="AZ133" s="369" t="s">
        <v>281</v>
      </c>
      <c r="BA133" s="351" t="s">
        <v>3</v>
      </c>
      <c r="BB133" s="311"/>
      <c r="BC133" s="367">
        <f>AW133+AX133</f>
        <v>0</v>
      </c>
      <c r="BD133" s="367">
        <f>H133/(100-BE133)*100</f>
        <v>0</v>
      </c>
      <c r="BE133" s="367">
        <v>0</v>
      </c>
      <c r="BF133" s="367">
        <f>M133</f>
        <v>0.02</v>
      </c>
      <c r="BG133" s="311"/>
      <c r="BH133" s="367">
        <f>G133*AO133</f>
        <v>0</v>
      </c>
      <c r="BI133" s="367">
        <f>G133*AP133</f>
        <v>0</v>
      </c>
      <c r="BJ133" s="367">
        <f>G133*H133</f>
        <v>0</v>
      </c>
      <c r="BK133" s="367"/>
      <c r="BL133" s="367">
        <v>766</v>
      </c>
      <c r="BM133" s="311"/>
      <c r="BN133" s="311"/>
      <c r="BO133" s="311"/>
      <c r="BP133" s="311"/>
      <c r="BQ133" s="311"/>
      <c r="BR133" s="311"/>
      <c r="BS133" s="311"/>
      <c r="BT133" s="311"/>
      <c r="BU133" s="311"/>
    </row>
    <row r="134" spans="1:73" ht="13.5" customHeight="1">
      <c r="A134" s="370"/>
      <c r="B134" s="311"/>
      <c r="C134" s="311"/>
      <c r="D134" s="375" t="s">
        <v>352</v>
      </c>
      <c r="E134" s="375"/>
      <c r="F134" s="375"/>
      <c r="G134" s="375"/>
      <c r="H134" s="375"/>
      <c r="I134" s="375"/>
      <c r="J134" s="375"/>
      <c r="K134" s="375"/>
      <c r="L134" s="375"/>
      <c r="M134" s="375"/>
      <c r="N134" s="375"/>
      <c r="O134" s="346"/>
      <c r="P134" s="346"/>
      <c r="Q134" s="346"/>
      <c r="R134" s="346"/>
      <c r="S134" s="346"/>
      <c r="T134" s="346"/>
      <c r="U134" s="346"/>
      <c r="V134" s="346"/>
      <c r="W134" s="346"/>
      <c r="X134" s="346"/>
      <c r="Y134" s="311"/>
      <c r="Z134" s="311"/>
      <c r="AA134" s="311"/>
      <c r="AB134" s="311"/>
      <c r="AC134" s="311"/>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1"/>
      <c r="AY134" s="311"/>
      <c r="AZ134" s="311"/>
      <c r="BA134" s="311"/>
      <c r="BB134" s="311"/>
      <c r="BC134" s="311"/>
      <c r="BD134" s="311"/>
      <c r="BE134" s="311"/>
      <c r="BF134" s="311"/>
      <c r="BG134" s="311"/>
      <c r="BH134" s="311"/>
      <c r="BI134" s="311"/>
      <c r="BJ134" s="311"/>
      <c r="BK134" s="311"/>
      <c r="BL134" s="311"/>
      <c r="BM134" s="311"/>
      <c r="BN134" s="311"/>
      <c r="BO134" s="311"/>
      <c r="BP134" s="311"/>
      <c r="BQ134" s="311"/>
      <c r="BR134" s="311"/>
      <c r="BS134" s="311"/>
      <c r="BT134" s="311"/>
      <c r="BU134" s="311"/>
    </row>
    <row r="135" spans="1:73" ht="15" customHeight="1">
      <c r="A135" s="370"/>
      <c r="B135" s="311"/>
      <c r="C135" s="311"/>
      <c r="D135" s="371" t="s">
        <v>2</v>
      </c>
      <c r="E135" s="372"/>
      <c r="F135" s="311"/>
      <c r="G135" s="373">
        <v>1</v>
      </c>
      <c r="H135" s="311"/>
      <c r="I135" s="311"/>
      <c r="J135" s="311"/>
      <c r="K135" s="311"/>
      <c r="L135" s="311"/>
      <c r="M135" s="311"/>
      <c r="N135" s="374"/>
      <c r="O135" s="346"/>
      <c r="P135" s="346"/>
      <c r="Q135" s="346"/>
      <c r="R135" s="346"/>
      <c r="S135" s="346"/>
      <c r="T135" s="346"/>
      <c r="U135" s="346"/>
      <c r="V135" s="346"/>
      <c r="W135" s="346"/>
      <c r="X135" s="346"/>
      <c r="Y135" s="311"/>
      <c r="Z135" s="311"/>
      <c r="AA135" s="311"/>
      <c r="AB135" s="311"/>
      <c r="AC135" s="311"/>
      <c r="AD135" s="311"/>
      <c r="AE135" s="311"/>
      <c r="AF135" s="311"/>
      <c r="AG135" s="311"/>
      <c r="AH135" s="311"/>
      <c r="AI135" s="311"/>
      <c r="AJ135" s="311"/>
      <c r="AK135" s="311"/>
      <c r="AL135" s="311"/>
      <c r="AM135" s="311"/>
      <c r="AN135" s="311"/>
      <c r="AO135" s="311"/>
      <c r="AP135" s="311"/>
      <c r="AQ135" s="311"/>
      <c r="AR135" s="311"/>
      <c r="AS135" s="311"/>
      <c r="AT135" s="311"/>
      <c r="AU135" s="311"/>
      <c r="AV135" s="311"/>
      <c r="AW135" s="311"/>
      <c r="AX135" s="311"/>
      <c r="AY135" s="311"/>
      <c r="AZ135" s="311"/>
      <c r="BA135" s="311"/>
      <c r="BB135" s="311"/>
      <c r="BC135" s="311"/>
      <c r="BD135" s="311"/>
      <c r="BE135" s="311"/>
      <c r="BF135" s="311"/>
      <c r="BG135" s="311"/>
      <c r="BH135" s="311"/>
      <c r="BI135" s="311"/>
      <c r="BJ135" s="311"/>
      <c r="BK135" s="311"/>
      <c r="BL135" s="311"/>
      <c r="BM135" s="311"/>
      <c r="BN135" s="311"/>
      <c r="BO135" s="311"/>
      <c r="BP135" s="311"/>
      <c r="BQ135" s="311"/>
      <c r="BR135" s="311"/>
      <c r="BS135" s="311"/>
      <c r="BT135" s="311"/>
      <c r="BU135" s="311"/>
    </row>
    <row r="136" spans="1:73" ht="15" customHeight="1">
      <c r="A136" s="365" t="s">
        <v>351</v>
      </c>
      <c r="B136" s="366" t="s">
        <v>7</v>
      </c>
      <c r="C136" s="366" t="s">
        <v>350</v>
      </c>
      <c r="D136" s="304" t="s">
        <v>349</v>
      </c>
      <c r="E136" s="304"/>
      <c r="F136" s="366" t="s">
        <v>143</v>
      </c>
      <c r="G136" s="367">
        <f>'[2]Stavební rozpočet'!G129</f>
        <v>1</v>
      </c>
      <c r="H136" s="328">
        <v>0</v>
      </c>
      <c r="I136" s="367">
        <f>G136*AO136</f>
        <v>0</v>
      </c>
      <c r="J136" s="367">
        <f>G136*AP136</f>
        <v>0</v>
      </c>
      <c r="K136" s="367">
        <f>G136*H136</f>
        <v>0</v>
      </c>
      <c r="L136" s="367">
        <f>'[2]Stavební rozpočet'!L129</f>
        <v>0.05</v>
      </c>
      <c r="M136" s="367">
        <f>G136*L136</f>
        <v>0.05</v>
      </c>
      <c r="N136" s="368"/>
      <c r="O136" s="346"/>
      <c r="P136" s="346"/>
      <c r="Q136" s="346"/>
      <c r="R136" s="346"/>
      <c r="S136" s="346"/>
      <c r="T136" s="346"/>
      <c r="U136" s="346"/>
      <c r="V136" s="346"/>
      <c r="W136" s="346"/>
      <c r="X136" s="346"/>
      <c r="Y136" s="311"/>
      <c r="Z136" s="367">
        <f>IF(AQ136="5",BJ136,0)</f>
        <v>0</v>
      </c>
      <c r="AA136" s="311"/>
      <c r="AB136" s="367">
        <f>IF(AQ136="1",BH136,0)</f>
        <v>0</v>
      </c>
      <c r="AC136" s="367">
        <f>IF(AQ136="1",BI136,0)</f>
        <v>0</v>
      </c>
      <c r="AD136" s="367">
        <f>IF(AQ136="7",BH136,0)</f>
        <v>0</v>
      </c>
      <c r="AE136" s="367">
        <f>IF(AQ136="7",BI136,0)</f>
        <v>0</v>
      </c>
      <c r="AF136" s="367">
        <f>IF(AQ136="2",BH136,0)</f>
        <v>0</v>
      </c>
      <c r="AG136" s="367">
        <f>IF(AQ136="2",BI136,0)</f>
        <v>0</v>
      </c>
      <c r="AH136" s="367">
        <f>IF(AQ136="0",BJ136,0)</f>
        <v>0</v>
      </c>
      <c r="AI136" s="351" t="s">
        <v>7</v>
      </c>
      <c r="AJ136" s="367">
        <f>IF(AN136=0,K136,0)</f>
        <v>0</v>
      </c>
      <c r="AK136" s="367">
        <f>IF(AN136=15,K136,0)</f>
        <v>0</v>
      </c>
      <c r="AL136" s="367">
        <f>IF(AN136=21,K136,0)</f>
        <v>0</v>
      </c>
      <c r="AM136" s="311"/>
      <c r="AN136" s="367">
        <v>21</v>
      </c>
      <c r="AO136" s="367">
        <f>H136*0</f>
        <v>0</v>
      </c>
      <c r="AP136" s="367">
        <f>H136*(1-0)</f>
        <v>0</v>
      </c>
      <c r="AQ136" s="369" t="s">
        <v>178</v>
      </c>
      <c r="AR136" s="311"/>
      <c r="AS136" s="311"/>
      <c r="AT136" s="311"/>
      <c r="AU136" s="311"/>
      <c r="AV136" s="367">
        <f>AW136+AX136</f>
        <v>0</v>
      </c>
      <c r="AW136" s="367">
        <f>G136*AO136</f>
        <v>0</v>
      </c>
      <c r="AX136" s="367">
        <f>G136*AP136</f>
        <v>0</v>
      </c>
      <c r="AY136" s="369" t="s">
        <v>294</v>
      </c>
      <c r="AZ136" s="369" t="s">
        <v>281</v>
      </c>
      <c r="BA136" s="351" t="s">
        <v>3</v>
      </c>
      <c r="BB136" s="311"/>
      <c r="BC136" s="367">
        <f>AW136+AX136</f>
        <v>0</v>
      </c>
      <c r="BD136" s="367">
        <f>H136/(100-BE136)*100</f>
        <v>0</v>
      </c>
      <c r="BE136" s="367">
        <v>0</v>
      </c>
      <c r="BF136" s="367">
        <f>M136</f>
        <v>0.05</v>
      </c>
      <c r="BG136" s="311"/>
      <c r="BH136" s="367">
        <f>G136*AO136</f>
        <v>0</v>
      </c>
      <c r="BI136" s="367">
        <f>G136*AP136</f>
        <v>0</v>
      </c>
      <c r="BJ136" s="367">
        <f>G136*H136</f>
        <v>0</v>
      </c>
      <c r="BK136" s="367"/>
      <c r="BL136" s="367">
        <v>766</v>
      </c>
      <c r="BM136" s="311"/>
      <c r="BN136" s="311"/>
      <c r="BO136" s="311"/>
      <c r="BP136" s="311"/>
      <c r="BQ136" s="311"/>
      <c r="BR136" s="311"/>
      <c r="BS136" s="311"/>
      <c r="BT136" s="311"/>
      <c r="BU136" s="311"/>
    </row>
    <row r="137" spans="1:73" ht="13.5" customHeight="1">
      <c r="A137" s="370"/>
      <c r="B137" s="311"/>
      <c r="C137" s="311"/>
      <c r="D137" s="375" t="s">
        <v>348</v>
      </c>
      <c r="E137" s="375"/>
      <c r="F137" s="375"/>
      <c r="G137" s="375"/>
      <c r="H137" s="375"/>
      <c r="I137" s="375"/>
      <c r="J137" s="375"/>
      <c r="K137" s="375"/>
      <c r="L137" s="375"/>
      <c r="M137" s="375"/>
      <c r="N137" s="375"/>
      <c r="O137" s="346"/>
      <c r="P137" s="346"/>
      <c r="Q137" s="346"/>
      <c r="R137" s="346"/>
      <c r="S137" s="346"/>
      <c r="T137" s="346"/>
      <c r="U137" s="346"/>
      <c r="V137" s="346"/>
      <c r="W137" s="346"/>
      <c r="X137" s="346"/>
      <c r="Y137" s="311"/>
      <c r="Z137" s="311"/>
      <c r="AA137" s="311"/>
      <c r="AB137" s="311"/>
      <c r="AC137" s="311"/>
      <c r="AD137" s="311"/>
      <c r="AE137" s="311"/>
      <c r="AF137" s="311"/>
      <c r="AG137" s="311"/>
      <c r="AH137" s="311"/>
      <c r="AI137" s="311"/>
      <c r="AJ137" s="311"/>
      <c r="AK137" s="311"/>
      <c r="AL137" s="311"/>
      <c r="AM137" s="311"/>
      <c r="AN137" s="311"/>
      <c r="AO137" s="311"/>
      <c r="AP137" s="311"/>
      <c r="AQ137" s="311"/>
      <c r="AR137" s="311"/>
      <c r="AS137" s="311"/>
      <c r="AT137" s="311"/>
      <c r="AU137" s="311"/>
      <c r="AV137" s="311"/>
      <c r="AW137" s="311"/>
      <c r="AX137" s="311"/>
      <c r="AY137" s="311"/>
      <c r="AZ137" s="311"/>
      <c r="BA137" s="311"/>
      <c r="BB137" s="311"/>
      <c r="BC137" s="311"/>
      <c r="BD137" s="311"/>
      <c r="BE137" s="311"/>
      <c r="BF137" s="311"/>
      <c r="BG137" s="311"/>
      <c r="BH137" s="311"/>
      <c r="BI137" s="311"/>
      <c r="BJ137" s="311"/>
      <c r="BK137" s="311"/>
      <c r="BL137" s="311"/>
      <c r="BM137" s="311"/>
      <c r="BN137" s="311"/>
      <c r="BO137" s="311"/>
      <c r="BP137" s="311"/>
      <c r="BQ137" s="311"/>
      <c r="BR137" s="311"/>
      <c r="BS137" s="311"/>
      <c r="BT137" s="311"/>
      <c r="BU137" s="311"/>
    </row>
    <row r="138" spans="1:73" ht="15" customHeight="1">
      <c r="A138" s="370"/>
      <c r="B138" s="311"/>
      <c r="C138" s="311"/>
      <c r="D138" s="371" t="s">
        <v>2</v>
      </c>
      <c r="E138" s="372"/>
      <c r="F138" s="311"/>
      <c r="G138" s="373">
        <v>1</v>
      </c>
      <c r="H138" s="311"/>
      <c r="I138" s="311"/>
      <c r="J138" s="311"/>
      <c r="K138" s="311"/>
      <c r="L138" s="311"/>
      <c r="M138" s="311"/>
      <c r="N138" s="374"/>
      <c r="O138" s="346"/>
      <c r="P138" s="346"/>
      <c r="Q138" s="346"/>
      <c r="R138" s="346"/>
      <c r="S138" s="346"/>
      <c r="T138" s="346"/>
      <c r="U138" s="346"/>
      <c r="V138" s="346"/>
      <c r="W138" s="346"/>
      <c r="X138" s="346"/>
      <c r="Y138" s="311"/>
      <c r="Z138" s="311"/>
      <c r="AA138" s="311"/>
      <c r="AB138" s="311"/>
      <c r="AC138" s="311"/>
      <c r="AD138" s="311"/>
      <c r="AE138" s="311"/>
      <c r="AF138" s="311"/>
      <c r="AG138" s="311"/>
      <c r="AH138" s="311"/>
      <c r="AI138" s="311"/>
      <c r="AJ138" s="311"/>
      <c r="AK138" s="311"/>
      <c r="AL138" s="311"/>
      <c r="AM138" s="311"/>
      <c r="AN138" s="311"/>
      <c r="AO138" s="311"/>
      <c r="AP138" s="311"/>
      <c r="AQ138" s="311"/>
      <c r="AR138" s="311"/>
      <c r="AS138" s="311"/>
      <c r="AT138" s="311"/>
      <c r="AU138" s="311"/>
      <c r="AV138" s="311"/>
      <c r="AW138" s="311"/>
      <c r="AX138" s="311"/>
      <c r="AY138" s="311"/>
      <c r="AZ138" s="311"/>
      <c r="BA138" s="311"/>
      <c r="BB138" s="311"/>
      <c r="BC138" s="311"/>
      <c r="BD138" s="311"/>
      <c r="BE138" s="311"/>
      <c r="BF138" s="311"/>
      <c r="BG138" s="311"/>
      <c r="BH138" s="311"/>
      <c r="BI138" s="311"/>
      <c r="BJ138" s="311"/>
      <c r="BK138" s="311"/>
      <c r="BL138" s="311"/>
      <c r="BM138" s="311"/>
      <c r="BN138" s="311"/>
      <c r="BO138" s="311"/>
      <c r="BP138" s="311"/>
      <c r="BQ138" s="311"/>
      <c r="BR138" s="311"/>
      <c r="BS138" s="311"/>
      <c r="BT138" s="311"/>
      <c r="BU138" s="311"/>
    </row>
    <row r="139" spans="1:73" ht="15" customHeight="1">
      <c r="A139" s="365" t="s">
        <v>347</v>
      </c>
      <c r="B139" s="366" t="s">
        <v>7</v>
      </c>
      <c r="C139" s="366" t="s">
        <v>346</v>
      </c>
      <c r="D139" s="304" t="s">
        <v>345</v>
      </c>
      <c r="E139" s="304"/>
      <c r="F139" s="366" t="s">
        <v>143</v>
      </c>
      <c r="G139" s="367">
        <f>'[2]Stavební rozpočet'!G131</f>
        <v>1</v>
      </c>
      <c r="H139" s="328">
        <v>0</v>
      </c>
      <c r="I139" s="367">
        <f>G139*AO139</f>
        <v>0</v>
      </c>
      <c r="J139" s="367">
        <f>G139*AP139</f>
        <v>0</v>
      </c>
      <c r="K139" s="367">
        <f>G139*H139</f>
        <v>0</v>
      </c>
      <c r="L139" s="367">
        <f>'[2]Stavební rozpočet'!L131</f>
        <v>0.05</v>
      </c>
      <c r="M139" s="367">
        <f>G139*L139</f>
        <v>0.05</v>
      </c>
      <c r="N139" s="368"/>
      <c r="O139" s="346"/>
      <c r="P139" s="346"/>
      <c r="Q139" s="346"/>
      <c r="R139" s="346"/>
      <c r="S139" s="346"/>
      <c r="T139" s="346"/>
      <c r="U139" s="346"/>
      <c r="V139" s="346"/>
      <c r="W139" s="346"/>
      <c r="X139" s="346"/>
      <c r="Y139" s="311"/>
      <c r="Z139" s="367">
        <f>IF(AQ139="5",BJ139,0)</f>
        <v>0</v>
      </c>
      <c r="AA139" s="311"/>
      <c r="AB139" s="367">
        <f>IF(AQ139="1",BH139,0)</f>
        <v>0</v>
      </c>
      <c r="AC139" s="367">
        <f>IF(AQ139="1",BI139,0)</f>
        <v>0</v>
      </c>
      <c r="AD139" s="367">
        <f>IF(AQ139="7",BH139,0)</f>
        <v>0</v>
      </c>
      <c r="AE139" s="367">
        <f>IF(AQ139="7",BI139,0)</f>
        <v>0</v>
      </c>
      <c r="AF139" s="367">
        <f>IF(AQ139="2",BH139,0)</f>
        <v>0</v>
      </c>
      <c r="AG139" s="367">
        <f>IF(AQ139="2",BI139,0)</f>
        <v>0</v>
      </c>
      <c r="AH139" s="367">
        <f>IF(AQ139="0",BJ139,0)</f>
        <v>0</v>
      </c>
      <c r="AI139" s="351" t="s">
        <v>7</v>
      </c>
      <c r="AJ139" s="367">
        <f>IF(AN139=0,K139,0)</f>
        <v>0</v>
      </c>
      <c r="AK139" s="367">
        <f>IF(AN139=15,K139,0)</f>
        <v>0</v>
      </c>
      <c r="AL139" s="367">
        <f>IF(AN139=21,K139,0)</f>
        <v>0</v>
      </c>
      <c r="AM139" s="311"/>
      <c r="AN139" s="367">
        <v>21</v>
      </c>
      <c r="AO139" s="367">
        <f>H139*0.907407230769231</f>
        <v>0</v>
      </c>
      <c r="AP139" s="367">
        <f>H139*(1-0.907407230769231)</f>
        <v>0</v>
      </c>
      <c r="AQ139" s="369" t="s">
        <v>178</v>
      </c>
      <c r="AR139" s="311"/>
      <c r="AS139" s="311"/>
      <c r="AT139" s="311"/>
      <c r="AU139" s="311"/>
      <c r="AV139" s="367">
        <f>AW139+AX139</f>
        <v>0</v>
      </c>
      <c r="AW139" s="367">
        <f>G139*AO139</f>
        <v>0</v>
      </c>
      <c r="AX139" s="367">
        <f>G139*AP139</f>
        <v>0</v>
      </c>
      <c r="AY139" s="369" t="s">
        <v>294</v>
      </c>
      <c r="AZ139" s="369" t="s">
        <v>281</v>
      </c>
      <c r="BA139" s="351" t="s">
        <v>3</v>
      </c>
      <c r="BB139" s="311"/>
      <c r="BC139" s="367">
        <f>AW139+AX139</f>
        <v>0</v>
      </c>
      <c r="BD139" s="367">
        <f>H139/(100-BE139)*100</f>
        <v>0</v>
      </c>
      <c r="BE139" s="367">
        <v>0</v>
      </c>
      <c r="BF139" s="367">
        <f>M139</f>
        <v>0.05</v>
      </c>
      <c r="BG139" s="311"/>
      <c r="BH139" s="367">
        <f>G139*AO139</f>
        <v>0</v>
      </c>
      <c r="BI139" s="367">
        <f>G139*AP139</f>
        <v>0</v>
      </c>
      <c r="BJ139" s="367">
        <f>G139*H139</f>
        <v>0</v>
      </c>
      <c r="BK139" s="367"/>
      <c r="BL139" s="367">
        <v>766</v>
      </c>
      <c r="BM139" s="311"/>
      <c r="BN139" s="311"/>
      <c r="BO139" s="311"/>
      <c r="BP139" s="311"/>
      <c r="BQ139" s="311"/>
      <c r="BR139" s="311"/>
      <c r="BS139" s="311"/>
      <c r="BT139" s="311"/>
      <c r="BU139" s="311"/>
    </row>
    <row r="140" spans="1:73" ht="13.5" customHeight="1">
      <c r="A140" s="370"/>
      <c r="B140" s="311"/>
      <c r="C140" s="311"/>
      <c r="D140" s="375" t="s">
        <v>344</v>
      </c>
      <c r="E140" s="375"/>
      <c r="F140" s="375"/>
      <c r="G140" s="375"/>
      <c r="H140" s="375"/>
      <c r="I140" s="375"/>
      <c r="J140" s="375"/>
      <c r="K140" s="375"/>
      <c r="L140" s="375"/>
      <c r="M140" s="375"/>
      <c r="N140" s="375"/>
      <c r="O140" s="346"/>
      <c r="P140" s="346"/>
      <c r="Q140" s="346"/>
      <c r="R140" s="346"/>
      <c r="S140" s="346"/>
      <c r="T140" s="346"/>
      <c r="U140" s="346"/>
      <c r="V140" s="346"/>
      <c r="W140" s="346"/>
      <c r="X140" s="346"/>
      <c r="Y140" s="311"/>
      <c r="Z140" s="311"/>
      <c r="AA140" s="311"/>
      <c r="AB140" s="311"/>
      <c r="AC140" s="311"/>
      <c r="AD140" s="311"/>
      <c r="AE140" s="311"/>
      <c r="AF140" s="311"/>
      <c r="AG140" s="311"/>
      <c r="AH140" s="311"/>
      <c r="AI140" s="311"/>
      <c r="AJ140" s="311"/>
      <c r="AK140" s="311"/>
      <c r="AL140" s="311"/>
      <c r="AM140" s="311"/>
      <c r="AN140" s="311"/>
      <c r="AO140" s="311"/>
      <c r="AP140" s="311"/>
      <c r="AQ140" s="311"/>
      <c r="AR140" s="311"/>
      <c r="AS140" s="311"/>
      <c r="AT140" s="311"/>
      <c r="AU140" s="311"/>
      <c r="AV140" s="311"/>
      <c r="AW140" s="311"/>
      <c r="AX140" s="311"/>
      <c r="AY140" s="311"/>
      <c r="AZ140" s="311"/>
      <c r="BA140" s="311"/>
      <c r="BB140" s="311"/>
      <c r="BC140" s="311"/>
      <c r="BD140" s="311"/>
      <c r="BE140" s="311"/>
      <c r="BF140" s="311"/>
      <c r="BG140" s="311"/>
      <c r="BH140" s="311"/>
      <c r="BI140" s="311"/>
      <c r="BJ140" s="311"/>
      <c r="BK140" s="311"/>
      <c r="BL140" s="311"/>
      <c r="BM140" s="311"/>
      <c r="BN140" s="311"/>
      <c r="BO140" s="311"/>
      <c r="BP140" s="311"/>
      <c r="BQ140" s="311"/>
      <c r="BR140" s="311"/>
      <c r="BS140" s="311"/>
      <c r="BT140" s="311"/>
      <c r="BU140" s="311"/>
    </row>
    <row r="141" spans="1:73" ht="15" customHeight="1">
      <c r="A141" s="370"/>
      <c r="B141" s="311"/>
      <c r="C141" s="311"/>
      <c r="D141" s="371" t="s">
        <v>2</v>
      </c>
      <c r="E141" s="372"/>
      <c r="F141" s="311"/>
      <c r="G141" s="373">
        <v>1</v>
      </c>
      <c r="H141" s="311"/>
      <c r="I141" s="311"/>
      <c r="J141" s="311"/>
      <c r="K141" s="311"/>
      <c r="L141" s="311"/>
      <c r="M141" s="311"/>
      <c r="N141" s="374"/>
      <c r="O141" s="346"/>
      <c r="P141" s="346"/>
      <c r="Q141" s="346"/>
      <c r="R141" s="346"/>
      <c r="S141" s="346"/>
      <c r="T141" s="346"/>
      <c r="U141" s="346"/>
      <c r="V141" s="346"/>
      <c r="W141" s="346"/>
      <c r="X141" s="346"/>
      <c r="Y141" s="311"/>
      <c r="Z141" s="311"/>
      <c r="AA141" s="311"/>
      <c r="AB141" s="311"/>
      <c r="AC141" s="311"/>
      <c r="AD141" s="311"/>
      <c r="AE141" s="311"/>
      <c r="AF141" s="311"/>
      <c r="AG141" s="311"/>
      <c r="AH141" s="311"/>
      <c r="AI141" s="311"/>
      <c r="AJ141" s="311"/>
      <c r="AK141" s="311"/>
      <c r="AL141" s="311"/>
      <c r="AM141" s="311"/>
      <c r="AN141" s="311"/>
      <c r="AO141" s="311"/>
      <c r="AP141" s="311"/>
      <c r="AQ141" s="311"/>
      <c r="AR141" s="311"/>
      <c r="AS141" s="311"/>
      <c r="AT141" s="311"/>
      <c r="AU141" s="311"/>
      <c r="AV141" s="311"/>
      <c r="AW141" s="311"/>
      <c r="AX141" s="311"/>
      <c r="AY141" s="311"/>
      <c r="AZ141" s="311"/>
      <c r="BA141" s="311"/>
      <c r="BB141" s="311"/>
      <c r="BC141" s="311"/>
      <c r="BD141" s="311"/>
      <c r="BE141" s="311"/>
      <c r="BF141" s="311"/>
      <c r="BG141" s="311"/>
      <c r="BH141" s="311"/>
      <c r="BI141" s="311"/>
      <c r="BJ141" s="311"/>
      <c r="BK141" s="311"/>
      <c r="BL141" s="311"/>
      <c r="BM141" s="311"/>
      <c r="BN141" s="311"/>
      <c r="BO141" s="311"/>
      <c r="BP141" s="311"/>
      <c r="BQ141" s="311"/>
      <c r="BR141" s="311"/>
      <c r="BS141" s="311"/>
      <c r="BT141" s="311"/>
      <c r="BU141" s="311"/>
    </row>
    <row r="142" spans="1:73" ht="15" customHeight="1">
      <c r="A142" s="365" t="s">
        <v>343</v>
      </c>
      <c r="B142" s="366" t="s">
        <v>7</v>
      </c>
      <c r="C142" s="366" t="s">
        <v>342</v>
      </c>
      <c r="D142" s="304" t="s">
        <v>341</v>
      </c>
      <c r="E142" s="304"/>
      <c r="F142" s="366" t="s">
        <v>143</v>
      </c>
      <c r="G142" s="367">
        <f>'[2]Stavební rozpočet'!G133</f>
        <v>2</v>
      </c>
      <c r="H142" s="328">
        <v>0</v>
      </c>
      <c r="I142" s="367">
        <f>G142*AO142</f>
        <v>0</v>
      </c>
      <c r="J142" s="367">
        <f>G142*AP142</f>
        <v>0</v>
      </c>
      <c r="K142" s="367">
        <f>G142*H142</f>
        <v>0</v>
      </c>
      <c r="L142" s="367">
        <f>'[2]Stavební rozpočet'!L133</f>
        <v>0.03</v>
      </c>
      <c r="M142" s="367">
        <f>G142*L142</f>
        <v>0.06</v>
      </c>
      <c r="N142" s="368"/>
      <c r="O142" s="346"/>
      <c r="P142" s="346"/>
      <c r="Q142" s="346"/>
      <c r="R142" s="346"/>
      <c r="S142" s="346"/>
      <c r="T142" s="346"/>
      <c r="U142" s="346"/>
      <c r="V142" s="346"/>
      <c r="W142" s="346"/>
      <c r="X142" s="346"/>
      <c r="Y142" s="311"/>
      <c r="Z142" s="367">
        <f>IF(AQ142="5",BJ142,0)</f>
        <v>0</v>
      </c>
      <c r="AA142" s="311"/>
      <c r="AB142" s="367">
        <f>IF(AQ142="1",BH142,0)</f>
        <v>0</v>
      </c>
      <c r="AC142" s="367">
        <f>IF(AQ142="1",BI142,0)</f>
        <v>0</v>
      </c>
      <c r="AD142" s="367">
        <f>IF(AQ142="7",BH142,0)</f>
        <v>0</v>
      </c>
      <c r="AE142" s="367">
        <f>IF(AQ142="7",BI142,0)</f>
        <v>0</v>
      </c>
      <c r="AF142" s="367">
        <f>IF(AQ142="2",BH142,0)</f>
        <v>0</v>
      </c>
      <c r="AG142" s="367">
        <f>IF(AQ142="2",BI142,0)</f>
        <v>0</v>
      </c>
      <c r="AH142" s="367">
        <f>IF(AQ142="0",BJ142,0)</f>
        <v>0</v>
      </c>
      <c r="AI142" s="351" t="s">
        <v>7</v>
      </c>
      <c r="AJ142" s="367">
        <f>IF(AN142=0,K142,0)</f>
        <v>0</v>
      </c>
      <c r="AK142" s="367">
        <f>IF(AN142=15,K142,0)</f>
        <v>0</v>
      </c>
      <c r="AL142" s="367">
        <f>IF(AN142=21,K142,0)</f>
        <v>0</v>
      </c>
      <c r="AM142" s="311"/>
      <c r="AN142" s="367">
        <v>21</v>
      </c>
      <c r="AO142" s="367">
        <f>H142*0</f>
        <v>0</v>
      </c>
      <c r="AP142" s="367">
        <f>H142*(1-0)</f>
        <v>0</v>
      </c>
      <c r="AQ142" s="369" t="s">
        <v>178</v>
      </c>
      <c r="AR142" s="311"/>
      <c r="AS142" s="311"/>
      <c r="AT142" s="311"/>
      <c r="AU142" s="311"/>
      <c r="AV142" s="367">
        <f>AW142+AX142</f>
        <v>0</v>
      </c>
      <c r="AW142" s="367">
        <f>G142*AO142</f>
        <v>0</v>
      </c>
      <c r="AX142" s="367">
        <f>G142*AP142</f>
        <v>0</v>
      </c>
      <c r="AY142" s="369" t="s">
        <v>294</v>
      </c>
      <c r="AZ142" s="369" t="s">
        <v>281</v>
      </c>
      <c r="BA142" s="351" t="s">
        <v>3</v>
      </c>
      <c r="BB142" s="311"/>
      <c r="BC142" s="367">
        <f>AW142+AX142</f>
        <v>0</v>
      </c>
      <c r="BD142" s="367">
        <f>H142/(100-BE142)*100</f>
        <v>0</v>
      </c>
      <c r="BE142" s="367">
        <v>0</v>
      </c>
      <c r="BF142" s="367">
        <f>M142</f>
        <v>0.06</v>
      </c>
      <c r="BG142" s="311"/>
      <c r="BH142" s="367">
        <f>G142*AO142</f>
        <v>0</v>
      </c>
      <c r="BI142" s="367">
        <f>G142*AP142</f>
        <v>0</v>
      </c>
      <c r="BJ142" s="367">
        <f>G142*H142</f>
        <v>0</v>
      </c>
      <c r="BK142" s="367"/>
      <c r="BL142" s="367">
        <v>766</v>
      </c>
      <c r="BM142" s="311"/>
      <c r="BN142" s="311"/>
      <c r="BO142" s="311"/>
      <c r="BP142" s="311"/>
      <c r="BQ142" s="311"/>
      <c r="BR142" s="311"/>
      <c r="BS142" s="311"/>
      <c r="BT142" s="311"/>
      <c r="BU142" s="311"/>
    </row>
    <row r="143" spans="1:73" ht="13.5" customHeight="1">
      <c r="A143" s="370"/>
      <c r="B143" s="311"/>
      <c r="C143" s="311"/>
      <c r="D143" s="375" t="s">
        <v>340</v>
      </c>
      <c r="E143" s="375"/>
      <c r="F143" s="375"/>
      <c r="G143" s="375"/>
      <c r="H143" s="375"/>
      <c r="I143" s="375"/>
      <c r="J143" s="375"/>
      <c r="K143" s="375"/>
      <c r="L143" s="375"/>
      <c r="M143" s="375"/>
      <c r="N143" s="375"/>
      <c r="O143" s="346"/>
      <c r="P143" s="346"/>
      <c r="Q143" s="346"/>
      <c r="R143" s="346"/>
      <c r="S143" s="346"/>
      <c r="T143" s="346"/>
      <c r="U143" s="346"/>
      <c r="V143" s="346"/>
      <c r="W143" s="346"/>
      <c r="X143" s="346"/>
      <c r="Y143" s="311"/>
      <c r="Z143" s="311"/>
      <c r="AA143" s="311"/>
      <c r="AB143" s="311"/>
      <c r="AC143" s="311"/>
      <c r="AD143" s="311"/>
      <c r="AE143" s="311"/>
      <c r="AF143" s="311"/>
      <c r="AG143" s="311"/>
      <c r="AH143" s="311"/>
      <c r="AI143" s="311"/>
      <c r="AJ143" s="311"/>
      <c r="AK143" s="311"/>
      <c r="AL143" s="311"/>
      <c r="AM143" s="311"/>
      <c r="AN143" s="311"/>
      <c r="AO143" s="311"/>
      <c r="AP143" s="311"/>
      <c r="AQ143" s="311"/>
      <c r="AR143" s="311"/>
      <c r="AS143" s="311"/>
      <c r="AT143" s="311"/>
      <c r="AU143" s="311"/>
      <c r="AV143" s="311"/>
      <c r="AW143" s="311"/>
      <c r="AX143" s="311"/>
      <c r="AY143" s="311"/>
      <c r="AZ143" s="311"/>
      <c r="BA143" s="311"/>
      <c r="BB143" s="311"/>
      <c r="BC143" s="311"/>
      <c r="BD143" s="311"/>
      <c r="BE143" s="311"/>
      <c r="BF143" s="311"/>
      <c r="BG143" s="311"/>
      <c r="BH143" s="311"/>
      <c r="BI143" s="311"/>
      <c r="BJ143" s="311"/>
      <c r="BK143" s="311"/>
      <c r="BL143" s="311"/>
      <c r="BM143" s="311"/>
      <c r="BN143" s="311"/>
      <c r="BO143" s="311"/>
      <c r="BP143" s="311"/>
      <c r="BQ143" s="311"/>
      <c r="BR143" s="311"/>
      <c r="BS143" s="311"/>
      <c r="BT143" s="311"/>
      <c r="BU143" s="311"/>
    </row>
    <row r="144" spans="1:73" ht="15" customHeight="1">
      <c r="A144" s="370"/>
      <c r="B144" s="311"/>
      <c r="C144" s="311"/>
      <c r="D144" s="371" t="s">
        <v>151</v>
      </c>
      <c r="E144" s="372"/>
      <c r="F144" s="311"/>
      <c r="G144" s="373">
        <v>2</v>
      </c>
      <c r="H144" s="311"/>
      <c r="I144" s="311"/>
      <c r="J144" s="311"/>
      <c r="K144" s="311"/>
      <c r="L144" s="311"/>
      <c r="M144" s="311"/>
      <c r="N144" s="374"/>
      <c r="O144" s="346"/>
      <c r="P144" s="346"/>
      <c r="Q144" s="346"/>
      <c r="R144" s="346"/>
      <c r="S144" s="346"/>
      <c r="T144" s="346"/>
      <c r="U144" s="346"/>
      <c r="V144" s="346"/>
      <c r="W144" s="346"/>
      <c r="X144" s="346"/>
      <c r="Y144" s="311"/>
      <c r="Z144" s="311"/>
      <c r="AA144" s="311"/>
      <c r="AB144" s="311"/>
      <c r="AC144" s="311"/>
      <c r="AD144" s="311"/>
      <c r="AE144" s="311"/>
      <c r="AF144" s="311"/>
      <c r="AG144" s="311"/>
      <c r="AH144" s="311"/>
      <c r="AI144" s="311"/>
      <c r="AJ144" s="311"/>
      <c r="AK144" s="311"/>
      <c r="AL144" s="311"/>
      <c r="AM144" s="311"/>
      <c r="AN144" s="311"/>
      <c r="AO144" s="311"/>
      <c r="AP144" s="311"/>
      <c r="AQ144" s="311"/>
      <c r="AR144" s="311"/>
      <c r="AS144" s="311"/>
      <c r="AT144" s="311"/>
      <c r="AU144" s="311"/>
      <c r="AV144" s="311"/>
      <c r="AW144" s="311"/>
      <c r="AX144" s="311"/>
      <c r="AY144" s="311"/>
      <c r="AZ144" s="311"/>
      <c r="BA144" s="311"/>
      <c r="BB144" s="311"/>
      <c r="BC144" s="311"/>
      <c r="BD144" s="311"/>
      <c r="BE144" s="311"/>
      <c r="BF144" s="311"/>
      <c r="BG144" s="311"/>
      <c r="BH144" s="311"/>
      <c r="BI144" s="311"/>
      <c r="BJ144" s="311"/>
      <c r="BK144" s="311"/>
      <c r="BL144" s="311"/>
      <c r="BM144" s="311"/>
      <c r="BN144" s="311"/>
      <c r="BO144" s="311"/>
      <c r="BP144" s="311"/>
      <c r="BQ144" s="311"/>
      <c r="BR144" s="311"/>
      <c r="BS144" s="311"/>
      <c r="BT144" s="311"/>
      <c r="BU144" s="311"/>
    </row>
    <row r="145" spans="1:73" ht="15" customHeight="1">
      <c r="A145" s="365" t="s">
        <v>339</v>
      </c>
      <c r="B145" s="366" t="s">
        <v>7</v>
      </c>
      <c r="C145" s="366" t="s">
        <v>338</v>
      </c>
      <c r="D145" s="304" t="s">
        <v>337</v>
      </c>
      <c r="E145" s="304"/>
      <c r="F145" s="366" t="s">
        <v>143</v>
      </c>
      <c r="G145" s="367">
        <f>'[2]Stavební rozpočet'!G135</f>
        <v>2</v>
      </c>
      <c r="H145" s="328">
        <v>0</v>
      </c>
      <c r="I145" s="367">
        <f>G145*AO145</f>
        <v>0</v>
      </c>
      <c r="J145" s="367">
        <f>G145*AP145</f>
        <v>0</v>
      </c>
      <c r="K145" s="367">
        <f>G145*H145</f>
        <v>0</v>
      </c>
      <c r="L145" s="367">
        <f>'[2]Stavební rozpočet'!L135</f>
        <v>0.1</v>
      </c>
      <c r="M145" s="367">
        <f>G145*L145</f>
        <v>0.2</v>
      </c>
      <c r="N145" s="368"/>
      <c r="O145" s="346"/>
      <c r="P145" s="346"/>
      <c r="Q145" s="346"/>
      <c r="R145" s="346"/>
      <c r="S145" s="346"/>
      <c r="T145" s="346"/>
      <c r="U145" s="346"/>
      <c r="V145" s="346"/>
      <c r="W145" s="346"/>
      <c r="X145" s="346"/>
      <c r="Y145" s="311"/>
      <c r="Z145" s="367">
        <f>IF(AQ145="5",BJ145,0)</f>
        <v>0</v>
      </c>
      <c r="AA145" s="311"/>
      <c r="AB145" s="367">
        <f>IF(AQ145="1",BH145,0)</f>
        <v>0</v>
      </c>
      <c r="AC145" s="367">
        <f>IF(AQ145="1",BI145,0)</f>
        <v>0</v>
      </c>
      <c r="AD145" s="367">
        <f>IF(AQ145="7",BH145,0)</f>
        <v>0</v>
      </c>
      <c r="AE145" s="367">
        <f>IF(AQ145="7",BI145,0)</f>
        <v>0</v>
      </c>
      <c r="AF145" s="367">
        <f>IF(AQ145="2",BH145,0)</f>
        <v>0</v>
      </c>
      <c r="AG145" s="367">
        <f>IF(AQ145="2",BI145,0)</f>
        <v>0</v>
      </c>
      <c r="AH145" s="367">
        <f>IF(AQ145="0",BJ145,0)</f>
        <v>0</v>
      </c>
      <c r="AI145" s="351" t="s">
        <v>7</v>
      </c>
      <c r="AJ145" s="367">
        <f>IF(AN145=0,K145,0)</f>
        <v>0</v>
      </c>
      <c r="AK145" s="367">
        <f>IF(AN145=15,K145,0)</f>
        <v>0</v>
      </c>
      <c r="AL145" s="367">
        <f>IF(AN145=21,K145,0)</f>
        <v>0</v>
      </c>
      <c r="AM145" s="311"/>
      <c r="AN145" s="367">
        <v>21</v>
      </c>
      <c r="AO145" s="367">
        <f>H145*0</f>
        <v>0</v>
      </c>
      <c r="AP145" s="367">
        <f>H145*(1-0)</f>
        <v>0</v>
      </c>
      <c r="AQ145" s="369" t="s">
        <v>178</v>
      </c>
      <c r="AR145" s="311"/>
      <c r="AS145" s="311"/>
      <c r="AT145" s="311"/>
      <c r="AU145" s="311"/>
      <c r="AV145" s="367">
        <f>AW145+AX145</f>
        <v>0</v>
      </c>
      <c r="AW145" s="367">
        <f>G145*AO145</f>
        <v>0</v>
      </c>
      <c r="AX145" s="367">
        <f>G145*AP145</f>
        <v>0</v>
      </c>
      <c r="AY145" s="369" t="s">
        <v>294</v>
      </c>
      <c r="AZ145" s="369" t="s">
        <v>281</v>
      </c>
      <c r="BA145" s="351" t="s">
        <v>3</v>
      </c>
      <c r="BB145" s="311"/>
      <c r="BC145" s="367">
        <f>AW145+AX145</f>
        <v>0</v>
      </c>
      <c r="BD145" s="367">
        <f>H145/(100-BE145)*100</f>
        <v>0</v>
      </c>
      <c r="BE145" s="367">
        <v>0</v>
      </c>
      <c r="BF145" s="367">
        <f>M145</f>
        <v>0.2</v>
      </c>
      <c r="BG145" s="311"/>
      <c r="BH145" s="367">
        <f>G145*AO145</f>
        <v>0</v>
      </c>
      <c r="BI145" s="367">
        <f>G145*AP145</f>
        <v>0</v>
      </c>
      <c r="BJ145" s="367">
        <f>G145*H145</f>
        <v>0</v>
      </c>
      <c r="BK145" s="367"/>
      <c r="BL145" s="367">
        <v>766</v>
      </c>
      <c r="BM145" s="311"/>
      <c r="BN145" s="311"/>
      <c r="BO145" s="311"/>
      <c r="BP145" s="311"/>
      <c r="BQ145" s="311"/>
      <c r="BR145" s="311"/>
      <c r="BS145" s="311"/>
      <c r="BT145" s="311"/>
      <c r="BU145" s="311"/>
    </row>
    <row r="146" spans="1:73" ht="13.5" customHeight="1">
      <c r="A146" s="370"/>
      <c r="B146" s="311"/>
      <c r="C146" s="311"/>
      <c r="D146" s="375" t="s">
        <v>336</v>
      </c>
      <c r="E146" s="375"/>
      <c r="F146" s="375"/>
      <c r="G146" s="375"/>
      <c r="H146" s="375"/>
      <c r="I146" s="375"/>
      <c r="J146" s="375"/>
      <c r="K146" s="375"/>
      <c r="L146" s="375"/>
      <c r="M146" s="375"/>
      <c r="N146" s="375"/>
      <c r="O146" s="346"/>
      <c r="P146" s="346"/>
      <c r="Q146" s="346"/>
      <c r="R146" s="346"/>
      <c r="S146" s="346"/>
      <c r="T146" s="346"/>
      <c r="U146" s="346"/>
      <c r="V146" s="346"/>
      <c r="W146" s="346"/>
      <c r="X146" s="346"/>
      <c r="Y146" s="311"/>
      <c r="Z146" s="311"/>
      <c r="AA146" s="311"/>
      <c r="AB146" s="311"/>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1"/>
      <c r="AY146" s="311"/>
      <c r="AZ146" s="311"/>
      <c r="BA146" s="311"/>
      <c r="BB146" s="311"/>
      <c r="BC146" s="311"/>
      <c r="BD146" s="311"/>
      <c r="BE146" s="311"/>
      <c r="BF146" s="311"/>
      <c r="BG146" s="311"/>
      <c r="BH146" s="311"/>
      <c r="BI146" s="311"/>
      <c r="BJ146" s="311"/>
      <c r="BK146" s="311"/>
      <c r="BL146" s="311"/>
      <c r="BM146" s="311"/>
      <c r="BN146" s="311"/>
      <c r="BO146" s="311"/>
      <c r="BP146" s="311"/>
      <c r="BQ146" s="311"/>
      <c r="BR146" s="311"/>
      <c r="BS146" s="311"/>
      <c r="BT146" s="311"/>
      <c r="BU146" s="311"/>
    </row>
    <row r="147" spans="1:73" ht="15" customHeight="1">
      <c r="A147" s="370"/>
      <c r="B147" s="311"/>
      <c r="C147" s="311"/>
      <c r="D147" s="371" t="s">
        <v>151</v>
      </c>
      <c r="E147" s="372"/>
      <c r="F147" s="311"/>
      <c r="G147" s="373">
        <v>2</v>
      </c>
      <c r="H147" s="311"/>
      <c r="I147" s="311"/>
      <c r="J147" s="311"/>
      <c r="K147" s="311"/>
      <c r="L147" s="311"/>
      <c r="M147" s="311"/>
      <c r="N147" s="374"/>
      <c r="O147" s="346"/>
      <c r="P147" s="346"/>
      <c r="Q147" s="346"/>
      <c r="R147" s="346"/>
      <c r="S147" s="346"/>
      <c r="T147" s="346"/>
      <c r="U147" s="346"/>
      <c r="V147" s="346"/>
      <c r="W147" s="346"/>
      <c r="X147" s="346"/>
      <c r="Y147" s="311"/>
      <c r="Z147" s="311"/>
      <c r="AA147" s="311"/>
      <c r="AB147" s="311"/>
      <c r="AC147" s="311"/>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1"/>
      <c r="AY147" s="311"/>
      <c r="AZ147" s="311"/>
      <c r="BA147" s="311"/>
      <c r="BB147" s="311"/>
      <c r="BC147" s="311"/>
      <c r="BD147" s="311"/>
      <c r="BE147" s="311"/>
      <c r="BF147" s="311"/>
      <c r="BG147" s="311"/>
      <c r="BH147" s="311"/>
      <c r="BI147" s="311"/>
      <c r="BJ147" s="311"/>
      <c r="BK147" s="311"/>
      <c r="BL147" s="311"/>
      <c r="BM147" s="311"/>
      <c r="BN147" s="311"/>
      <c r="BO147" s="311"/>
      <c r="BP147" s="311"/>
      <c r="BQ147" s="311"/>
      <c r="BR147" s="311"/>
      <c r="BS147" s="311"/>
      <c r="BT147" s="311"/>
      <c r="BU147" s="311"/>
    </row>
    <row r="148" spans="1:73" ht="15" customHeight="1">
      <c r="A148" s="365" t="s">
        <v>335</v>
      </c>
      <c r="B148" s="366" t="s">
        <v>7</v>
      </c>
      <c r="C148" s="366" t="s">
        <v>334</v>
      </c>
      <c r="D148" s="304" t="s">
        <v>333</v>
      </c>
      <c r="E148" s="304"/>
      <c r="F148" s="366" t="s">
        <v>143</v>
      </c>
      <c r="G148" s="367">
        <f>'[2]Stavební rozpočet'!G137</f>
        <v>1</v>
      </c>
      <c r="H148" s="328">
        <v>0</v>
      </c>
      <c r="I148" s="367">
        <f>G148*AO148</f>
        <v>0</v>
      </c>
      <c r="J148" s="367">
        <f>G148*AP148</f>
        <v>0</v>
      </c>
      <c r="K148" s="367">
        <f>G148*H148</f>
        <v>0</v>
      </c>
      <c r="L148" s="367">
        <f>'[2]Stavební rozpočet'!L137</f>
        <v>0.025</v>
      </c>
      <c r="M148" s="367">
        <f>G148*L148</f>
        <v>0.025</v>
      </c>
      <c r="N148" s="368"/>
      <c r="O148" s="346"/>
      <c r="P148" s="346"/>
      <c r="Q148" s="346"/>
      <c r="R148" s="346"/>
      <c r="S148" s="346"/>
      <c r="T148" s="346"/>
      <c r="U148" s="346"/>
      <c r="V148" s="346"/>
      <c r="W148" s="346"/>
      <c r="X148" s="346"/>
      <c r="Y148" s="311"/>
      <c r="Z148" s="367">
        <f>IF(AQ148="5",BJ148,0)</f>
        <v>0</v>
      </c>
      <c r="AA148" s="311"/>
      <c r="AB148" s="367">
        <f>IF(AQ148="1",BH148,0)</f>
        <v>0</v>
      </c>
      <c r="AC148" s="367">
        <f>IF(AQ148="1",BI148,0)</f>
        <v>0</v>
      </c>
      <c r="AD148" s="367">
        <f>IF(AQ148="7",BH148,0)</f>
        <v>0</v>
      </c>
      <c r="AE148" s="367">
        <f>IF(AQ148="7",BI148,0)</f>
        <v>0</v>
      </c>
      <c r="AF148" s="367">
        <f>IF(AQ148="2",BH148,0)</f>
        <v>0</v>
      </c>
      <c r="AG148" s="367">
        <f>IF(AQ148="2",BI148,0)</f>
        <v>0</v>
      </c>
      <c r="AH148" s="367">
        <f>IF(AQ148="0",BJ148,0)</f>
        <v>0</v>
      </c>
      <c r="AI148" s="351" t="s">
        <v>7</v>
      </c>
      <c r="AJ148" s="367">
        <f>IF(AN148=0,K148,0)</f>
        <v>0</v>
      </c>
      <c r="AK148" s="367">
        <f>IF(AN148=15,K148,0)</f>
        <v>0</v>
      </c>
      <c r="AL148" s="367">
        <f>IF(AN148=21,K148,0)</f>
        <v>0</v>
      </c>
      <c r="AM148" s="311"/>
      <c r="AN148" s="367">
        <v>21</v>
      </c>
      <c r="AO148" s="367">
        <f>H148*0</f>
        <v>0</v>
      </c>
      <c r="AP148" s="367">
        <f>H148*(1-0)</f>
        <v>0</v>
      </c>
      <c r="AQ148" s="369" t="s">
        <v>178</v>
      </c>
      <c r="AR148" s="311"/>
      <c r="AS148" s="311"/>
      <c r="AT148" s="311"/>
      <c r="AU148" s="311"/>
      <c r="AV148" s="367">
        <f>AW148+AX148</f>
        <v>0</v>
      </c>
      <c r="AW148" s="367">
        <f>G148*AO148</f>
        <v>0</v>
      </c>
      <c r="AX148" s="367">
        <f>G148*AP148</f>
        <v>0</v>
      </c>
      <c r="AY148" s="369" t="s">
        <v>294</v>
      </c>
      <c r="AZ148" s="369" t="s">
        <v>281</v>
      </c>
      <c r="BA148" s="351" t="s">
        <v>3</v>
      </c>
      <c r="BB148" s="311"/>
      <c r="BC148" s="367">
        <f>AW148+AX148</f>
        <v>0</v>
      </c>
      <c r="BD148" s="367">
        <f>H148/(100-BE148)*100</f>
        <v>0</v>
      </c>
      <c r="BE148" s="367">
        <v>0</v>
      </c>
      <c r="BF148" s="367">
        <f>M148</f>
        <v>0.025</v>
      </c>
      <c r="BG148" s="311"/>
      <c r="BH148" s="367">
        <f>G148*AO148</f>
        <v>0</v>
      </c>
      <c r="BI148" s="367">
        <f>G148*AP148</f>
        <v>0</v>
      </c>
      <c r="BJ148" s="367">
        <f>G148*H148</f>
        <v>0</v>
      </c>
      <c r="BK148" s="367"/>
      <c r="BL148" s="367">
        <v>766</v>
      </c>
      <c r="BM148" s="311"/>
      <c r="BN148" s="311"/>
      <c r="BO148" s="311"/>
      <c r="BP148" s="311"/>
      <c r="BQ148" s="311"/>
      <c r="BR148" s="311"/>
      <c r="BS148" s="311"/>
      <c r="BT148" s="311"/>
      <c r="BU148" s="311"/>
    </row>
    <row r="149" spans="1:73" ht="13.5" customHeight="1">
      <c r="A149" s="370"/>
      <c r="B149" s="311"/>
      <c r="C149" s="311"/>
      <c r="D149" s="375" t="s">
        <v>332</v>
      </c>
      <c r="E149" s="375"/>
      <c r="F149" s="375"/>
      <c r="G149" s="375"/>
      <c r="H149" s="375"/>
      <c r="I149" s="375"/>
      <c r="J149" s="375"/>
      <c r="K149" s="375"/>
      <c r="L149" s="375"/>
      <c r="M149" s="375"/>
      <c r="N149" s="375"/>
      <c r="O149" s="346"/>
      <c r="P149" s="346"/>
      <c r="Q149" s="346"/>
      <c r="R149" s="346"/>
      <c r="S149" s="346"/>
      <c r="T149" s="346"/>
      <c r="U149" s="346"/>
      <c r="V149" s="346"/>
      <c r="W149" s="346"/>
      <c r="X149" s="346"/>
      <c r="Y149" s="311"/>
      <c r="Z149" s="311"/>
      <c r="AA149" s="311"/>
      <c r="AB149" s="311"/>
      <c r="AC149" s="311"/>
      <c r="AD149" s="311"/>
      <c r="AE149" s="311"/>
      <c r="AF149" s="311"/>
      <c r="AG149" s="311"/>
      <c r="AH149" s="311"/>
      <c r="AI149" s="311"/>
      <c r="AJ149" s="311"/>
      <c r="AK149" s="311"/>
      <c r="AL149" s="311"/>
      <c r="AM149" s="311"/>
      <c r="AN149" s="311"/>
      <c r="AO149" s="311"/>
      <c r="AP149" s="311"/>
      <c r="AQ149" s="311"/>
      <c r="AR149" s="311"/>
      <c r="AS149" s="311"/>
      <c r="AT149" s="311"/>
      <c r="AU149" s="311"/>
      <c r="AV149" s="311"/>
      <c r="AW149" s="311"/>
      <c r="AX149" s="311"/>
      <c r="AY149" s="311"/>
      <c r="AZ149" s="311"/>
      <c r="BA149" s="311"/>
      <c r="BB149" s="311"/>
      <c r="BC149" s="311"/>
      <c r="BD149" s="311"/>
      <c r="BE149" s="311"/>
      <c r="BF149" s="311"/>
      <c r="BG149" s="311"/>
      <c r="BH149" s="311"/>
      <c r="BI149" s="311"/>
      <c r="BJ149" s="311"/>
      <c r="BK149" s="311"/>
      <c r="BL149" s="311"/>
      <c r="BM149" s="311"/>
      <c r="BN149" s="311"/>
      <c r="BO149" s="311"/>
      <c r="BP149" s="311"/>
      <c r="BQ149" s="311"/>
      <c r="BR149" s="311"/>
      <c r="BS149" s="311"/>
      <c r="BT149" s="311"/>
      <c r="BU149" s="311"/>
    </row>
    <row r="150" spans="1:73" ht="15" customHeight="1">
      <c r="A150" s="370"/>
      <c r="B150" s="311"/>
      <c r="C150" s="311"/>
      <c r="D150" s="371" t="s">
        <v>2</v>
      </c>
      <c r="E150" s="372"/>
      <c r="F150" s="311"/>
      <c r="G150" s="373">
        <v>1</v>
      </c>
      <c r="H150" s="311"/>
      <c r="I150" s="311"/>
      <c r="J150" s="311"/>
      <c r="K150" s="311"/>
      <c r="L150" s="311"/>
      <c r="M150" s="311"/>
      <c r="N150" s="374"/>
      <c r="O150" s="346"/>
      <c r="P150" s="346"/>
      <c r="Q150" s="346"/>
      <c r="R150" s="346"/>
      <c r="S150" s="346"/>
      <c r="T150" s="346"/>
      <c r="U150" s="346"/>
      <c r="V150" s="346"/>
      <c r="W150" s="346"/>
      <c r="X150" s="346"/>
      <c r="Y150" s="311"/>
      <c r="Z150" s="311"/>
      <c r="AA150" s="311"/>
      <c r="AB150" s="311"/>
      <c r="AC150" s="311"/>
      <c r="AD150" s="311"/>
      <c r="AE150" s="311"/>
      <c r="AF150" s="311"/>
      <c r="AG150" s="311"/>
      <c r="AH150" s="311"/>
      <c r="AI150" s="311"/>
      <c r="AJ150" s="311"/>
      <c r="AK150" s="311"/>
      <c r="AL150" s="311"/>
      <c r="AM150" s="311"/>
      <c r="AN150" s="311"/>
      <c r="AO150" s="311"/>
      <c r="AP150" s="311"/>
      <c r="AQ150" s="311"/>
      <c r="AR150" s="311"/>
      <c r="AS150" s="311"/>
      <c r="AT150" s="311"/>
      <c r="AU150" s="311"/>
      <c r="AV150" s="311"/>
      <c r="AW150" s="311"/>
      <c r="AX150" s="311"/>
      <c r="AY150" s="311"/>
      <c r="AZ150" s="311"/>
      <c r="BA150" s="311"/>
      <c r="BB150" s="311"/>
      <c r="BC150" s="311"/>
      <c r="BD150" s="311"/>
      <c r="BE150" s="311"/>
      <c r="BF150" s="311"/>
      <c r="BG150" s="311"/>
      <c r="BH150" s="311"/>
      <c r="BI150" s="311"/>
      <c r="BJ150" s="311"/>
      <c r="BK150" s="311"/>
      <c r="BL150" s="311"/>
      <c r="BM150" s="311"/>
      <c r="BN150" s="311"/>
      <c r="BO150" s="311"/>
      <c r="BP150" s="311"/>
      <c r="BQ150" s="311"/>
      <c r="BR150" s="311"/>
      <c r="BS150" s="311"/>
      <c r="BT150" s="311"/>
      <c r="BU150" s="311"/>
    </row>
    <row r="151" spans="1:73" ht="15" customHeight="1">
      <c r="A151" s="365" t="s">
        <v>331</v>
      </c>
      <c r="B151" s="366" t="s">
        <v>7</v>
      </c>
      <c r="C151" s="366" t="s">
        <v>330</v>
      </c>
      <c r="D151" s="304" t="s">
        <v>329</v>
      </c>
      <c r="E151" s="304"/>
      <c r="F151" s="366" t="s">
        <v>143</v>
      </c>
      <c r="G151" s="367">
        <f>'[2]Stavební rozpočet'!G139</f>
        <v>1</v>
      </c>
      <c r="H151" s="328">
        <v>0</v>
      </c>
      <c r="I151" s="367">
        <f>G151*AO151</f>
        <v>0</v>
      </c>
      <c r="J151" s="367">
        <f>G151*AP151</f>
        <v>0</v>
      </c>
      <c r="K151" s="367">
        <f>G151*H151</f>
        <v>0</v>
      </c>
      <c r="L151" s="367">
        <f>'[2]Stavební rozpočet'!L139</f>
        <v>0.02</v>
      </c>
      <c r="M151" s="367">
        <f>G151*L151</f>
        <v>0.02</v>
      </c>
      <c r="N151" s="368"/>
      <c r="O151" s="346"/>
      <c r="P151" s="346"/>
      <c r="Q151" s="346"/>
      <c r="R151" s="346"/>
      <c r="S151" s="346"/>
      <c r="T151" s="346"/>
      <c r="U151" s="346"/>
      <c r="V151" s="346"/>
      <c r="W151" s="346"/>
      <c r="X151" s="346"/>
      <c r="Y151" s="311"/>
      <c r="Z151" s="367">
        <f>IF(AQ151="5",BJ151,0)</f>
        <v>0</v>
      </c>
      <c r="AA151" s="311"/>
      <c r="AB151" s="367">
        <f>IF(AQ151="1",BH151,0)</f>
        <v>0</v>
      </c>
      <c r="AC151" s="367">
        <f>IF(AQ151="1",BI151,0)</f>
        <v>0</v>
      </c>
      <c r="AD151" s="367">
        <f>IF(AQ151="7",BH151,0)</f>
        <v>0</v>
      </c>
      <c r="AE151" s="367">
        <f>IF(AQ151="7",BI151,0)</f>
        <v>0</v>
      </c>
      <c r="AF151" s="367">
        <f>IF(AQ151="2",BH151,0)</f>
        <v>0</v>
      </c>
      <c r="AG151" s="367">
        <f>IF(AQ151="2",BI151,0)</f>
        <v>0</v>
      </c>
      <c r="AH151" s="367">
        <f>IF(AQ151="0",BJ151,0)</f>
        <v>0</v>
      </c>
      <c r="AI151" s="351" t="s">
        <v>7</v>
      </c>
      <c r="AJ151" s="367">
        <f>IF(AN151=0,K151,0)</f>
        <v>0</v>
      </c>
      <c r="AK151" s="367">
        <f>IF(AN151=15,K151,0)</f>
        <v>0</v>
      </c>
      <c r="AL151" s="367">
        <f>IF(AN151=21,K151,0)</f>
        <v>0</v>
      </c>
      <c r="AM151" s="311"/>
      <c r="AN151" s="367">
        <v>21</v>
      </c>
      <c r="AO151" s="367">
        <f>H151*0</f>
        <v>0</v>
      </c>
      <c r="AP151" s="367">
        <f>H151*(1-0)</f>
        <v>0</v>
      </c>
      <c r="AQ151" s="369" t="s">
        <v>178</v>
      </c>
      <c r="AR151" s="311"/>
      <c r="AS151" s="311"/>
      <c r="AT151" s="311"/>
      <c r="AU151" s="311"/>
      <c r="AV151" s="367">
        <f>AW151+AX151</f>
        <v>0</v>
      </c>
      <c r="AW151" s="367">
        <f>G151*AO151</f>
        <v>0</v>
      </c>
      <c r="AX151" s="367">
        <f>G151*AP151</f>
        <v>0</v>
      </c>
      <c r="AY151" s="369" t="s">
        <v>294</v>
      </c>
      <c r="AZ151" s="369" t="s">
        <v>281</v>
      </c>
      <c r="BA151" s="351" t="s">
        <v>3</v>
      </c>
      <c r="BB151" s="311"/>
      <c r="BC151" s="367">
        <f>AW151+AX151</f>
        <v>0</v>
      </c>
      <c r="BD151" s="367">
        <f>H151/(100-BE151)*100</f>
        <v>0</v>
      </c>
      <c r="BE151" s="367">
        <v>0</v>
      </c>
      <c r="BF151" s="367">
        <f>M151</f>
        <v>0.02</v>
      </c>
      <c r="BG151" s="311"/>
      <c r="BH151" s="367">
        <f>G151*AO151</f>
        <v>0</v>
      </c>
      <c r="BI151" s="367">
        <f>G151*AP151</f>
        <v>0</v>
      </c>
      <c r="BJ151" s="367">
        <f>G151*H151</f>
        <v>0</v>
      </c>
      <c r="BK151" s="367"/>
      <c r="BL151" s="367">
        <v>766</v>
      </c>
      <c r="BM151" s="311"/>
      <c r="BN151" s="311"/>
      <c r="BO151" s="311"/>
      <c r="BP151" s="311"/>
      <c r="BQ151" s="311"/>
      <c r="BR151" s="311"/>
      <c r="BS151" s="311"/>
      <c r="BT151" s="311"/>
      <c r="BU151" s="311"/>
    </row>
    <row r="152" spans="1:73" ht="13.5" customHeight="1">
      <c r="A152" s="370"/>
      <c r="B152" s="311"/>
      <c r="C152" s="311"/>
      <c r="D152" s="375" t="s">
        <v>328</v>
      </c>
      <c r="E152" s="375"/>
      <c r="F152" s="375"/>
      <c r="G152" s="375"/>
      <c r="H152" s="375"/>
      <c r="I152" s="375"/>
      <c r="J152" s="375"/>
      <c r="K152" s="375"/>
      <c r="L152" s="375"/>
      <c r="M152" s="375"/>
      <c r="N152" s="375"/>
      <c r="O152" s="346"/>
      <c r="P152" s="346"/>
      <c r="Q152" s="346"/>
      <c r="R152" s="346"/>
      <c r="S152" s="346"/>
      <c r="T152" s="346"/>
      <c r="U152" s="346"/>
      <c r="V152" s="346"/>
      <c r="W152" s="346"/>
      <c r="X152" s="346"/>
      <c r="Y152" s="311"/>
      <c r="Z152" s="311"/>
      <c r="AA152" s="311"/>
      <c r="AB152" s="311"/>
      <c r="AC152" s="311"/>
      <c r="AD152" s="311"/>
      <c r="AE152" s="311"/>
      <c r="AF152" s="311"/>
      <c r="AG152" s="311"/>
      <c r="AH152" s="311"/>
      <c r="AI152" s="311"/>
      <c r="AJ152" s="311"/>
      <c r="AK152" s="311"/>
      <c r="AL152" s="311"/>
      <c r="AM152" s="311"/>
      <c r="AN152" s="311"/>
      <c r="AO152" s="311"/>
      <c r="AP152" s="311"/>
      <c r="AQ152" s="311"/>
      <c r="AR152" s="311"/>
      <c r="AS152" s="311"/>
      <c r="AT152" s="311"/>
      <c r="AU152" s="311"/>
      <c r="AV152" s="311"/>
      <c r="AW152" s="311"/>
      <c r="AX152" s="311"/>
      <c r="AY152" s="311"/>
      <c r="AZ152" s="311"/>
      <c r="BA152" s="311"/>
      <c r="BB152" s="311"/>
      <c r="BC152" s="311"/>
      <c r="BD152" s="311"/>
      <c r="BE152" s="311"/>
      <c r="BF152" s="311"/>
      <c r="BG152" s="311"/>
      <c r="BH152" s="311"/>
      <c r="BI152" s="311"/>
      <c r="BJ152" s="311"/>
      <c r="BK152" s="311"/>
      <c r="BL152" s="311"/>
      <c r="BM152" s="311"/>
      <c r="BN152" s="311"/>
      <c r="BO152" s="311"/>
      <c r="BP152" s="311"/>
      <c r="BQ152" s="311"/>
      <c r="BR152" s="311"/>
      <c r="BS152" s="311"/>
      <c r="BT152" s="311"/>
      <c r="BU152" s="311"/>
    </row>
    <row r="153" spans="1:73" ht="15" customHeight="1">
      <c r="A153" s="370"/>
      <c r="B153" s="311"/>
      <c r="C153" s="311"/>
      <c r="D153" s="371" t="s">
        <v>2</v>
      </c>
      <c r="E153" s="372"/>
      <c r="F153" s="311"/>
      <c r="G153" s="373">
        <v>1</v>
      </c>
      <c r="H153" s="311"/>
      <c r="I153" s="311"/>
      <c r="J153" s="311"/>
      <c r="K153" s="311"/>
      <c r="L153" s="311"/>
      <c r="M153" s="311"/>
      <c r="N153" s="374"/>
      <c r="O153" s="346"/>
      <c r="P153" s="346"/>
      <c r="Q153" s="346"/>
      <c r="R153" s="346"/>
      <c r="S153" s="346"/>
      <c r="T153" s="346"/>
      <c r="U153" s="346"/>
      <c r="V153" s="346"/>
      <c r="W153" s="346"/>
      <c r="X153" s="346"/>
      <c r="Y153" s="311"/>
      <c r="Z153" s="311"/>
      <c r="AA153" s="311"/>
      <c r="AB153" s="311"/>
      <c r="AC153" s="311"/>
      <c r="AD153" s="311"/>
      <c r="AE153" s="311"/>
      <c r="AF153" s="311"/>
      <c r="AG153" s="311"/>
      <c r="AH153" s="311"/>
      <c r="AI153" s="311"/>
      <c r="AJ153" s="311"/>
      <c r="AK153" s="311"/>
      <c r="AL153" s="311"/>
      <c r="AM153" s="311"/>
      <c r="AN153" s="311"/>
      <c r="AO153" s="311"/>
      <c r="AP153" s="311"/>
      <c r="AQ153" s="311"/>
      <c r="AR153" s="311"/>
      <c r="AS153" s="311"/>
      <c r="AT153" s="311"/>
      <c r="AU153" s="311"/>
      <c r="AV153" s="311"/>
      <c r="AW153" s="311"/>
      <c r="AX153" s="311"/>
      <c r="AY153" s="311"/>
      <c r="AZ153" s="311"/>
      <c r="BA153" s="311"/>
      <c r="BB153" s="311"/>
      <c r="BC153" s="311"/>
      <c r="BD153" s="311"/>
      <c r="BE153" s="311"/>
      <c r="BF153" s="311"/>
      <c r="BG153" s="311"/>
      <c r="BH153" s="311"/>
      <c r="BI153" s="311"/>
      <c r="BJ153" s="311"/>
      <c r="BK153" s="311"/>
      <c r="BL153" s="311"/>
      <c r="BM153" s="311"/>
      <c r="BN153" s="311"/>
      <c r="BO153" s="311"/>
      <c r="BP153" s="311"/>
      <c r="BQ153" s="311"/>
      <c r="BR153" s="311"/>
      <c r="BS153" s="311"/>
      <c r="BT153" s="311"/>
      <c r="BU153" s="311"/>
    </row>
    <row r="154" spans="1:73" ht="15" customHeight="1">
      <c r="A154" s="365" t="s">
        <v>327</v>
      </c>
      <c r="B154" s="366" t="s">
        <v>7</v>
      </c>
      <c r="C154" s="366" t="s">
        <v>326</v>
      </c>
      <c r="D154" s="304" t="s">
        <v>325</v>
      </c>
      <c r="E154" s="304"/>
      <c r="F154" s="366" t="s">
        <v>143</v>
      </c>
      <c r="G154" s="367">
        <f>'[2]Stavební rozpočet'!G141</f>
        <v>1</v>
      </c>
      <c r="H154" s="328">
        <v>0</v>
      </c>
      <c r="I154" s="367">
        <f>G154*AO154</f>
        <v>0</v>
      </c>
      <c r="J154" s="367">
        <f>G154*AP154</f>
        <v>0</v>
      </c>
      <c r="K154" s="367">
        <f>G154*H154</f>
        <v>0</v>
      </c>
      <c r="L154" s="367">
        <f>'[2]Stavební rozpočet'!L141</f>
        <v>0.02</v>
      </c>
      <c r="M154" s="367">
        <f>G154*L154</f>
        <v>0.02</v>
      </c>
      <c r="N154" s="368"/>
      <c r="O154" s="346"/>
      <c r="P154" s="346"/>
      <c r="Q154" s="346"/>
      <c r="R154" s="346"/>
      <c r="S154" s="346"/>
      <c r="T154" s="346"/>
      <c r="U154" s="346"/>
      <c r="V154" s="346"/>
      <c r="W154" s="346"/>
      <c r="X154" s="346"/>
      <c r="Y154" s="311"/>
      <c r="Z154" s="367">
        <f>IF(AQ154="5",BJ154,0)</f>
        <v>0</v>
      </c>
      <c r="AA154" s="311"/>
      <c r="AB154" s="367">
        <f>IF(AQ154="1",BH154,0)</f>
        <v>0</v>
      </c>
      <c r="AC154" s="367">
        <f>IF(AQ154="1",BI154,0)</f>
        <v>0</v>
      </c>
      <c r="AD154" s="367">
        <f>IF(AQ154="7",BH154,0)</f>
        <v>0</v>
      </c>
      <c r="AE154" s="367">
        <f>IF(AQ154="7",BI154,0)</f>
        <v>0</v>
      </c>
      <c r="AF154" s="367">
        <f>IF(AQ154="2",BH154,0)</f>
        <v>0</v>
      </c>
      <c r="AG154" s="367">
        <f>IF(AQ154="2",BI154,0)</f>
        <v>0</v>
      </c>
      <c r="AH154" s="367">
        <f>IF(AQ154="0",BJ154,0)</f>
        <v>0</v>
      </c>
      <c r="AI154" s="351" t="s">
        <v>7</v>
      </c>
      <c r="AJ154" s="367">
        <f>IF(AN154=0,K154,0)</f>
        <v>0</v>
      </c>
      <c r="AK154" s="367">
        <f>IF(AN154=15,K154,0)</f>
        <v>0</v>
      </c>
      <c r="AL154" s="367">
        <f>IF(AN154=21,K154,0)</f>
        <v>0</v>
      </c>
      <c r="AM154" s="311"/>
      <c r="AN154" s="367">
        <v>21</v>
      </c>
      <c r="AO154" s="367">
        <f>H154*0</f>
        <v>0</v>
      </c>
      <c r="AP154" s="367">
        <f>H154*(1-0)</f>
        <v>0</v>
      </c>
      <c r="AQ154" s="369" t="s">
        <v>178</v>
      </c>
      <c r="AR154" s="311"/>
      <c r="AS154" s="311"/>
      <c r="AT154" s="311"/>
      <c r="AU154" s="311"/>
      <c r="AV154" s="367">
        <f>AW154+AX154</f>
        <v>0</v>
      </c>
      <c r="AW154" s="367">
        <f>G154*AO154</f>
        <v>0</v>
      </c>
      <c r="AX154" s="367">
        <f>G154*AP154</f>
        <v>0</v>
      </c>
      <c r="AY154" s="369" t="s">
        <v>294</v>
      </c>
      <c r="AZ154" s="369" t="s">
        <v>281</v>
      </c>
      <c r="BA154" s="351" t="s">
        <v>3</v>
      </c>
      <c r="BB154" s="311"/>
      <c r="BC154" s="367">
        <f>AW154+AX154</f>
        <v>0</v>
      </c>
      <c r="BD154" s="367">
        <f>H154/(100-BE154)*100</f>
        <v>0</v>
      </c>
      <c r="BE154" s="367">
        <v>0</v>
      </c>
      <c r="BF154" s="367">
        <f>M154</f>
        <v>0.02</v>
      </c>
      <c r="BG154" s="311"/>
      <c r="BH154" s="367">
        <f>G154*AO154</f>
        <v>0</v>
      </c>
      <c r="BI154" s="367">
        <f>G154*AP154</f>
        <v>0</v>
      </c>
      <c r="BJ154" s="367">
        <f>G154*H154</f>
        <v>0</v>
      </c>
      <c r="BK154" s="367"/>
      <c r="BL154" s="367">
        <v>766</v>
      </c>
      <c r="BM154" s="311"/>
      <c r="BN154" s="311"/>
      <c r="BO154" s="311"/>
      <c r="BP154" s="311"/>
      <c r="BQ154" s="311"/>
      <c r="BR154" s="311"/>
      <c r="BS154" s="311"/>
      <c r="BT154" s="311"/>
      <c r="BU154" s="311"/>
    </row>
    <row r="155" spans="1:73" ht="13.5" customHeight="1">
      <c r="A155" s="370"/>
      <c r="B155" s="311"/>
      <c r="C155" s="311"/>
      <c r="D155" s="375" t="s">
        <v>324</v>
      </c>
      <c r="E155" s="375"/>
      <c r="F155" s="375"/>
      <c r="G155" s="375"/>
      <c r="H155" s="375"/>
      <c r="I155" s="375"/>
      <c r="J155" s="375"/>
      <c r="K155" s="375"/>
      <c r="L155" s="375"/>
      <c r="M155" s="375"/>
      <c r="N155" s="375"/>
      <c r="O155" s="346"/>
      <c r="P155" s="346"/>
      <c r="Q155" s="346"/>
      <c r="R155" s="346"/>
      <c r="S155" s="346"/>
      <c r="T155" s="346"/>
      <c r="U155" s="346"/>
      <c r="V155" s="346"/>
      <c r="W155" s="346"/>
      <c r="X155" s="346"/>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c r="BH155" s="311"/>
      <c r="BI155" s="311"/>
      <c r="BJ155" s="311"/>
      <c r="BK155" s="311"/>
      <c r="BL155" s="311"/>
      <c r="BM155" s="311"/>
      <c r="BN155" s="311"/>
      <c r="BO155" s="311"/>
      <c r="BP155" s="311"/>
      <c r="BQ155" s="311"/>
      <c r="BR155" s="311"/>
      <c r="BS155" s="311"/>
      <c r="BT155" s="311"/>
      <c r="BU155" s="311"/>
    </row>
    <row r="156" spans="1:73" ht="15" customHeight="1">
      <c r="A156" s="370"/>
      <c r="B156" s="311"/>
      <c r="C156" s="311"/>
      <c r="D156" s="371" t="s">
        <v>2</v>
      </c>
      <c r="E156" s="372"/>
      <c r="F156" s="311"/>
      <c r="G156" s="373">
        <v>1</v>
      </c>
      <c r="H156" s="311"/>
      <c r="I156" s="311"/>
      <c r="J156" s="311"/>
      <c r="K156" s="311"/>
      <c r="L156" s="311"/>
      <c r="M156" s="311"/>
      <c r="N156" s="374"/>
      <c r="O156" s="346"/>
      <c r="P156" s="346"/>
      <c r="Q156" s="346"/>
      <c r="R156" s="346"/>
      <c r="S156" s="346"/>
      <c r="T156" s="346"/>
      <c r="U156" s="346"/>
      <c r="V156" s="346"/>
      <c r="W156" s="346"/>
      <c r="X156" s="346"/>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c r="BH156" s="311"/>
      <c r="BI156" s="311"/>
      <c r="BJ156" s="311"/>
      <c r="BK156" s="311"/>
      <c r="BL156" s="311"/>
      <c r="BM156" s="311"/>
      <c r="BN156" s="311"/>
      <c r="BO156" s="311"/>
      <c r="BP156" s="311"/>
      <c r="BQ156" s="311"/>
      <c r="BR156" s="311"/>
      <c r="BS156" s="311"/>
      <c r="BT156" s="311"/>
      <c r="BU156" s="311"/>
    </row>
    <row r="157" spans="1:73" ht="15" customHeight="1">
      <c r="A157" s="365" t="s">
        <v>323</v>
      </c>
      <c r="B157" s="366" t="s">
        <v>7</v>
      </c>
      <c r="C157" s="366" t="s">
        <v>322</v>
      </c>
      <c r="D157" s="304" t="s">
        <v>314</v>
      </c>
      <c r="E157" s="304"/>
      <c r="F157" s="366" t="s">
        <v>143</v>
      </c>
      <c r="G157" s="367">
        <f>'[2]Stavební rozpočet'!G143</f>
        <v>3</v>
      </c>
      <c r="H157" s="328">
        <v>0</v>
      </c>
      <c r="I157" s="367">
        <f>G157*AO157</f>
        <v>0</v>
      </c>
      <c r="J157" s="367">
        <f>G157*AP157</f>
        <v>0</v>
      </c>
      <c r="K157" s="367">
        <f>G157*H157</f>
        <v>0</v>
      </c>
      <c r="L157" s="367">
        <f>'[2]Stavební rozpočet'!L143</f>
        <v>0</v>
      </c>
      <c r="M157" s="367">
        <f>G157*L157</f>
        <v>0</v>
      </c>
      <c r="N157" s="368"/>
      <c r="O157" s="346"/>
      <c r="P157" s="346"/>
      <c r="Q157" s="346"/>
      <c r="R157" s="346"/>
      <c r="S157" s="346"/>
      <c r="T157" s="346"/>
      <c r="U157" s="346"/>
      <c r="V157" s="346"/>
      <c r="W157" s="346"/>
      <c r="X157" s="346"/>
      <c r="Y157" s="311"/>
      <c r="Z157" s="367">
        <f>IF(AQ157="5",BJ157,0)</f>
        <v>0</v>
      </c>
      <c r="AA157" s="311"/>
      <c r="AB157" s="367">
        <f>IF(AQ157="1",BH157,0)</f>
        <v>0</v>
      </c>
      <c r="AC157" s="367">
        <f>IF(AQ157="1",BI157,0)</f>
        <v>0</v>
      </c>
      <c r="AD157" s="367">
        <f>IF(AQ157="7",BH157,0)</f>
        <v>0</v>
      </c>
      <c r="AE157" s="367">
        <f>IF(AQ157="7",BI157,0)</f>
        <v>0</v>
      </c>
      <c r="AF157" s="367">
        <f>IF(AQ157="2",BH157,0)</f>
        <v>0</v>
      </c>
      <c r="AG157" s="367">
        <f>IF(AQ157="2",BI157,0)</f>
        <v>0</v>
      </c>
      <c r="AH157" s="367">
        <f>IF(AQ157="0",BJ157,0)</f>
        <v>0</v>
      </c>
      <c r="AI157" s="351" t="s">
        <v>7</v>
      </c>
      <c r="AJ157" s="367">
        <f>IF(AN157=0,K157,0)</f>
        <v>0</v>
      </c>
      <c r="AK157" s="367">
        <f>IF(AN157=15,K157,0)</f>
        <v>0</v>
      </c>
      <c r="AL157" s="367">
        <f>IF(AN157=21,K157,0)</f>
        <v>0</v>
      </c>
      <c r="AM157" s="311"/>
      <c r="AN157" s="367">
        <v>21</v>
      </c>
      <c r="AO157" s="367">
        <f>H157*0</f>
        <v>0</v>
      </c>
      <c r="AP157" s="367">
        <f>H157*(1-0)</f>
        <v>0</v>
      </c>
      <c r="AQ157" s="369" t="s">
        <v>178</v>
      </c>
      <c r="AR157" s="311"/>
      <c r="AS157" s="311"/>
      <c r="AT157" s="311"/>
      <c r="AU157" s="311"/>
      <c r="AV157" s="367">
        <f>AW157+AX157</f>
        <v>0</v>
      </c>
      <c r="AW157" s="367">
        <f>G157*AO157</f>
        <v>0</v>
      </c>
      <c r="AX157" s="367">
        <f>G157*AP157</f>
        <v>0</v>
      </c>
      <c r="AY157" s="369" t="s">
        <v>294</v>
      </c>
      <c r="AZ157" s="369" t="s">
        <v>281</v>
      </c>
      <c r="BA157" s="351" t="s">
        <v>3</v>
      </c>
      <c r="BB157" s="311"/>
      <c r="BC157" s="367">
        <f>AW157+AX157</f>
        <v>0</v>
      </c>
      <c r="BD157" s="367">
        <f>H157/(100-BE157)*100</f>
        <v>0</v>
      </c>
      <c r="BE157" s="367">
        <v>0</v>
      </c>
      <c r="BF157" s="367">
        <f>M157</f>
        <v>0</v>
      </c>
      <c r="BG157" s="311"/>
      <c r="BH157" s="367">
        <f>G157*AO157</f>
        <v>0</v>
      </c>
      <c r="BI157" s="367">
        <f>G157*AP157</f>
        <v>0</v>
      </c>
      <c r="BJ157" s="367">
        <f>G157*H157</f>
        <v>0</v>
      </c>
      <c r="BK157" s="367"/>
      <c r="BL157" s="367">
        <v>766</v>
      </c>
      <c r="BM157" s="311"/>
      <c r="BN157" s="311"/>
      <c r="BO157" s="311"/>
      <c r="BP157" s="311"/>
      <c r="BQ157" s="311"/>
      <c r="BR157" s="311"/>
      <c r="BS157" s="311"/>
      <c r="BT157" s="311"/>
      <c r="BU157" s="311"/>
    </row>
    <row r="158" spans="1:73" ht="13.5" customHeight="1">
      <c r="A158" s="370"/>
      <c r="B158" s="311"/>
      <c r="C158" s="311"/>
      <c r="D158" s="375" t="s">
        <v>321</v>
      </c>
      <c r="E158" s="375"/>
      <c r="F158" s="375"/>
      <c r="G158" s="375"/>
      <c r="H158" s="375"/>
      <c r="I158" s="375"/>
      <c r="J158" s="375"/>
      <c r="K158" s="375"/>
      <c r="L158" s="375"/>
      <c r="M158" s="375"/>
      <c r="N158" s="375"/>
      <c r="O158" s="346"/>
      <c r="P158" s="346"/>
      <c r="Q158" s="346"/>
      <c r="R158" s="346"/>
      <c r="S158" s="346"/>
      <c r="T158" s="346"/>
      <c r="U158" s="346"/>
      <c r="V158" s="346"/>
      <c r="W158" s="346"/>
      <c r="X158" s="346"/>
      <c r="Y158" s="311"/>
      <c r="Z158" s="311"/>
      <c r="AA158" s="311"/>
      <c r="AB158" s="311"/>
      <c r="AC158" s="311"/>
      <c r="AD158" s="311"/>
      <c r="AE158" s="311"/>
      <c r="AF158" s="311"/>
      <c r="AG158" s="311"/>
      <c r="AH158" s="311"/>
      <c r="AI158" s="311"/>
      <c r="AJ158" s="311"/>
      <c r="AK158" s="311"/>
      <c r="AL158" s="311"/>
      <c r="AM158" s="311"/>
      <c r="AN158" s="311"/>
      <c r="AO158" s="311"/>
      <c r="AP158" s="311"/>
      <c r="AQ158" s="311"/>
      <c r="AR158" s="311"/>
      <c r="AS158" s="311"/>
      <c r="AT158" s="311"/>
      <c r="AU158" s="311"/>
      <c r="AV158" s="311"/>
      <c r="AW158" s="311"/>
      <c r="AX158" s="311"/>
      <c r="AY158" s="311"/>
      <c r="AZ158" s="311"/>
      <c r="BA158" s="311"/>
      <c r="BB158" s="311"/>
      <c r="BC158" s="311"/>
      <c r="BD158" s="311"/>
      <c r="BE158" s="311"/>
      <c r="BF158" s="311"/>
      <c r="BG158" s="311"/>
      <c r="BH158" s="311"/>
      <c r="BI158" s="311"/>
      <c r="BJ158" s="311"/>
      <c r="BK158" s="311"/>
      <c r="BL158" s="311"/>
      <c r="BM158" s="311"/>
      <c r="BN158" s="311"/>
      <c r="BO158" s="311"/>
      <c r="BP158" s="311"/>
      <c r="BQ158" s="311"/>
      <c r="BR158" s="311"/>
      <c r="BS158" s="311"/>
      <c r="BT158" s="311"/>
      <c r="BU158" s="311"/>
    </row>
    <row r="159" spans="1:73" ht="15" customHeight="1">
      <c r="A159" s="370"/>
      <c r="B159" s="311"/>
      <c r="C159" s="311"/>
      <c r="D159" s="371" t="s">
        <v>320</v>
      </c>
      <c r="E159" s="372"/>
      <c r="F159" s="311"/>
      <c r="G159" s="373">
        <v>3.0000000000000004</v>
      </c>
      <c r="H159" s="311"/>
      <c r="I159" s="311"/>
      <c r="J159" s="311"/>
      <c r="K159" s="311"/>
      <c r="L159" s="311"/>
      <c r="M159" s="311"/>
      <c r="N159" s="374"/>
      <c r="O159" s="346"/>
      <c r="P159" s="346"/>
      <c r="Q159" s="346"/>
      <c r="R159" s="346"/>
      <c r="S159" s="346"/>
      <c r="T159" s="346"/>
      <c r="U159" s="346"/>
      <c r="V159" s="346"/>
      <c r="W159" s="346"/>
      <c r="X159" s="346"/>
      <c r="Y159" s="311"/>
      <c r="Z159" s="311"/>
      <c r="AA159" s="311"/>
      <c r="AB159" s="311"/>
      <c r="AC159" s="311"/>
      <c r="AD159" s="311"/>
      <c r="AE159" s="311"/>
      <c r="AF159" s="311"/>
      <c r="AG159" s="311"/>
      <c r="AH159" s="311"/>
      <c r="AI159" s="311"/>
      <c r="AJ159" s="311"/>
      <c r="AK159" s="311"/>
      <c r="AL159" s="311"/>
      <c r="AM159" s="311"/>
      <c r="AN159" s="311"/>
      <c r="AO159" s="311"/>
      <c r="AP159" s="311"/>
      <c r="AQ159" s="311"/>
      <c r="AR159" s="311"/>
      <c r="AS159" s="311"/>
      <c r="AT159" s="311"/>
      <c r="AU159" s="311"/>
      <c r="AV159" s="311"/>
      <c r="AW159" s="311"/>
      <c r="AX159" s="311"/>
      <c r="AY159" s="311"/>
      <c r="AZ159" s="311"/>
      <c r="BA159" s="311"/>
      <c r="BB159" s="311"/>
      <c r="BC159" s="311"/>
      <c r="BD159" s="311"/>
      <c r="BE159" s="311"/>
      <c r="BF159" s="311"/>
      <c r="BG159" s="311"/>
      <c r="BH159" s="311"/>
      <c r="BI159" s="311"/>
      <c r="BJ159" s="311"/>
      <c r="BK159" s="311"/>
      <c r="BL159" s="311"/>
      <c r="BM159" s="311"/>
      <c r="BN159" s="311"/>
      <c r="BO159" s="311"/>
      <c r="BP159" s="311"/>
      <c r="BQ159" s="311"/>
      <c r="BR159" s="311"/>
      <c r="BS159" s="311"/>
      <c r="BT159" s="311"/>
      <c r="BU159" s="311"/>
    </row>
    <row r="160" spans="1:73" ht="15" customHeight="1">
      <c r="A160" s="365" t="s">
        <v>319</v>
      </c>
      <c r="B160" s="366" t="s">
        <v>7</v>
      </c>
      <c r="C160" s="366" t="s">
        <v>304</v>
      </c>
      <c r="D160" s="304" t="s">
        <v>318</v>
      </c>
      <c r="E160" s="304"/>
      <c r="F160" s="366" t="s">
        <v>143</v>
      </c>
      <c r="G160" s="367">
        <f>'[2]Stavební rozpočet'!G145</f>
        <v>1</v>
      </c>
      <c r="H160" s="328">
        <v>0</v>
      </c>
      <c r="I160" s="367">
        <f>G160*AO160</f>
        <v>0</v>
      </c>
      <c r="J160" s="367">
        <f>G160*AP160</f>
        <v>0</v>
      </c>
      <c r="K160" s="367">
        <f>G160*H160</f>
        <v>0</v>
      </c>
      <c r="L160" s="367">
        <f>'[2]Stavební rozpočet'!L145</f>
        <v>0.05</v>
      </c>
      <c r="M160" s="367">
        <f>G160*L160</f>
        <v>0.05</v>
      </c>
      <c r="N160" s="368"/>
      <c r="O160" s="346"/>
      <c r="P160" s="346"/>
      <c r="Q160" s="346"/>
      <c r="R160" s="346"/>
      <c r="S160" s="346"/>
      <c r="T160" s="346"/>
      <c r="U160" s="346"/>
      <c r="V160" s="346"/>
      <c r="W160" s="346"/>
      <c r="X160" s="346"/>
      <c r="Y160" s="311"/>
      <c r="Z160" s="367">
        <f>IF(AQ160="5",BJ160,0)</f>
        <v>0</v>
      </c>
      <c r="AA160" s="311"/>
      <c r="AB160" s="367">
        <f>IF(AQ160="1",BH160,0)</f>
        <v>0</v>
      </c>
      <c r="AC160" s="367">
        <f>IF(AQ160="1",BI160,0)</f>
        <v>0</v>
      </c>
      <c r="AD160" s="367">
        <f>IF(AQ160="7",BH160,0)</f>
        <v>0</v>
      </c>
      <c r="AE160" s="367">
        <f>IF(AQ160="7",BI160,0)</f>
        <v>0</v>
      </c>
      <c r="AF160" s="367">
        <f>IF(AQ160="2",BH160,0)</f>
        <v>0</v>
      </c>
      <c r="AG160" s="367">
        <f>IF(AQ160="2",BI160,0)</f>
        <v>0</v>
      </c>
      <c r="AH160" s="367">
        <f>IF(AQ160="0",BJ160,0)</f>
        <v>0</v>
      </c>
      <c r="AI160" s="351" t="s">
        <v>7</v>
      </c>
      <c r="AJ160" s="367">
        <f>IF(AN160=0,K160,0)</f>
        <v>0</v>
      </c>
      <c r="AK160" s="367">
        <f>IF(AN160=15,K160,0)</f>
        <v>0</v>
      </c>
      <c r="AL160" s="367">
        <f>IF(AN160=21,K160,0)</f>
        <v>0</v>
      </c>
      <c r="AM160" s="311"/>
      <c r="AN160" s="367">
        <v>21</v>
      </c>
      <c r="AO160" s="367">
        <f>H160*0</f>
        <v>0</v>
      </c>
      <c r="AP160" s="367">
        <f>H160*(1-0)</f>
        <v>0</v>
      </c>
      <c r="AQ160" s="369" t="s">
        <v>178</v>
      </c>
      <c r="AR160" s="311"/>
      <c r="AS160" s="311"/>
      <c r="AT160" s="311"/>
      <c r="AU160" s="311"/>
      <c r="AV160" s="367">
        <f>AW160+AX160</f>
        <v>0</v>
      </c>
      <c r="AW160" s="367">
        <f>G160*AO160</f>
        <v>0</v>
      </c>
      <c r="AX160" s="367">
        <f>G160*AP160</f>
        <v>0</v>
      </c>
      <c r="AY160" s="369" t="s">
        <v>294</v>
      </c>
      <c r="AZ160" s="369" t="s">
        <v>281</v>
      </c>
      <c r="BA160" s="351" t="s">
        <v>3</v>
      </c>
      <c r="BB160" s="311"/>
      <c r="BC160" s="367">
        <f>AW160+AX160</f>
        <v>0</v>
      </c>
      <c r="BD160" s="367">
        <f>H160/(100-BE160)*100</f>
        <v>0</v>
      </c>
      <c r="BE160" s="367">
        <v>0</v>
      </c>
      <c r="BF160" s="367">
        <f>M160</f>
        <v>0.05</v>
      </c>
      <c r="BG160" s="311"/>
      <c r="BH160" s="367">
        <f>G160*AO160</f>
        <v>0</v>
      </c>
      <c r="BI160" s="367">
        <f>G160*AP160</f>
        <v>0</v>
      </c>
      <c r="BJ160" s="367">
        <f>G160*H160</f>
        <v>0</v>
      </c>
      <c r="BK160" s="367"/>
      <c r="BL160" s="367">
        <v>766</v>
      </c>
      <c r="BM160" s="311"/>
      <c r="BN160" s="311"/>
      <c r="BO160" s="311"/>
      <c r="BP160" s="311"/>
      <c r="BQ160" s="311"/>
      <c r="BR160" s="311"/>
      <c r="BS160" s="311"/>
      <c r="BT160" s="311"/>
      <c r="BU160" s="311"/>
    </row>
    <row r="161" spans="1:73" ht="13.5" customHeight="1">
      <c r="A161" s="370"/>
      <c r="B161" s="311"/>
      <c r="C161" s="311"/>
      <c r="D161" s="375" t="s">
        <v>317</v>
      </c>
      <c r="E161" s="375"/>
      <c r="F161" s="375"/>
      <c r="G161" s="375"/>
      <c r="H161" s="375"/>
      <c r="I161" s="375"/>
      <c r="J161" s="375"/>
      <c r="K161" s="375"/>
      <c r="L161" s="375"/>
      <c r="M161" s="375"/>
      <c r="N161" s="375"/>
      <c r="O161" s="346"/>
      <c r="P161" s="346"/>
      <c r="Q161" s="346"/>
      <c r="R161" s="346"/>
      <c r="S161" s="346"/>
      <c r="T161" s="346"/>
      <c r="U161" s="346"/>
      <c r="V161" s="346"/>
      <c r="W161" s="346"/>
      <c r="X161" s="346"/>
      <c r="Y161" s="311"/>
      <c r="Z161" s="311"/>
      <c r="AA161" s="311"/>
      <c r="AB161" s="311"/>
      <c r="AC161" s="311"/>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1"/>
      <c r="AY161" s="311"/>
      <c r="AZ161" s="311"/>
      <c r="BA161" s="311"/>
      <c r="BB161" s="311"/>
      <c r="BC161" s="311"/>
      <c r="BD161" s="311"/>
      <c r="BE161" s="311"/>
      <c r="BF161" s="311"/>
      <c r="BG161" s="311"/>
      <c r="BH161" s="311"/>
      <c r="BI161" s="311"/>
      <c r="BJ161" s="311"/>
      <c r="BK161" s="311"/>
      <c r="BL161" s="311"/>
      <c r="BM161" s="311"/>
      <c r="BN161" s="311"/>
      <c r="BO161" s="311"/>
      <c r="BP161" s="311"/>
      <c r="BQ161" s="311"/>
      <c r="BR161" s="311"/>
      <c r="BS161" s="311"/>
      <c r="BT161" s="311"/>
      <c r="BU161" s="311"/>
    </row>
    <row r="162" spans="1:73" ht="15" customHeight="1">
      <c r="A162" s="370"/>
      <c r="B162" s="311"/>
      <c r="C162" s="311"/>
      <c r="D162" s="371" t="s">
        <v>2</v>
      </c>
      <c r="E162" s="372"/>
      <c r="F162" s="311"/>
      <c r="G162" s="373">
        <v>1</v>
      </c>
      <c r="H162" s="311"/>
      <c r="I162" s="311"/>
      <c r="J162" s="311"/>
      <c r="K162" s="311"/>
      <c r="L162" s="311"/>
      <c r="M162" s="311"/>
      <c r="N162" s="374"/>
      <c r="O162" s="346"/>
      <c r="P162" s="346"/>
      <c r="Q162" s="346"/>
      <c r="R162" s="346"/>
      <c r="S162" s="346"/>
      <c r="T162" s="346"/>
      <c r="U162" s="346"/>
      <c r="V162" s="346"/>
      <c r="W162" s="346"/>
      <c r="X162" s="346"/>
      <c r="Y162" s="311"/>
      <c r="Z162" s="311"/>
      <c r="AA162" s="311"/>
      <c r="AB162" s="311"/>
      <c r="AC162" s="311"/>
      <c r="AD162" s="311"/>
      <c r="AE162" s="311"/>
      <c r="AF162" s="311"/>
      <c r="AG162" s="311"/>
      <c r="AH162" s="311"/>
      <c r="AI162" s="311"/>
      <c r="AJ162" s="311"/>
      <c r="AK162" s="311"/>
      <c r="AL162" s="311"/>
      <c r="AM162" s="311"/>
      <c r="AN162" s="311"/>
      <c r="AO162" s="311"/>
      <c r="AP162" s="311"/>
      <c r="AQ162" s="311"/>
      <c r="AR162" s="311"/>
      <c r="AS162" s="311"/>
      <c r="AT162" s="311"/>
      <c r="AU162" s="311"/>
      <c r="AV162" s="311"/>
      <c r="AW162" s="311"/>
      <c r="AX162" s="311"/>
      <c r="AY162" s="311"/>
      <c r="AZ162" s="311"/>
      <c r="BA162" s="311"/>
      <c r="BB162" s="311"/>
      <c r="BC162" s="311"/>
      <c r="BD162" s="311"/>
      <c r="BE162" s="311"/>
      <c r="BF162" s="311"/>
      <c r="BG162" s="311"/>
      <c r="BH162" s="311"/>
      <c r="BI162" s="311"/>
      <c r="BJ162" s="311"/>
      <c r="BK162" s="311"/>
      <c r="BL162" s="311"/>
      <c r="BM162" s="311"/>
      <c r="BN162" s="311"/>
      <c r="BO162" s="311"/>
      <c r="BP162" s="311"/>
      <c r="BQ162" s="311"/>
      <c r="BR162" s="311"/>
      <c r="BS162" s="311"/>
      <c r="BT162" s="311"/>
      <c r="BU162" s="311"/>
    </row>
    <row r="163" spans="1:73" ht="15" customHeight="1">
      <c r="A163" s="365" t="s">
        <v>316</v>
      </c>
      <c r="B163" s="366" t="s">
        <v>7</v>
      </c>
      <c r="C163" s="366" t="s">
        <v>315</v>
      </c>
      <c r="D163" s="304" t="s">
        <v>314</v>
      </c>
      <c r="E163" s="304"/>
      <c r="F163" s="366" t="s">
        <v>143</v>
      </c>
      <c r="G163" s="367">
        <f>'[2]Stavební rozpočet'!G147</f>
        <v>1</v>
      </c>
      <c r="H163" s="328">
        <v>0</v>
      </c>
      <c r="I163" s="367">
        <f>G163*AO163</f>
        <v>0</v>
      </c>
      <c r="J163" s="367">
        <f>G163*AP163</f>
        <v>0</v>
      </c>
      <c r="K163" s="367">
        <f>G163*H163</f>
        <v>0</v>
      </c>
      <c r="L163" s="367">
        <f>'[2]Stavební rozpočet'!L147</f>
        <v>0.09</v>
      </c>
      <c r="M163" s="367">
        <f>G163*L163</f>
        <v>0.09</v>
      </c>
      <c r="N163" s="368"/>
      <c r="O163" s="346"/>
      <c r="P163" s="346"/>
      <c r="Q163" s="346"/>
      <c r="R163" s="346"/>
      <c r="S163" s="346"/>
      <c r="T163" s="346"/>
      <c r="U163" s="346"/>
      <c r="V163" s="346"/>
      <c r="W163" s="346"/>
      <c r="X163" s="346"/>
      <c r="Y163" s="311"/>
      <c r="Z163" s="367">
        <f>IF(AQ163="5",BJ163,0)</f>
        <v>0</v>
      </c>
      <c r="AA163" s="311"/>
      <c r="AB163" s="367">
        <f>IF(AQ163="1",BH163,0)</f>
        <v>0</v>
      </c>
      <c r="AC163" s="367">
        <f>IF(AQ163="1",BI163,0)</f>
        <v>0</v>
      </c>
      <c r="AD163" s="367">
        <f>IF(AQ163="7",BH163,0)</f>
        <v>0</v>
      </c>
      <c r="AE163" s="367">
        <f>IF(AQ163="7",BI163,0)</f>
        <v>0</v>
      </c>
      <c r="AF163" s="367">
        <f>IF(AQ163="2",BH163,0)</f>
        <v>0</v>
      </c>
      <c r="AG163" s="367">
        <f>IF(AQ163="2",BI163,0)</f>
        <v>0</v>
      </c>
      <c r="AH163" s="367">
        <f>IF(AQ163="0",BJ163,0)</f>
        <v>0</v>
      </c>
      <c r="AI163" s="351" t="s">
        <v>7</v>
      </c>
      <c r="AJ163" s="367">
        <f>IF(AN163=0,K163,0)</f>
        <v>0</v>
      </c>
      <c r="AK163" s="367">
        <f>IF(AN163=15,K163,0)</f>
        <v>0</v>
      </c>
      <c r="AL163" s="367">
        <f>IF(AN163=21,K163,0)</f>
        <v>0</v>
      </c>
      <c r="AM163" s="311"/>
      <c r="AN163" s="367">
        <v>21</v>
      </c>
      <c r="AO163" s="367">
        <f>H163*0</f>
        <v>0</v>
      </c>
      <c r="AP163" s="367">
        <f>H163*(1-0)</f>
        <v>0</v>
      </c>
      <c r="AQ163" s="369" t="s">
        <v>178</v>
      </c>
      <c r="AR163" s="311"/>
      <c r="AS163" s="311"/>
      <c r="AT163" s="311"/>
      <c r="AU163" s="311"/>
      <c r="AV163" s="367">
        <f>AW163+AX163</f>
        <v>0</v>
      </c>
      <c r="AW163" s="367">
        <f>G163*AO163</f>
        <v>0</v>
      </c>
      <c r="AX163" s="367">
        <f>G163*AP163</f>
        <v>0</v>
      </c>
      <c r="AY163" s="369" t="s">
        <v>294</v>
      </c>
      <c r="AZ163" s="369" t="s">
        <v>281</v>
      </c>
      <c r="BA163" s="351" t="s">
        <v>3</v>
      </c>
      <c r="BB163" s="311"/>
      <c r="BC163" s="367">
        <f>AW163+AX163</f>
        <v>0</v>
      </c>
      <c r="BD163" s="367">
        <f>H163/(100-BE163)*100</f>
        <v>0</v>
      </c>
      <c r="BE163" s="367">
        <v>0</v>
      </c>
      <c r="BF163" s="367">
        <f>M163</f>
        <v>0.09</v>
      </c>
      <c r="BG163" s="311"/>
      <c r="BH163" s="367">
        <f>G163*AO163</f>
        <v>0</v>
      </c>
      <c r="BI163" s="367">
        <f>G163*AP163</f>
        <v>0</v>
      </c>
      <c r="BJ163" s="367">
        <f>G163*H163</f>
        <v>0</v>
      </c>
      <c r="BK163" s="367"/>
      <c r="BL163" s="367">
        <v>766</v>
      </c>
      <c r="BM163" s="311"/>
      <c r="BN163" s="311"/>
      <c r="BO163" s="311"/>
      <c r="BP163" s="311"/>
      <c r="BQ163" s="311"/>
      <c r="BR163" s="311"/>
      <c r="BS163" s="311"/>
      <c r="BT163" s="311"/>
      <c r="BU163" s="311"/>
    </row>
    <row r="164" spans="1:73" ht="13.5" customHeight="1">
      <c r="A164" s="370"/>
      <c r="B164" s="311"/>
      <c r="C164" s="311"/>
      <c r="D164" s="375" t="s">
        <v>313</v>
      </c>
      <c r="E164" s="375"/>
      <c r="F164" s="375"/>
      <c r="G164" s="375"/>
      <c r="H164" s="375"/>
      <c r="I164" s="375"/>
      <c r="J164" s="375"/>
      <c r="K164" s="375"/>
      <c r="L164" s="375"/>
      <c r="M164" s="375"/>
      <c r="N164" s="375"/>
      <c r="O164" s="346"/>
      <c r="P164" s="346"/>
      <c r="Q164" s="346"/>
      <c r="R164" s="346"/>
      <c r="S164" s="346"/>
      <c r="T164" s="346"/>
      <c r="U164" s="346"/>
      <c r="V164" s="346"/>
      <c r="W164" s="346"/>
      <c r="X164" s="346"/>
      <c r="Y164" s="311"/>
      <c r="Z164" s="311"/>
      <c r="AA164" s="311"/>
      <c r="AB164" s="311"/>
      <c r="AC164" s="311"/>
      <c r="AD164" s="311"/>
      <c r="AE164" s="311"/>
      <c r="AF164" s="311"/>
      <c r="AG164" s="311"/>
      <c r="AH164" s="311"/>
      <c r="AI164" s="311"/>
      <c r="AJ164" s="311"/>
      <c r="AK164" s="311"/>
      <c r="AL164" s="311"/>
      <c r="AM164" s="311"/>
      <c r="AN164" s="311"/>
      <c r="AO164" s="311"/>
      <c r="AP164" s="311"/>
      <c r="AQ164" s="311"/>
      <c r="AR164" s="311"/>
      <c r="AS164" s="311"/>
      <c r="AT164" s="311"/>
      <c r="AU164" s="311"/>
      <c r="AV164" s="311"/>
      <c r="AW164" s="311"/>
      <c r="AX164" s="311"/>
      <c r="AY164" s="311"/>
      <c r="AZ164" s="311"/>
      <c r="BA164" s="311"/>
      <c r="BB164" s="311"/>
      <c r="BC164" s="311"/>
      <c r="BD164" s="311"/>
      <c r="BE164" s="311"/>
      <c r="BF164" s="311"/>
      <c r="BG164" s="311"/>
      <c r="BH164" s="311"/>
      <c r="BI164" s="311"/>
      <c r="BJ164" s="311"/>
      <c r="BK164" s="311"/>
      <c r="BL164" s="311"/>
      <c r="BM164" s="311"/>
      <c r="BN164" s="311"/>
      <c r="BO164" s="311"/>
      <c r="BP164" s="311"/>
      <c r="BQ164" s="311"/>
      <c r="BR164" s="311"/>
      <c r="BS164" s="311"/>
      <c r="BT164" s="311"/>
      <c r="BU164" s="311"/>
    </row>
    <row r="165" spans="1:73" ht="15" customHeight="1">
      <c r="A165" s="370"/>
      <c r="B165" s="311"/>
      <c r="C165" s="311"/>
      <c r="D165" s="371" t="s">
        <v>2</v>
      </c>
      <c r="E165" s="372"/>
      <c r="F165" s="311"/>
      <c r="G165" s="373">
        <v>1</v>
      </c>
      <c r="H165" s="311"/>
      <c r="I165" s="311"/>
      <c r="J165" s="311"/>
      <c r="K165" s="311"/>
      <c r="L165" s="311"/>
      <c r="M165" s="311"/>
      <c r="N165" s="374"/>
      <c r="O165" s="346"/>
      <c r="P165" s="346"/>
      <c r="Q165" s="346"/>
      <c r="R165" s="346"/>
      <c r="S165" s="346"/>
      <c r="T165" s="346"/>
      <c r="U165" s="346"/>
      <c r="V165" s="346"/>
      <c r="W165" s="346"/>
      <c r="X165" s="346"/>
      <c r="Y165" s="311"/>
      <c r="Z165" s="311"/>
      <c r="AA165" s="311"/>
      <c r="AB165" s="311"/>
      <c r="AC165" s="311"/>
      <c r="AD165" s="311"/>
      <c r="AE165" s="311"/>
      <c r="AF165" s="311"/>
      <c r="AG165" s="311"/>
      <c r="AH165" s="311"/>
      <c r="AI165" s="311"/>
      <c r="AJ165" s="311"/>
      <c r="AK165" s="311"/>
      <c r="AL165" s="311"/>
      <c r="AM165" s="311"/>
      <c r="AN165" s="311"/>
      <c r="AO165" s="311"/>
      <c r="AP165" s="311"/>
      <c r="AQ165" s="311"/>
      <c r="AR165" s="311"/>
      <c r="AS165" s="311"/>
      <c r="AT165" s="311"/>
      <c r="AU165" s="311"/>
      <c r="AV165" s="311"/>
      <c r="AW165" s="311"/>
      <c r="AX165" s="311"/>
      <c r="AY165" s="311"/>
      <c r="AZ165" s="311"/>
      <c r="BA165" s="311"/>
      <c r="BB165" s="311"/>
      <c r="BC165" s="311"/>
      <c r="BD165" s="311"/>
      <c r="BE165" s="311"/>
      <c r="BF165" s="311"/>
      <c r="BG165" s="311"/>
      <c r="BH165" s="311"/>
      <c r="BI165" s="311"/>
      <c r="BJ165" s="311"/>
      <c r="BK165" s="311"/>
      <c r="BL165" s="311"/>
      <c r="BM165" s="311"/>
      <c r="BN165" s="311"/>
      <c r="BO165" s="311"/>
      <c r="BP165" s="311"/>
      <c r="BQ165" s="311"/>
      <c r="BR165" s="311"/>
      <c r="BS165" s="311"/>
      <c r="BT165" s="311"/>
      <c r="BU165" s="311"/>
    </row>
    <row r="166" spans="1:73" ht="15" customHeight="1">
      <c r="A166" s="365" t="s">
        <v>312</v>
      </c>
      <c r="B166" s="366" t="s">
        <v>7</v>
      </c>
      <c r="C166" s="366" t="s">
        <v>311</v>
      </c>
      <c r="D166" s="304" t="s">
        <v>310</v>
      </c>
      <c r="E166" s="304"/>
      <c r="F166" s="366" t="s">
        <v>143</v>
      </c>
      <c r="G166" s="367">
        <f>'[2]Stavební rozpočet'!G149</f>
        <v>1</v>
      </c>
      <c r="H166" s="328">
        <v>0</v>
      </c>
      <c r="I166" s="367">
        <f>G166*AO166</f>
        <v>0</v>
      </c>
      <c r="J166" s="367">
        <f>G166*AP166</f>
        <v>0</v>
      </c>
      <c r="K166" s="367">
        <f>G166*H166</f>
        <v>0</v>
      </c>
      <c r="L166" s="367">
        <f>'[2]Stavební rozpočet'!L149</f>
        <v>0</v>
      </c>
      <c r="M166" s="367">
        <f>G166*L166</f>
        <v>0</v>
      </c>
      <c r="N166" s="368"/>
      <c r="O166" s="346"/>
      <c r="P166" s="346"/>
      <c r="Q166" s="346"/>
      <c r="R166" s="346"/>
      <c r="S166" s="346"/>
      <c r="T166" s="346"/>
      <c r="U166" s="346"/>
      <c r="V166" s="346"/>
      <c r="W166" s="346"/>
      <c r="X166" s="346"/>
      <c r="Y166" s="311"/>
      <c r="Z166" s="367">
        <f>IF(AQ166="5",BJ166,0)</f>
        <v>0</v>
      </c>
      <c r="AA166" s="311"/>
      <c r="AB166" s="367">
        <f>IF(AQ166="1",BH166,0)</f>
        <v>0</v>
      </c>
      <c r="AC166" s="367">
        <f>IF(AQ166="1",BI166,0)</f>
        <v>0</v>
      </c>
      <c r="AD166" s="367">
        <f>IF(AQ166="7",BH166,0)</f>
        <v>0</v>
      </c>
      <c r="AE166" s="367">
        <f>IF(AQ166="7",BI166,0)</f>
        <v>0</v>
      </c>
      <c r="AF166" s="367">
        <f>IF(AQ166="2",BH166,0)</f>
        <v>0</v>
      </c>
      <c r="AG166" s="367">
        <f>IF(AQ166="2",BI166,0)</f>
        <v>0</v>
      </c>
      <c r="AH166" s="367">
        <f>IF(AQ166="0",BJ166,0)</f>
        <v>0</v>
      </c>
      <c r="AI166" s="351" t="s">
        <v>7</v>
      </c>
      <c r="AJ166" s="367">
        <f>IF(AN166=0,K166,0)</f>
        <v>0</v>
      </c>
      <c r="AK166" s="367">
        <f>IF(AN166=15,K166,0)</f>
        <v>0</v>
      </c>
      <c r="AL166" s="367">
        <f>IF(AN166=21,K166,0)</f>
        <v>0</v>
      </c>
      <c r="AM166" s="311"/>
      <c r="AN166" s="367">
        <v>21</v>
      </c>
      <c r="AO166" s="367">
        <f>H166*0</f>
        <v>0</v>
      </c>
      <c r="AP166" s="367">
        <f>H166*(1-0)</f>
        <v>0</v>
      </c>
      <c r="AQ166" s="369" t="s">
        <v>178</v>
      </c>
      <c r="AR166" s="311"/>
      <c r="AS166" s="311"/>
      <c r="AT166" s="311"/>
      <c r="AU166" s="311"/>
      <c r="AV166" s="367">
        <f>AW166+AX166</f>
        <v>0</v>
      </c>
      <c r="AW166" s="367">
        <f>G166*AO166</f>
        <v>0</v>
      </c>
      <c r="AX166" s="367">
        <f>G166*AP166</f>
        <v>0</v>
      </c>
      <c r="AY166" s="369" t="s">
        <v>294</v>
      </c>
      <c r="AZ166" s="369" t="s">
        <v>281</v>
      </c>
      <c r="BA166" s="351" t="s">
        <v>3</v>
      </c>
      <c r="BB166" s="311"/>
      <c r="BC166" s="367">
        <f>AW166+AX166</f>
        <v>0</v>
      </c>
      <c r="BD166" s="367">
        <f>H166/(100-BE166)*100</f>
        <v>0</v>
      </c>
      <c r="BE166" s="367">
        <v>0</v>
      </c>
      <c r="BF166" s="367">
        <f>M166</f>
        <v>0</v>
      </c>
      <c r="BG166" s="311"/>
      <c r="BH166" s="367">
        <f>G166*AO166</f>
        <v>0</v>
      </c>
      <c r="BI166" s="367">
        <f>G166*AP166</f>
        <v>0</v>
      </c>
      <c r="BJ166" s="367">
        <f>G166*H166</f>
        <v>0</v>
      </c>
      <c r="BK166" s="367"/>
      <c r="BL166" s="367">
        <v>766</v>
      </c>
      <c r="BM166" s="311"/>
      <c r="BN166" s="311"/>
      <c r="BO166" s="311"/>
      <c r="BP166" s="311"/>
      <c r="BQ166" s="311"/>
      <c r="BR166" s="311"/>
      <c r="BS166" s="311"/>
      <c r="BT166" s="311"/>
      <c r="BU166" s="311"/>
    </row>
    <row r="167" spans="1:73" ht="13.5" customHeight="1">
      <c r="A167" s="370"/>
      <c r="B167" s="311"/>
      <c r="C167" s="311"/>
      <c r="D167" s="375" t="s">
        <v>309</v>
      </c>
      <c r="E167" s="375"/>
      <c r="F167" s="375"/>
      <c r="G167" s="375"/>
      <c r="H167" s="375"/>
      <c r="I167" s="375"/>
      <c r="J167" s="375"/>
      <c r="K167" s="375"/>
      <c r="L167" s="375"/>
      <c r="M167" s="375"/>
      <c r="N167" s="375"/>
      <c r="O167" s="346"/>
      <c r="P167" s="346"/>
      <c r="Q167" s="346"/>
      <c r="R167" s="346"/>
      <c r="S167" s="346"/>
      <c r="T167" s="346"/>
      <c r="U167" s="346"/>
      <c r="V167" s="346"/>
      <c r="W167" s="346"/>
      <c r="X167" s="346"/>
      <c r="Y167" s="311"/>
      <c r="Z167" s="311"/>
      <c r="AA167" s="311"/>
      <c r="AB167" s="311"/>
      <c r="AC167" s="311"/>
      <c r="AD167" s="311"/>
      <c r="AE167" s="311"/>
      <c r="AF167" s="311"/>
      <c r="AG167" s="311"/>
      <c r="AH167" s="311"/>
      <c r="AI167" s="311"/>
      <c r="AJ167" s="311"/>
      <c r="AK167" s="311"/>
      <c r="AL167" s="311"/>
      <c r="AM167" s="311"/>
      <c r="AN167" s="311"/>
      <c r="AO167" s="311"/>
      <c r="AP167" s="311"/>
      <c r="AQ167" s="311"/>
      <c r="AR167" s="311"/>
      <c r="AS167" s="311"/>
      <c r="AT167" s="311"/>
      <c r="AU167" s="311"/>
      <c r="AV167" s="311"/>
      <c r="AW167" s="311"/>
      <c r="AX167" s="311"/>
      <c r="AY167" s="311"/>
      <c r="AZ167" s="311"/>
      <c r="BA167" s="311"/>
      <c r="BB167" s="311"/>
      <c r="BC167" s="311"/>
      <c r="BD167" s="311"/>
      <c r="BE167" s="311"/>
      <c r="BF167" s="311"/>
      <c r="BG167" s="311"/>
      <c r="BH167" s="311"/>
      <c r="BI167" s="311"/>
      <c r="BJ167" s="311"/>
      <c r="BK167" s="311"/>
      <c r="BL167" s="311"/>
      <c r="BM167" s="311"/>
      <c r="BN167" s="311"/>
      <c r="BO167" s="311"/>
      <c r="BP167" s="311"/>
      <c r="BQ167" s="311"/>
      <c r="BR167" s="311"/>
      <c r="BS167" s="311"/>
      <c r="BT167" s="311"/>
      <c r="BU167" s="311"/>
    </row>
    <row r="168" spans="1:73" ht="15" customHeight="1">
      <c r="A168" s="370"/>
      <c r="B168" s="311"/>
      <c r="C168" s="311"/>
      <c r="D168" s="371" t="s">
        <v>2</v>
      </c>
      <c r="E168" s="372"/>
      <c r="F168" s="311"/>
      <c r="G168" s="373">
        <v>1</v>
      </c>
      <c r="H168" s="311"/>
      <c r="I168" s="311"/>
      <c r="J168" s="311"/>
      <c r="K168" s="311"/>
      <c r="L168" s="311"/>
      <c r="M168" s="311"/>
      <c r="N168" s="374"/>
      <c r="O168" s="346"/>
      <c r="P168" s="346"/>
      <c r="Q168" s="346"/>
      <c r="R168" s="346"/>
      <c r="S168" s="346"/>
      <c r="T168" s="346"/>
      <c r="U168" s="346"/>
      <c r="V168" s="346"/>
      <c r="W168" s="346"/>
      <c r="X168" s="346"/>
      <c r="Y168" s="311"/>
      <c r="Z168" s="311"/>
      <c r="AA168" s="311"/>
      <c r="AB168" s="311"/>
      <c r="AC168" s="311"/>
      <c r="AD168" s="311"/>
      <c r="AE168" s="311"/>
      <c r="AF168" s="311"/>
      <c r="AG168" s="311"/>
      <c r="AH168" s="311"/>
      <c r="AI168" s="311"/>
      <c r="AJ168" s="311"/>
      <c r="AK168" s="311"/>
      <c r="AL168" s="311"/>
      <c r="AM168" s="311"/>
      <c r="AN168" s="311"/>
      <c r="AO168" s="311"/>
      <c r="AP168" s="311"/>
      <c r="AQ168" s="311"/>
      <c r="AR168" s="311"/>
      <c r="AS168" s="311"/>
      <c r="AT168" s="311"/>
      <c r="AU168" s="311"/>
      <c r="AV168" s="311"/>
      <c r="AW168" s="311"/>
      <c r="AX168" s="311"/>
      <c r="AY168" s="311"/>
      <c r="AZ168" s="311"/>
      <c r="BA168" s="311"/>
      <c r="BB168" s="311"/>
      <c r="BC168" s="311"/>
      <c r="BD168" s="311"/>
      <c r="BE168" s="311"/>
      <c r="BF168" s="311"/>
      <c r="BG168" s="311"/>
      <c r="BH168" s="311"/>
      <c r="BI168" s="311"/>
      <c r="BJ168" s="311"/>
      <c r="BK168" s="311"/>
      <c r="BL168" s="311"/>
      <c r="BM168" s="311"/>
      <c r="BN168" s="311"/>
      <c r="BO168" s="311"/>
      <c r="BP168" s="311"/>
      <c r="BQ168" s="311"/>
      <c r="BR168" s="311"/>
      <c r="BS168" s="311"/>
      <c r="BT168" s="311"/>
      <c r="BU168" s="311"/>
    </row>
    <row r="169" spans="1:73" ht="15" customHeight="1">
      <c r="A169" s="365" t="s">
        <v>308</v>
      </c>
      <c r="B169" s="366" t="s">
        <v>7</v>
      </c>
      <c r="C169" s="366" t="s">
        <v>307</v>
      </c>
      <c r="D169" s="304" t="s">
        <v>306</v>
      </c>
      <c r="E169" s="304"/>
      <c r="F169" s="366" t="s">
        <v>143</v>
      </c>
      <c r="G169" s="367">
        <f>'[2]Stavební rozpočet'!G151</f>
        <v>1</v>
      </c>
      <c r="H169" s="328">
        <v>0</v>
      </c>
      <c r="I169" s="367">
        <f>G169*AO169</f>
        <v>0</v>
      </c>
      <c r="J169" s="367">
        <f>G169*AP169</f>
        <v>0</v>
      </c>
      <c r="K169" s="367">
        <f>G169*H169</f>
        <v>0</v>
      </c>
      <c r="L169" s="367">
        <f>'[2]Stavební rozpočet'!L151</f>
        <v>0</v>
      </c>
      <c r="M169" s="367">
        <f>G169*L169</f>
        <v>0</v>
      </c>
      <c r="N169" s="368"/>
      <c r="O169" s="346"/>
      <c r="P169" s="346"/>
      <c r="Q169" s="346"/>
      <c r="R169" s="346"/>
      <c r="S169" s="346"/>
      <c r="T169" s="346"/>
      <c r="U169" s="346"/>
      <c r="V169" s="346"/>
      <c r="W169" s="346"/>
      <c r="X169" s="346"/>
      <c r="Y169" s="311"/>
      <c r="Z169" s="367">
        <f>IF(AQ169="5",BJ169,0)</f>
        <v>0</v>
      </c>
      <c r="AA169" s="311"/>
      <c r="AB169" s="367">
        <f>IF(AQ169="1",BH169,0)</f>
        <v>0</v>
      </c>
      <c r="AC169" s="367">
        <f>IF(AQ169="1",BI169,0)</f>
        <v>0</v>
      </c>
      <c r="AD169" s="367">
        <f>IF(AQ169="7",BH169,0)</f>
        <v>0</v>
      </c>
      <c r="AE169" s="367">
        <f>IF(AQ169="7",BI169,0)</f>
        <v>0</v>
      </c>
      <c r="AF169" s="367">
        <f>IF(AQ169="2",BH169,0)</f>
        <v>0</v>
      </c>
      <c r="AG169" s="367">
        <f>IF(AQ169="2",BI169,0)</f>
        <v>0</v>
      </c>
      <c r="AH169" s="367">
        <f>IF(AQ169="0",BJ169,0)</f>
        <v>0</v>
      </c>
      <c r="AI169" s="351" t="s">
        <v>7</v>
      </c>
      <c r="AJ169" s="367">
        <f>IF(AN169=0,K169,0)</f>
        <v>0</v>
      </c>
      <c r="AK169" s="367">
        <f>IF(AN169=15,K169,0)</f>
        <v>0</v>
      </c>
      <c r="AL169" s="367">
        <f>IF(AN169=21,K169,0)</f>
        <v>0</v>
      </c>
      <c r="AM169" s="311"/>
      <c r="AN169" s="367">
        <v>21</v>
      </c>
      <c r="AO169" s="367">
        <f>H169*0</f>
        <v>0</v>
      </c>
      <c r="AP169" s="367">
        <f>H169*(1-0)</f>
        <v>0</v>
      </c>
      <c r="AQ169" s="369" t="s">
        <v>178</v>
      </c>
      <c r="AR169" s="311"/>
      <c r="AS169" s="311"/>
      <c r="AT169" s="311"/>
      <c r="AU169" s="311"/>
      <c r="AV169" s="367">
        <f>AW169+AX169</f>
        <v>0</v>
      </c>
      <c r="AW169" s="367">
        <f>G169*AO169</f>
        <v>0</v>
      </c>
      <c r="AX169" s="367">
        <f>G169*AP169</f>
        <v>0</v>
      </c>
      <c r="AY169" s="369" t="s">
        <v>294</v>
      </c>
      <c r="AZ169" s="369" t="s">
        <v>281</v>
      </c>
      <c r="BA169" s="351" t="s">
        <v>3</v>
      </c>
      <c r="BB169" s="311"/>
      <c r="BC169" s="367">
        <f>AW169+AX169</f>
        <v>0</v>
      </c>
      <c r="BD169" s="367">
        <f>H169/(100-BE169)*100</f>
        <v>0</v>
      </c>
      <c r="BE169" s="367">
        <v>0</v>
      </c>
      <c r="BF169" s="367">
        <f>M169</f>
        <v>0</v>
      </c>
      <c r="BG169" s="311"/>
      <c r="BH169" s="367">
        <f>G169*AO169</f>
        <v>0</v>
      </c>
      <c r="BI169" s="367">
        <f>G169*AP169</f>
        <v>0</v>
      </c>
      <c r="BJ169" s="367">
        <f>G169*H169</f>
        <v>0</v>
      </c>
      <c r="BK169" s="367"/>
      <c r="BL169" s="367">
        <v>766</v>
      </c>
      <c r="BM169" s="311"/>
      <c r="BN169" s="311"/>
      <c r="BO169" s="311"/>
      <c r="BP169" s="311"/>
      <c r="BQ169" s="311"/>
      <c r="BR169" s="311"/>
      <c r="BS169" s="311"/>
      <c r="BT169" s="311"/>
      <c r="BU169" s="311"/>
    </row>
    <row r="170" spans="1:73" ht="15" customHeight="1">
      <c r="A170" s="370"/>
      <c r="B170" s="311"/>
      <c r="C170" s="311"/>
      <c r="D170" s="371" t="s">
        <v>2</v>
      </c>
      <c r="E170" s="372"/>
      <c r="F170" s="311"/>
      <c r="G170" s="373">
        <v>1</v>
      </c>
      <c r="H170" s="311"/>
      <c r="I170" s="311"/>
      <c r="J170" s="311"/>
      <c r="K170" s="311"/>
      <c r="L170" s="311"/>
      <c r="M170" s="311"/>
      <c r="N170" s="374"/>
      <c r="O170" s="346"/>
      <c r="P170" s="346"/>
      <c r="Q170" s="346"/>
      <c r="R170" s="346"/>
      <c r="S170" s="346"/>
      <c r="T170" s="346"/>
      <c r="U170" s="346"/>
      <c r="V170" s="346"/>
      <c r="W170" s="346"/>
      <c r="X170" s="346"/>
      <c r="Y170" s="311"/>
      <c r="Z170" s="311"/>
      <c r="AA170" s="311"/>
      <c r="AB170" s="311"/>
      <c r="AC170" s="311"/>
      <c r="AD170" s="311"/>
      <c r="AE170" s="311"/>
      <c r="AF170" s="311"/>
      <c r="AG170" s="311"/>
      <c r="AH170" s="311"/>
      <c r="AI170" s="311"/>
      <c r="AJ170" s="311"/>
      <c r="AK170" s="311"/>
      <c r="AL170" s="311"/>
      <c r="AM170" s="311"/>
      <c r="AN170" s="311"/>
      <c r="AO170" s="311"/>
      <c r="AP170" s="311"/>
      <c r="AQ170" s="311"/>
      <c r="AR170" s="311"/>
      <c r="AS170" s="311"/>
      <c r="AT170" s="311"/>
      <c r="AU170" s="311"/>
      <c r="AV170" s="311"/>
      <c r="AW170" s="311"/>
      <c r="AX170" s="311"/>
      <c r="AY170" s="311"/>
      <c r="AZ170" s="311"/>
      <c r="BA170" s="311"/>
      <c r="BB170" s="311"/>
      <c r="BC170" s="311"/>
      <c r="BD170" s="311"/>
      <c r="BE170" s="311"/>
      <c r="BF170" s="311"/>
      <c r="BG170" s="311"/>
      <c r="BH170" s="311"/>
      <c r="BI170" s="311"/>
      <c r="BJ170" s="311"/>
      <c r="BK170" s="311"/>
      <c r="BL170" s="311"/>
      <c r="BM170" s="311"/>
      <c r="BN170" s="311"/>
      <c r="BO170" s="311"/>
      <c r="BP170" s="311"/>
      <c r="BQ170" s="311"/>
      <c r="BR170" s="311"/>
      <c r="BS170" s="311"/>
      <c r="BT170" s="311"/>
      <c r="BU170" s="311"/>
    </row>
    <row r="171" spans="1:73" ht="15" customHeight="1">
      <c r="A171" s="365" t="s">
        <v>305</v>
      </c>
      <c r="B171" s="366" t="s">
        <v>7</v>
      </c>
      <c r="C171" s="366" t="s">
        <v>304</v>
      </c>
      <c r="D171" s="304" t="s">
        <v>303</v>
      </c>
      <c r="E171" s="304"/>
      <c r="F171" s="366" t="s">
        <v>283</v>
      </c>
      <c r="G171" s="367">
        <f>'[2]Stavební rozpočet'!G153</f>
        <v>1</v>
      </c>
      <c r="H171" s="328">
        <v>0</v>
      </c>
      <c r="I171" s="367">
        <f>G171*AO171</f>
        <v>0</v>
      </c>
      <c r="J171" s="367">
        <f>G171*AP171</f>
        <v>0</v>
      </c>
      <c r="K171" s="367">
        <f>G171*H171</f>
        <v>0</v>
      </c>
      <c r="L171" s="367">
        <f>'[2]Stavební rozpočet'!L153</f>
        <v>0.05</v>
      </c>
      <c r="M171" s="367">
        <f>G171*L171</f>
        <v>0.05</v>
      </c>
      <c r="N171" s="368"/>
      <c r="O171" s="346"/>
      <c r="P171" s="346"/>
      <c r="Q171" s="346"/>
      <c r="R171" s="346"/>
      <c r="S171" s="346"/>
      <c r="T171" s="346"/>
      <c r="U171" s="346"/>
      <c r="V171" s="346"/>
      <c r="W171" s="346"/>
      <c r="X171" s="346"/>
      <c r="Y171" s="311"/>
      <c r="Z171" s="367">
        <f>IF(AQ171="5",BJ171,0)</f>
        <v>0</v>
      </c>
      <c r="AA171" s="311"/>
      <c r="AB171" s="367">
        <f>IF(AQ171="1",BH171,0)</f>
        <v>0</v>
      </c>
      <c r="AC171" s="367">
        <f>IF(AQ171="1",BI171,0)</f>
        <v>0</v>
      </c>
      <c r="AD171" s="367">
        <f>IF(AQ171="7",BH171,0)</f>
        <v>0</v>
      </c>
      <c r="AE171" s="367">
        <f>IF(AQ171="7",BI171,0)</f>
        <v>0</v>
      </c>
      <c r="AF171" s="367">
        <f>IF(AQ171="2",BH171,0)</f>
        <v>0</v>
      </c>
      <c r="AG171" s="367">
        <f>IF(AQ171="2",BI171,0)</f>
        <v>0</v>
      </c>
      <c r="AH171" s="367">
        <f>IF(AQ171="0",BJ171,0)</f>
        <v>0</v>
      </c>
      <c r="AI171" s="351" t="s">
        <v>7</v>
      </c>
      <c r="AJ171" s="367">
        <f>IF(AN171=0,K171,0)</f>
        <v>0</v>
      </c>
      <c r="AK171" s="367">
        <f>IF(AN171=15,K171,0)</f>
        <v>0</v>
      </c>
      <c r="AL171" s="367">
        <f>IF(AN171=21,K171,0)</f>
        <v>0</v>
      </c>
      <c r="AM171" s="311"/>
      <c r="AN171" s="367">
        <v>21</v>
      </c>
      <c r="AO171" s="367">
        <f>H171*0</f>
        <v>0</v>
      </c>
      <c r="AP171" s="367">
        <f>H171*(1-0)</f>
        <v>0</v>
      </c>
      <c r="AQ171" s="369" t="s">
        <v>178</v>
      </c>
      <c r="AR171" s="311"/>
      <c r="AS171" s="311"/>
      <c r="AT171" s="311"/>
      <c r="AU171" s="311"/>
      <c r="AV171" s="367">
        <f>AW171+AX171</f>
        <v>0</v>
      </c>
      <c r="AW171" s="367">
        <f>G171*AO171</f>
        <v>0</v>
      </c>
      <c r="AX171" s="367">
        <f>G171*AP171</f>
        <v>0</v>
      </c>
      <c r="AY171" s="369" t="s">
        <v>294</v>
      </c>
      <c r="AZ171" s="369" t="s">
        <v>281</v>
      </c>
      <c r="BA171" s="351" t="s">
        <v>3</v>
      </c>
      <c r="BB171" s="311"/>
      <c r="BC171" s="367">
        <f>AW171+AX171</f>
        <v>0</v>
      </c>
      <c r="BD171" s="367">
        <f>H171/(100-BE171)*100</f>
        <v>0</v>
      </c>
      <c r="BE171" s="367">
        <v>0</v>
      </c>
      <c r="BF171" s="367">
        <f>M171</f>
        <v>0.05</v>
      </c>
      <c r="BG171" s="311"/>
      <c r="BH171" s="367">
        <f>G171*AO171</f>
        <v>0</v>
      </c>
      <c r="BI171" s="367">
        <f>G171*AP171</f>
        <v>0</v>
      </c>
      <c r="BJ171" s="367">
        <f>G171*H171</f>
        <v>0</v>
      </c>
      <c r="BK171" s="367"/>
      <c r="BL171" s="367">
        <v>766</v>
      </c>
      <c r="BM171" s="311"/>
      <c r="BN171" s="311"/>
      <c r="BO171" s="311"/>
      <c r="BP171" s="311"/>
      <c r="BQ171" s="311"/>
      <c r="BR171" s="311"/>
      <c r="BS171" s="311"/>
      <c r="BT171" s="311"/>
      <c r="BU171" s="311"/>
    </row>
    <row r="172" spans="1:73" ht="13.5" customHeight="1">
      <c r="A172" s="370"/>
      <c r="B172" s="311"/>
      <c r="C172" s="311"/>
      <c r="D172" s="375" t="s">
        <v>302</v>
      </c>
      <c r="E172" s="375"/>
      <c r="F172" s="375"/>
      <c r="G172" s="375"/>
      <c r="H172" s="375"/>
      <c r="I172" s="375"/>
      <c r="J172" s="375"/>
      <c r="K172" s="375"/>
      <c r="L172" s="375"/>
      <c r="M172" s="375"/>
      <c r="N172" s="375"/>
      <c r="O172" s="346"/>
      <c r="P172" s="346"/>
      <c r="Q172" s="346"/>
      <c r="R172" s="346"/>
      <c r="S172" s="346"/>
      <c r="T172" s="346"/>
      <c r="U172" s="346"/>
      <c r="V172" s="346"/>
      <c r="W172" s="346"/>
      <c r="X172" s="346"/>
      <c r="Y172" s="311"/>
      <c r="Z172" s="311"/>
      <c r="AA172" s="311"/>
      <c r="AB172" s="311"/>
      <c r="AC172" s="311"/>
      <c r="AD172" s="311"/>
      <c r="AE172" s="311"/>
      <c r="AF172" s="311"/>
      <c r="AG172" s="311"/>
      <c r="AH172" s="311"/>
      <c r="AI172" s="311"/>
      <c r="AJ172" s="311"/>
      <c r="AK172" s="311"/>
      <c r="AL172" s="311"/>
      <c r="AM172" s="311"/>
      <c r="AN172" s="311"/>
      <c r="AO172" s="311"/>
      <c r="AP172" s="311"/>
      <c r="AQ172" s="311"/>
      <c r="AR172" s="311"/>
      <c r="AS172" s="311"/>
      <c r="AT172" s="311"/>
      <c r="AU172" s="311"/>
      <c r="AV172" s="311"/>
      <c r="AW172" s="311"/>
      <c r="AX172" s="311"/>
      <c r="AY172" s="311"/>
      <c r="AZ172" s="311"/>
      <c r="BA172" s="311"/>
      <c r="BB172" s="311"/>
      <c r="BC172" s="311"/>
      <c r="BD172" s="311"/>
      <c r="BE172" s="311"/>
      <c r="BF172" s="311"/>
      <c r="BG172" s="311"/>
      <c r="BH172" s="311"/>
      <c r="BI172" s="311"/>
      <c r="BJ172" s="311"/>
      <c r="BK172" s="311"/>
      <c r="BL172" s="311"/>
      <c r="BM172" s="311"/>
      <c r="BN172" s="311"/>
      <c r="BO172" s="311"/>
      <c r="BP172" s="311"/>
      <c r="BQ172" s="311"/>
      <c r="BR172" s="311"/>
      <c r="BS172" s="311"/>
      <c r="BT172" s="311"/>
      <c r="BU172" s="311"/>
    </row>
    <row r="173" spans="1:73" ht="15" customHeight="1">
      <c r="A173" s="370"/>
      <c r="B173" s="311"/>
      <c r="C173" s="311"/>
      <c r="D173" s="371" t="s">
        <v>2</v>
      </c>
      <c r="E173" s="372"/>
      <c r="F173" s="311"/>
      <c r="G173" s="373">
        <v>1</v>
      </c>
      <c r="H173" s="311"/>
      <c r="I173" s="311"/>
      <c r="J173" s="311"/>
      <c r="K173" s="311"/>
      <c r="L173" s="311"/>
      <c r="M173" s="311"/>
      <c r="N173" s="374"/>
      <c r="O173" s="346"/>
      <c r="P173" s="346"/>
      <c r="Q173" s="346"/>
      <c r="R173" s="346"/>
      <c r="S173" s="346"/>
      <c r="T173" s="346"/>
      <c r="U173" s="346"/>
      <c r="V173" s="346"/>
      <c r="W173" s="346"/>
      <c r="X173" s="346"/>
      <c r="Y173" s="311"/>
      <c r="Z173" s="311"/>
      <c r="AA173" s="311"/>
      <c r="AB173" s="311"/>
      <c r="AC173" s="311"/>
      <c r="AD173" s="311"/>
      <c r="AE173" s="311"/>
      <c r="AF173" s="311"/>
      <c r="AG173" s="311"/>
      <c r="AH173" s="311"/>
      <c r="AI173" s="311"/>
      <c r="AJ173" s="311"/>
      <c r="AK173" s="311"/>
      <c r="AL173" s="311"/>
      <c r="AM173" s="311"/>
      <c r="AN173" s="311"/>
      <c r="AO173" s="311"/>
      <c r="AP173" s="311"/>
      <c r="AQ173" s="311"/>
      <c r="AR173" s="311"/>
      <c r="AS173" s="311"/>
      <c r="AT173" s="311"/>
      <c r="AU173" s="311"/>
      <c r="AV173" s="311"/>
      <c r="AW173" s="311"/>
      <c r="AX173" s="311"/>
      <c r="AY173" s="311"/>
      <c r="AZ173" s="311"/>
      <c r="BA173" s="311"/>
      <c r="BB173" s="311"/>
      <c r="BC173" s="311"/>
      <c r="BD173" s="311"/>
      <c r="BE173" s="311"/>
      <c r="BF173" s="311"/>
      <c r="BG173" s="311"/>
      <c r="BH173" s="311"/>
      <c r="BI173" s="311"/>
      <c r="BJ173" s="311"/>
      <c r="BK173" s="311"/>
      <c r="BL173" s="311"/>
      <c r="BM173" s="311"/>
      <c r="BN173" s="311"/>
      <c r="BO173" s="311"/>
      <c r="BP173" s="311"/>
      <c r="BQ173" s="311"/>
      <c r="BR173" s="311"/>
      <c r="BS173" s="311"/>
      <c r="BT173" s="311"/>
      <c r="BU173" s="311"/>
    </row>
    <row r="174" spans="1:73" ht="15" customHeight="1">
      <c r="A174" s="365" t="s">
        <v>301</v>
      </c>
      <c r="B174" s="366" t="s">
        <v>7</v>
      </c>
      <c r="C174" s="366" t="s">
        <v>300</v>
      </c>
      <c r="D174" s="304" t="s">
        <v>299</v>
      </c>
      <c r="E174" s="304"/>
      <c r="F174" s="366" t="s">
        <v>143</v>
      </c>
      <c r="G174" s="367">
        <f>'[2]Stavební rozpočet'!G155</f>
        <v>1</v>
      </c>
      <c r="H174" s="328">
        <v>0</v>
      </c>
      <c r="I174" s="367">
        <f>G174*AO174</f>
        <v>0</v>
      </c>
      <c r="J174" s="367">
        <f>G174*AP174</f>
        <v>0</v>
      </c>
      <c r="K174" s="367">
        <f>G174*H174</f>
        <v>0</v>
      </c>
      <c r="L174" s="367">
        <f>'[2]Stavební rozpočet'!L155</f>
        <v>0</v>
      </c>
      <c r="M174" s="367">
        <f>G174*L174</f>
        <v>0</v>
      </c>
      <c r="N174" s="368"/>
      <c r="O174" s="346"/>
      <c r="P174" s="346"/>
      <c r="Q174" s="346"/>
      <c r="R174" s="346"/>
      <c r="S174" s="346"/>
      <c r="T174" s="346"/>
      <c r="U174" s="346"/>
      <c r="V174" s="346"/>
      <c r="W174" s="346"/>
      <c r="X174" s="346"/>
      <c r="Y174" s="311"/>
      <c r="Z174" s="367">
        <f>IF(AQ174="5",BJ174,0)</f>
        <v>0</v>
      </c>
      <c r="AA174" s="311"/>
      <c r="AB174" s="367">
        <f>IF(AQ174="1",BH174,0)</f>
        <v>0</v>
      </c>
      <c r="AC174" s="367">
        <f>IF(AQ174="1",BI174,0)</f>
        <v>0</v>
      </c>
      <c r="AD174" s="367">
        <f>IF(AQ174="7",BH174,0)</f>
        <v>0</v>
      </c>
      <c r="AE174" s="367">
        <f>IF(AQ174="7",BI174,0)</f>
        <v>0</v>
      </c>
      <c r="AF174" s="367">
        <f>IF(AQ174="2",BH174,0)</f>
        <v>0</v>
      </c>
      <c r="AG174" s="367">
        <f>IF(AQ174="2",BI174,0)</f>
        <v>0</v>
      </c>
      <c r="AH174" s="367">
        <f>IF(AQ174="0",BJ174,0)</f>
        <v>0</v>
      </c>
      <c r="AI174" s="351" t="s">
        <v>7</v>
      </c>
      <c r="AJ174" s="367">
        <f>IF(AN174=0,K174,0)</f>
        <v>0</v>
      </c>
      <c r="AK174" s="367">
        <f>IF(AN174=15,K174,0)</f>
        <v>0</v>
      </c>
      <c r="AL174" s="367">
        <f>IF(AN174=21,K174,0)</f>
        <v>0</v>
      </c>
      <c r="AM174" s="311"/>
      <c r="AN174" s="367">
        <v>21</v>
      </c>
      <c r="AO174" s="367">
        <f>H174*0</f>
        <v>0</v>
      </c>
      <c r="AP174" s="367">
        <f>H174*(1-0)</f>
        <v>0</v>
      </c>
      <c r="AQ174" s="369" t="s">
        <v>178</v>
      </c>
      <c r="AR174" s="311"/>
      <c r="AS174" s="311"/>
      <c r="AT174" s="311"/>
      <c r="AU174" s="311"/>
      <c r="AV174" s="367">
        <f>AW174+AX174</f>
        <v>0</v>
      </c>
      <c r="AW174" s="367">
        <f>G174*AO174</f>
        <v>0</v>
      </c>
      <c r="AX174" s="367">
        <f>G174*AP174</f>
        <v>0</v>
      </c>
      <c r="AY174" s="369" t="s">
        <v>294</v>
      </c>
      <c r="AZ174" s="369" t="s">
        <v>281</v>
      </c>
      <c r="BA174" s="351" t="s">
        <v>3</v>
      </c>
      <c r="BB174" s="311"/>
      <c r="BC174" s="367">
        <f>AW174+AX174</f>
        <v>0</v>
      </c>
      <c r="BD174" s="367">
        <f>H174/(100-BE174)*100</f>
        <v>0</v>
      </c>
      <c r="BE174" s="367">
        <v>0</v>
      </c>
      <c r="BF174" s="367">
        <f>M174</f>
        <v>0</v>
      </c>
      <c r="BG174" s="311"/>
      <c r="BH174" s="367">
        <f>G174*AO174</f>
        <v>0</v>
      </c>
      <c r="BI174" s="367">
        <f>G174*AP174</f>
        <v>0</v>
      </c>
      <c r="BJ174" s="367">
        <f>G174*H174</f>
        <v>0</v>
      </c>
      <c r="BK174" s="367"/>
      <c r="BL174" s="367">
        <v>766</v>
      </c>
      <c r="BM174" s="311"/>
      <c r="BN174" s="311"/>
      <c r="BO174" s="311"/>
      <c r="BP174" s="311"/>
      <c r="BQ174" s="311"/>
      <c r="BR174" s="311"/>
      <c r="BS174" s="311"/>
      <c r="BT174" s="311"/>
      <c r="BU174" s="311"/>
    </row>
    <row r="175" spans="1:73" ht="13.5" customHeight="1">
      <c r="A175" s="370"/>
      <c r="B175" s="311"/>
      <c r="C175" s="311"/>
      <c r="D175" s="375" t="s">
        <v>298</v>
      </c>
      <c r="E175" s="375"/>
      <c r="F175" s="375"/>
      <c r="G175" s="375"/>
      <c r="H175" s="375"/>
      <c r="I175" s="375"/>
      <c r="J175" s="375"/>
      <c r="K175" s="375"/>
      <c r="L175" s="375"/>
      <c r="M175" s="375"/>
      <c r="N175" s="375"/>
      <c r="O175" s="346"/>
      <c r="P175" s="346"/>
      <c r="Q175" s="346"/>
      <c r="R175" s="346"/>
      <c r="S175" s="346"/>
      <c r="T175" s="346"/>
      <c r="U175" s="346"/>
      <c r="V175" s="346"/>
      <c r="W175" s="346"/>
      <c r="X175" s="346"/>
      <c r="Y175" s="311"/>
      <c r="Z175" s="311"/>
      <c r="AA175" s="311"/>
      <c r="AB175" s="311"/>
      <c r="AC175" s="311"/>
      <c r="AD175" s="311"/>
      <c r="AE175" s="311"/>
      <c r="AF175" s="311"/>
      <c r="AG175" s="311"/>
      <c r="AH175" s="311"/>
      <c r="AI175" s="311"/>
      <c r="AJ175" s="311"/>
      <c r="AK175" s="311"/>
      <c r="AL175" s="311"/>
      <c r="AM175" s="311"/>
      <c r="AN175" s="311"/>
      <c r="AO175" s="311"/>
      <c r="AP175" s="311"/>
      <c r="AQ175" s="311"/>
      <c r="AR175" s="311"/>
      <c r="AS175" s="311"/>
      <c r="AT175" s="311"/>
      <c r="AU175" s="311"/>
      <c r="AV175" s="311"/>
      <c r="AW175" s="311"/>
      <c r="AX175" s="311"/>
      <c r="AY175" s="311"/>
      <c r="AZ175" s="311"/>
      <c r="BA175" s="311"/>
      <c r="BB175" s="311"/>
      <c r="BC175" s="311"/>
      <c r="BD175" s="311"/>
      <c r="BE175" s="311"/>
      <c r="BF175" s="311"/>
      <c r="BG175" s="311"/>
      <c r="BH175" s="311"/>
      <c r="BI175" s="311"/>
      <c r="BJ175" s="311"/>
      <c r="BK175" s="311"/>
      <c r="BL175" s="311"/>
      <c r="BM175" s="311"/>
      <c r="BN175" s="311"/>
      <c r="BO175" s="311"/>
      <c r="BP175" s="311"/>
      <c r="BQ175" s="311"/>
      <c r="BR175" s="311"/>
      <c r="BS175" s="311"/>
      <c r="BT175" s="311"/>
      <c r="BU175" s="311"/>
    </row>
    <row r="176" spans="1:73" ht="15" customHeight="1">
      <c r="A176" s="370"/>
      <c r="B176" s="311"/>
      <c r="C176" s="311"/>
      <c r="D176" s="371" t="s">
        <v>2</v>
      </c>
      <c r="E176" s="372"/>
      <c r="F176" s="311"/>
      <c r="G176" s="373">
        <v>1</v>
      </c>
      <c r="H176" s="311"/>
      <c r="I176" s="311"/>
      <c r="J176" s="311"/>
      <c r="K176" s="311"/>
      <c r="L176" s="311"/>
      <c r="M176" s="311"/>
      <c r="N176" s="374"/>
      <c r="O176" s="346"/>
      <c r="P176" s="346"/>
      <c r="Q176" s="346"/>
      <c r="R176" s="346"/>
      <c r="S176" s="346"/>
      <c r="T176" s="346"/>
      <c r="U176" s="346"/>
      <c r="V176" s="346"/>
      <c r="W176" s="346"/>
      <c r="X176" s="346"/>
      <c r="Y176" s="311"/>
      <c r="Z176" s="311"/>
      <c r="AA176" s="311"/>
      <c r="AB176" s="311"/>
      <c r="AC176" s="311"/>
      <c r="AD176" s="311"/>
      <c r="AE176" s="311"/>
      <c r="AF176" s="311"/>
      <c r="AG176" s="311"/>
      <c r="AH176" s="311"/>
      <c r="AI176" s="311"/>
      <c r="AJ176" s="311"/>
      <c r="AK176" s="311"/>
      <c r="AL176" s="311"/>
      <c r="AM176" s="311"/>
      <c r="AN176" s="311"/>
      <c r="AO176" s="311"/>
      <c r="AP176" s="311"/>
      <c r="AQ176" s="311"/>
      <c r="AR176" s="311"/>
      <c r="AS176" s="311"/>
      <c r="AT176" s="311"/>
      <c r="AU176" s="311"/>
      <c r="AV176" s="311"/>
      <c r="AW176" s="311"/>
      <c r="AX176" s="311"/>
      <c r="AY176" s="311"/>
      <c r="AZ176" s="311"/>
      <c r="BA176" s="311"/>
      <c r="BB176" s="311"/>
      <c r="BC176" s="311"/>
      <c r="BD176" s="311"/>
      <c r="BE176" s="311"/>
      <c r="BF176" s="311"/>
      <c r="BG176" s="311"/>
      <c r="BH176" s="311"/>
      <c r="BI176" s="311"/>
      <c r="BJ176" s="311"/>
      <c r="BK176" s="311"/>
      <c r="BL176" s="311"/>
      <c r="BM176" s="311"/>
      <c r="BN176" s="311"/>
      <c r="BO176" s="311"/>
      <c r="BP176" s="311"/>
      <c r="BQ176" s="311"/>
      <c r="BR176" s="311"/>
      <c r="BS176" s="311"/>
      <c r="BT176" s="311"/>
      <c r="BU176" s="311"/>
    </row>
    <row r="177" spans="1:73" ht="15" customHeight="1">
      <c r="A177" s="365" t="s">
        <v>297</v>
      </c>
      <c r="B177" s="366" t="s">
        <v>7</v>
      </c>
      <c r="C177" s="366" t="s">
        <v>296</v>
      </c>
      <c r="D177" s="304" t="s">
        <v>295</v>
      </c>
      <c r="E177" s="304"/>
      <c r="F177" s="366" t="s">
        <v>37</v>
      </c>
      <c r="G177" s="367">
        <f>'[2]Stavební rozpočet'!G157</f>
        <v>1.60954</v>
      </c>
      <c r="H177" s="328">
        <v>0</v>
      </c>
      <c r="I177" s="367">
        <f>G177*AO177</f>
        <v>0</v>
      </c>
      <c r="J177" s="367">
        <f>G177*AP177</f>
        <v>0</v>
      </c>
      <c r="K177" s="367">
        <f>G177*H177</f>
        <v>0</v>
      </c>
      <c r="L177" s="367">
        <f>'[2]Stavební rozpočet'!L157</f>
        <v>0</v>
      </c>
      <c r="M177" s="367">
        <f>G177*L177</f>
        <v>0</v>
      </c>
      <c r="N177" s="368" t="s">
        <v>36</v>
      </c>
      <c r="O177" s="346"/>
      <c r="P177" s="346"/>
      <c r="Q177" s="346"/>
      <c r="R177" s="346"/>
      <c r="S177" s="346"/>
      <c r="T177" s="346"/>
      <c r="U177" s="346"/>
      <c r="V177" s="346"/>
      <c r="W177" s="346"/>
      <c r="X177" s="346"/>
      <c r="Y177" s="311"/>
      <c r="Z177" s="367">
        <f>IF(AQ177="5",BJ177,0)</f>
        <v>0</v>
      </c>
      <c r="AA177" s="311"/>
      <c r="AB177" s="367">
        <f>IF(AQ177="1",BH177,0)</f>
        <v>0</v>
      </c>
      <c r="AC177" s="367">
        <f>IF(AQ177="1",BI177,0)</f>
        <v>0</v>
      </c>
      <c r="AD177" s="367">
        <f>IF(AQ177="7",BH177,0)</f>
        <v>0</v>
      </c>
      <c r="AE177" s="367">
        <f>IF(AQ177="7",BI177,0)</f>
        <v>0</v>
      </c>
      <c r="AF177" s="367">
        <f>IF(AQ177="2",BH177,0)</f>
        <v>0</v>
      </c>
      <c r="AG177" s="367">
        <f>IF(AQ177="2",BI177,0)</f>
        <v>0</v>
      </c>
      <c r="AH177" s="367">
        <f>IF(AQ177="0",BJ177,0)</f>
        <v>0</v>
      </c>
      <c r="AI177" s="351" t="s">
        <v>7</v>
      </c>
      <c r="AJ177" s="367">
        <f>IF(AN177=0,K177,0)</f>
        <v>0</v>
      </c>
      <c r="AK177" s="367">
        <f>IF(AN177=15,K177,0)</f>
        <v>0</v>
      </c>
      <c r="AL177" s="367">
        <f>IF(AN177=21,K177,0)</f>
        <v>0</v>
      </c>
      <c r="AM177" s="311"/>
      <c r="AN177" s="367">
        <v>21</v>
      </c>
      <c r="AO177" s="367">
        <f>H177*0</f>
        <v>0</v>
      </c>
      <c r="AP177" s="367">
        <f>H177*(1-0)</f>
        <v>0</v>
      </c>
      <c r="AQ177" s="369" t="s">
        <v>35</v>
      </c>
      <c r="AR177" s="311"/>
      <c r="AS177" s="311"/>
      <c r="AT177" s="311"/>
      <c r="AU177" s="311"/>
      <c r="AV177" s="367">
        <f>AW177+AX177</f>
        <v>0</v>
      </c>
      <c r="AW177" s="367">
        <f>G177*AO177</f>
        <v>0</v>
      </c>
      <c r="AX177" s="367">
        <f>G177*AP177</f>
        <v>0</v>
      </c>
      <c r="AY177" s="369" t="s">
        <v>294</v>
      </c>
      <c r="AZ177" s="369" t="s">
        <v>281</v>
      </c>
      <c r="BA177" s="351" t="s">
        <v>3</v>
      </c>
      <c r="BB177" s="311"/>
      <c r="BC177" s="367">
        <f>AW177+AX177</f>
        <v>0</v>
      </c>
      <c r="BD177" s="367">
        <f>H177/(100-BE177)*100</f>
        <v>0</v>
      </c>
      <c r="BE177" s="367">
        <v>0</v>
      </c>
      <c r="BF177" s="367">
        <f>M177</f>
        <v>0</v>
      </c>
      <c r="BG177" s="311"/>
      <c r="BH177" s="367">
        <f>G177*AO177</f>
        <v>0</v>
      </c>
      <c r="BI177" s="367">
        <f>G177*AP177</f>
        <v>0</v>
      </c>
      <c r="BJ177" s="367">
        <f>G177*H177</f>
        <v>0</v>
      </c>
      <c r="BK177" s="367"/>
      <c r="BL177" s="367">
        <v>766</v>
      </c>
      <c r="BM177" s="311"/>
      <c r="BN177" s="311"/>
      <c r="BO177" s="311"/>
      <c r="BP177" s="311"/>
      <c r="BQ177" s="311"/>
      <c r="BR177" s="311"/>
      <c r="BS177" s="311"/>
      <c r="BT177" s="311"/>
      <c r="BU177" s="311"/>
    </row>
    <row r="178" spans="1:73" ht="15" customHeight="1">
      <c r="A178" s="360"/>
      <c r="B178" s="361" t="s">
        <v>7</v>
      </c>
      <c r="C178" s="361" t="s">
        <v>293</v>
      </c>
      <c r="D178" s="362" t="s">
        <v>292</v>
      </c>
      <c r="E178" s="362"/>
      <c r="F178" s="363" t="s">
        <v>12</v>
      </c>
      <c r="G178" s="363" t="s">
        <v>12</v>
      </c>
      <c r="H178" s="363" t="s">
        <v>12</v>
      </c>
      <c r="I178" s="347">
        <f>SUM(I179:I182)</f>
        <v>0</v>
      </c>
      <c r="J178" s="347">
        <f>SUM(J179:J182)</f>
        <v>0</v>
      </c>
      <c r="K178" s="347">
        <f>SUM(K179:K182)</f>
        <v>0</v>
      </c>
      <c r="L178" s="351"/>
      <c r="M178" s="347">
        <f>SUM(M179:M182)</f>
        <v>0.015059999999999999</v>
      </c>
      <c r="N178" s="364"/>
      <c r="O178" s="346"/>
      <c r="P178" s="346"/>
      <c r="Q178" s="346"/>
      <c r="R178" s="346"/>
      <c r="S178" s="346"/>
      <c r="T178" s="346"/>
      <c r="U178" s="346"/>
      <c r="V178" s="346"/>
      <c r="W178" s="346"/>
      <c r="X178" s="346"/>
      <c r="Y178" s="311"/>
      <c r="Z178" s="311"/>
      <c r="AA178" s="311"/>
      <c r="AB178" s="311"/>
      <c r="AC178" s="311"/>
      <c r="AD178" s="311"/>
      <c r="AE178" s="311"/>
      <c r="AF178" s="311"/>
      <c r="AG178" s="311"/>
      <c r="AH178" s="311"/>
      <c r="AI178" s="351" t="s">
        <v>7</v>
      </c>
      <c r="AJ178" s="311"/>
      <c r="AK178" s="311"/>
      <c r="AL178" s="311"/>
      <c r="AM178" s="311"/>
      <c r="AN178" s="311"/>
      <c r="AO178" s="311"/>
      <c r="AP178" s="311"/>
      <c r="AQ178" s="311"/>
      <c r="AR178" s="311"/>
      <c r="AS178" s="347">
        <f>SUM(AJ179:AJ182)</f>
        <v>0</v>
      </c>
      <c r="AT178" s="347">
        <f>SUM(AK179:AK182)</f>
        <v>0</v>
      </c>
      <c r="AU178" s="347">
        <f>SUM(AL179:AL182)</f>
        <v>0</v>
      </c>
      <c r="AV178" s="311"/>
      <c r="AW178" s="311"/>
      <c r="AX178" s="311"/>
      <c r="AY178" s="311"/>
      <c r="AZ178" s="311"/>
      <c r="BA178" s="311"/>
      <c r="BB178" s="311"/>
      <c r="BC178" s="311"/>
      <c r="BD178" s="311"/>
      <c r="BE178" s="311"/>
      <c r="BF178" s="311"/>
      <c r="BG178" s="311"/>
      <c r="BH178" s="311"/>
      <c r="BI178" s="311"/>
      <c r="BJ178" s="311"/>
      <c r="BK178" s="311"/>
      <c r="BL178" s="311"/>
      <c r="BM178" s="311"/>
      <c r="BN178" s="311"/>
      <c r="BO178" s="311"/>
      <c r="BP178" s="311"/>
      <c r="BQ178" s="311"/>
      <c r="BR178" s="311"/>
      <c r="BS178" s="311"/>
      <c r="BT178" s="311"/>
      <c r="BU178" s="311"/>
    </row>
    <row r="179" spans="1:73" ht="15" customHeight="1">
      <c r="A179" s="365" t="s">
        <v>291</v>
      </c>
      <c r="B179" s="366" t="s">
        <v>7</v>
      </c>
      <c r="C179" s="366" t="s">
        <v>290</v>
      </c>
      <c r="D179" s="304" t="s">
        <v>289</v>
      </c>
      <c r="E179" s="304"/>
      <c r="F179" s="366" t="s">
        <v>143</v>
      </c>
      <c r="G179" s="367">
        <f>'[2]Stavební rozpočet'!G159</f>
        <v>15</v>
      </c>
      <c r="H179" s="328">
        <v>0</v>
      </c>
      <c r="I179" s="367">
        <f>G179*AO179</f>
        <v>0</v>
      </c>
      <c r="J179" s="367">
        <f>G179*AP179</f>
        <v>0</v>
      </c>
      <c r="K179" s="367">
        <f>G179*H179</f>
        <v>0</v>
      </c>
      <c r="L179" s="367">
        <f>'[2]Stavební rozpočet'!L159</f>
        <v>0.001</v>
      </c>
      <c r="M179" s="367">
        <f>G179*L179</f>
        <v>0.015</v>
      </c>
      <c r="N179" s="368" t="s">
        <v>36</v>
      </c>
      <c r="O179" s="346"/>
      <c r="P179" s="346"/>
      <c r="Q179" s="346"/>
      <c r="R179" s="346"/>
      <c r="S179" s="346"/>
      <c r="T179" s="346"/>
      <c r="U179" s="346"/>
      <c r="V179" s="346"/>
      <c r="W179" s="346"/>
      <c r="X179" s="346"/>
      <c r="Y179" s="311"/>
      <c r="Z179" s="367">
        <f>IF(AQ179="5",BJ179,0)</f>
        <v>0</v>
      </c>
      <c r="AA179" s="311"/>
      <c r="AB179" s="367">
        <f>IF(AQ179="1",BH179,0)</f>
        <v>0</v>
      </c>
      <c r="AC179" s="367">
        <f>IF(AQ179="1",BI179,0)</f>
        <v>0</v>
      </c>
      <c r="AD179" s="367">
        <f>IF(AQ179="7",BH179,0)</f>
        <v>0</v>
      </c>
      <c r="AE179" s="367">
        <f>IF(AQ179="7",BI179,0)</f>
        <v>0</v>
      </c>
      <c r="AF179" s="367">
        <f>IF(AQ179="2",BH179,0)</f>
        <v>0</v>
      </c>
      <c r="AG179" s="367">
        <f>IF(AQ179="2",BI179,0)</f>
        <v>0</v>
      </c>
      <c r="AH179" s="367">
        <f>IF(AQ179="0",BJ179,0)</f>
        <v>0</v>
      </c>
      <c r="AI179" s="351" t="s">
        <v>7</v>
      </c>
      <c r="AJ179" s="367">
        <f>IF(AN179=0,K179,0)</f>
        <v>0</v>
      </c>
      <c r="AK179" s="367">
        <f>IF(AN179=15,K179,0)</f>
        <v>0</v>
      </c>
      <c r="AL179" s="367">
        <f>IF(AN179=21,K179,0)</f>
        <v>0</v>
      </c>
      <c r="AM179" s="311"/>
      <c r="AN179" s="367">
        <v>21</v>
      </c>
      <c r="AO179" s="367">
        <f>H179*0.613648</f>
        <v>0</v>
      </c>
      <c r="AP179" s="367">
        <f>H179*(1-0.613648)</f>
        <v>0</v>
      </c>
      <c r="AQ179" s="369" t="s">
        <v>178</v>
      </c>
      <c r="AR179" s="311"/>
      <c r="AS179" s="311"/>
      <c r="AT179" s="311"/>
      <c r="AU179" s="311"/>
      <c r="AV179" s="367">
        <f>AW179+AX179</f>
        <v>0</v>
      </c>
      <c r="AW179" s="367">
        <f>G179*AO179</f>
        <v>0</v>
      </c>
      <c r="AX179" s="367">
        <f>G179*AP179</f>
        <v>0</v>
      </c>
      <c r="AY179" s="369" t="s">
        <v>282</v>
      </c>
      <c r="AZ179" s="369" t="s">
        <v>281</v>
      </c>
      <c r="BA179" s="351" t="s">
        <v>3</v>
      </c>
      <c r="BB179" s="311"/>
      <c r="BC179" s="367">
        <f>AW179+AX179</f>
        <v>0</v>
      </c>
      <c r="BD179" s="367">
        <f>H179/(100-BE179)*100</f>
        <v>0</v>
      </c>
      <c r="BE179" s="367">
        <v>0</v>
      </c>
      <c r="BF179" s="367">
        <f>M179</f>
        <v>0.015</v>
      </c>
      <c r="BG179" s="311"/>
      <c r="BH179" s="367">
        <f>G179*AO179</f>
        <v>0</v>
      </c>
      <c r="BI179" s="367">
        <f>G179*AP179</f>
        <v>0</v>
      </c>
      <c r="BJ179" s="367">
        <f>G179*H179</f>
        <v>0</v>
      </c>
      <c r="BK179" s="367"/>
      <c r="BL179" s="367">
        <v>767</v>
      </c>
      <c r="BM179" s="311"/>
      <c r="BN179" s="311"/>
      <c r="BO179" s="311"/>
      <c r="BP179" s="311"/>
      <c r="BQ179" s="311"/>
      <c r="BR179" s="311"/>
      <c r="BS179" s="311"/>
      <c r="BT179" s="311"/>
      <c r="BU179" s="311"/>
    </row>
    <row r="180" spans="1:73" ht="13.5" customHeight="1">
      <c r="A180" s="370"/>
      <c r="B180" s="311"/>
      <c r="C180" s="311"/>
      <c r="D180" s="375" t="s">
        <v>288</v>
      </c>
      <c r="E180" s="375"/>
      <c r="F180" s="375"/>
      <c r="G180" s="375"/>
      <c r="H180" s="375"/>
      <c r="I180" s="375"/>
      <c r="J180" s="375"/>
      <c r="K180" s="375"/>
      <c r="L180" s="375"/>
      <c r="M180" s="375"/>
      <c r="N180" s="375"/>
      <c r="O180" s="346"/>
      <c r="P180" s="346"/>
      <c r="Q180" s="346"/>
      <c r="R180" s="346"/>
      <c r="S180" s="346"/>
      <c r="T180" s="346"/>
      <c r="U180" s="346"/>
      <c r="V180" s="346"/>
      <c r="W180" s="346"/>
      <c r="X180" s="346"/>
      <c r="Y180" s="311"/>
      <c r="Z180" s="311"/>
      <c r="AA180" s="311"/>
      <c r="AB180" s="311"/>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1"/>
      <c r="AY180" s="311"/>
      <c r="AZ180" s="311"/>
      <c r="BA180" s="311"/>
      <c r="BB180" s="311"/>
      <c r="BC180" s="311"/>
      <c r="BD180" s="311"/>
      <c r="BE180" s="311"/>
      <c r="BF180" s="311"/>
      <c r="BG180" s="311"/>
      <c r="BH180" s="311"/>
      <c r="BI180" s="311"/>
      <c r="BJ180" s="311"/>
      <c r="BK180" s="311"/>
      <c r="BL180" s="311"/>
      <c r="BM180" s="311"/>
      <c r="BN180" s="311"/>
      <c r="BO180" s="311"/>
      <c r="BP180" s="311"/>
      <c r="BQ180" s="311"/>
      <c r="BR180" s="311"/>
      <c r="BS180" s="311"/>
      <c r="BT180" s="311"/>
      <c r="BU180" s="311"/>
    </row>
    <row r="181" spans="1:73" ht="15" customHeight="1">
      <c r="A181" s="370"/>
      <c r="B181" s="311"/>
      <c r="C181" s="311"/>
      <c r="D181" s="371" t="s">
        <v>287</v>
      </c>
      <c r="E181" s="372"/>
      <c r="F181" s="311"/>
      <c r="G181" s="373">
        <v>15.000000000000002</v>
      </c>
      <c r="H181" s="311"/>
      <c r="I181" s="311"/>
      <c r="J181" s="311"/>
      <c r="K181" s="311"/>
      <c r="L181" s="311"/>
      <c r="M181" s="311"/>
      <c r="N181" s="374"/>
      <c r="O181" s="346"/>
      <c r="P181" s="346"/>
      <c r="Q181" s="346"/>
      <c r="R181" s="346"/>
      <c r="S181" s="346"/>
      <c r="T181" s="346"/>
      <c r="U181" s="346"/>
      <c r="V181" s="346"/>
      <c r="W181" s="346"/>
      <c r="X181" s="346"/>
      <c r="Y181" s="311"/>
      <c r="Z181" s="311"/>
      <c r="AA181" s="311"/>
      <c r="AB181" s="311"/>
      <c r="AC181" s="311"/>
      <c r="AD181" s="311"/>
      <c r="AE181" s="311"/>
      <c r="AF181" s="311"/>
      <c r="AG181" s="311"/>
      <c r="AH181" s="311"/>
      <c r="AI181" s="311"/>
      <c r="AJ181" s="311"/>
      <c r="AK181" s="311"/>
      <c r="AL181" s="311"/>
      <c r="AM181" s="311"/>
      <c r="AN181" s="311"/>
      <c r="AO181" s="311"/>
      <c r="AP181" s="311"/>
      <c r="AQ181" s="311"/>
      <c r="AR181" s="311"/>
      <c r="AS181" s="311"/>
      <c r="AT181" s="311"/>
      <c r="AU181" s="311"/>
      <c r="AV181" s="311"/>
      <c r="AW181" s="311"/>
      <c r="AX181" s="311"/>
      <c r="AY181" s="311"/>
      <c r="AZ181" s="311"/>
      <c r="BA181" s="311"/>
      <c r="BB181" s="311"/>
      <c r="BC181" s="311"/>
      <c r="BD181" s="311"/>
      <c r="BE181" s="311"/>
      <c r="BF181" s="311"/>
      <c r="BG181" s="311"/>
      <c r="BH181" s="311"/>
      <c r="BI181" s="311"/>
      <c r="BJ181" s="311"/>
      <c r="BK181" s="311"/>
      <c r="BL181" s="311"/>
      <c r="BM181" s="311"/>
      <c r="BN181" s="311"/>
      <c r="BO181" s="311"/>
      <c r="BP181" s="311"/>
      <c r="BQ181" s="311"/>
      <c r="BR181" s="311"/>
      <c r="BS181" s="311"/>
      <c r="BT181" s="311"/>
      <c r="BU181" s="311"/>
    </row>
    <row r="182" spans="1:73" ht="15" customHeight="1">
      <c r="A182" s="365" t="s">
        <v>286</v>
      </c>
      <c r="B182" s="366" t="s">
        <v>7</v>
      </c>
      <c r="C182" s="366" t="s">
        <v>285</v>
      </c>
      <c r="D182" s="304" t="s">
        <v>284</v>
      </c>
      <c r="E182" s="304"/>
      <c r="F182" s="366" t="s">
        <v>283</v>
      </c>
      <c r="G182" s="367">
        <f>'[2]Stavební rozpočet'!G161</f>
        <v>1</v>
      </c>
      <c r="H182" s="328">
        <v>0</v>
      </c>
      <c r="I182" s="367">
        <f>G182*AO182</f>
        <v>0</v>
      </c>
      <c r="J182" s="367">
        <f>G182*AP182</f>
        <v>0</v>
      </c>
      <c r="K182" s="367">
        <f>G182*H182</f>
        <v>0</v>
      </c>
      <c r="L182" s="367">
        <f>'[2]Stavební rozpočet'!L161</f>
        <v>6E-05</v>
      </c>
      <c r="M182" s="367">
        <f>G182*L182</f>
        <v>6E-05</v>
      </c>
      <c r="N182" s="368" t="s">
        <v>36</v>
      </c>
      <c r="O182" s="346"/>
      <c r="P182" s="346"/>
      <c r="Q182" s="346"/>
      <c r="R182" s="346"/>
      <c r="S182" s="346"/>
      <c r="T182" s="346"/>
      <c r="U182" s="346"/>
      <c r="V182" s="346"/>
      <c r="W182" s="346"/>
      <c r="X182" s="346"/>
      <c r="Y182" s="311"/>
      <c r="Z182" s="367">
        <f>IF(AQ182="5",BJ182,0)</f>
        <v>0</v>
      </c>
      <c r="AA182" s="311"/>
      <c r="AB182" s="367">
        <f>IF(AQ182="1",BH182,0)</f>
        <v>0</v>
      </c>
      <c r="AC182" s="367">
        <f>IF(AQ182="1",BI182,0)</f>
        <v>0</v>
      </c>
      <c r="AD182" s="367">
        <f>IF(AQ182="7",BH182,0)</f>
        <v>0</v>
      </c>
      <c r="AE182" s="367">
        <f>IF(AQ182="7",BI182,0)</f>
        <v>0</v>
      </c>
      <c r="AF182" s="367">
        <f>IF(AQ182="2",BH182,0)</f>
        <v>0</v>
      </c>
      <c r="AG182" s="367">
        <f>IF(AQ182="2",BI182,0)</f>
        <v>0</v>
      </c>
      <c r="AH182" s="367">
        <f>IF(AQ182="0",BJ182,0)</f>
        <v>0</v>
      </c>
      <c r="AI182" s="351" t="s">
        <v>7</v>
      </c>
      <c r="AJ182" s="367">
        <f>IF(AN182=0,K182,0)</f>
        <v>0</v>
      </c>
      <c r="AK182" s="367">
        <f>IF(AN182=15,K182,0)</f>
        <v>0</v>
      </c>
      <c r="AL182" s="367">
        <f>IF(AN182=21,K182,0)</f>
        <v>0</v>
      </c>
      <c r="AM182" s="311"/>
      <c r="AN182" s="367">
        <v>21</v>
      </c>
      <c r="AO182" s="367">
        <f>H182*0.0951152941176471</f>
        <v>0</v>
      </c>
      <c r="AP182" s="367">
        <f>H182*(1-0.0951152941176471)</f>
        <v>0</v>
      </c>
      <c r="AQ182" s="369" t="s">
        <v>178</v>
      </c>
      <c r="AR182" s="311"/>
      <c r="AS182" s="311"/>
      <c r="AT182" s="311"/>
      <c r="AU182" s="311"/>
      <c r="AV182" s="367">
        <f>AW182+AX182</f>
        <v>0</v>
      </c>
      <c r="AW182" s="367">
        <f>G182*AO182</f>
        <v>0</v>
      </c>
      <c r="AX182" s="367">
        <f>G182*AP182</f>
        <v>0</v>
      </c>
      <c r="AY182" s="369" t="s">
        <v>282</v>
      </c>
      <c r="AZ182" s="369" t="s">
        <v>281</v>
      </c>
      <c r="BA182" s="351" t="s">
        <v>3</v>
      </c>
      <c r="BB182" s="311"/>
      <c r="BC182" s="367">
        <f>AW182+AX182</f>
        <v>0</v>
      </c>
      <c r="BD182" s="367">
        <f>H182/(100-BE182)*100</f>
        <v>0</v>
      </c>
      <c r="BE182" s="367">
        <v>0</v>
      </c>
      <c r="BF182" s="367">
        <f>M182</f>
        <v>6E-05</v>
      </c>
      <c r="BG182" s="311"/>
      <c r="BH182" s="367">
        <f>G182*AO182</f>
        <v>0</v>
      </c>
      <c r="BI182" s="367">
        <f>G182*AP182</f>
        <v>0</v>
      </c>
      <c r="BJ182" s="367">
        <f>G182*H182</f>
        <v>0</v>
      </c>
      <c r="BK182" s="367"/>
      <c r="BL182" s="367">
        <v>767</v>
      </c>
      <c r="BM182" s="311"/>
      <c r="BN182" s="311"/>
      <c r="BO182" s="311"/>
      <c r="BP182" s="311"/>
      <c r="BQ182" s="311"/>
      <c r="BR182" s="311"/>
      <c r="BS182" s="311"/>
      <c r="BT182" s="311"/>
      <c r="BU182" s="311"/>
    </row>
    <row r="183" spans="1:73" ht="13.5" customHeight="1">
      <c r="A183" s="370"/>
      <c r="B183" s="311"/>
      <c r="C183" s="311"/>
      <c r="D183" s="375" t="s">
        <v>280</v>
      </c>
      <c r="E183" s="375"/>
      <c r="F183" s="375"/>
      <c r="G183" s="375"/>
      <c r="H183" s="375"/>
      <c r="I183" s="375"/>
      <c r="J183" s="375"/>
      <c r="K183" s="375"/>
      <c r="L183" s="375"/>
      <c r="M183" s="375"/>
      <c r="N183" s="375"/>
      <c r="O183" s="346"/>
      <c r="P183" s="346"/>
      <c r="Q183" s="346"/>
      <c r="R183" s="346"/>
      <c r="S183" s="346"/>
      <c r="T183" s="346"/>
      <c r="U183" s="346"/>
      <c r="V183" s="346"/>
      <c r="W183" s="346"/>
      <c r="X183" s="346"/>
      <c r="Y183" s="311"/>
      <c r="Z183" s="311"/>
      <c r="AA183" s="311"/>
      <c r="AB183" s="311"/>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1"/>
      <c r="AY183" s="311"/>
      <c r="AZ183" s="311"/>
      <c r="BA183" s="311"/>
      <c r="BB183" s="311"/>
      <c r="BC183" s="311"/>
      <c r="BD183" s="311"/>
      <c r="BE183" s="311"/>
      <c r="BF183" s="311"/>
      <c r="BG183" s="311"/>
      <c r="BH183" s="311"/>
      <c r="BI183" s="311"/>
      <c r="BJ183" s="311"/>
      <c r="BK183" s="311"/>
      <c r="BL183" s="311"/>
      <c r="BM183" s="311"/>
      <c r="BN183" s="311"/>
      <c r="BO183" s="311"/>
      <c r="BP183" s="311"/>
      <c r="BQ183" s="311"/>
      <c r="BR183" s="311"/>
      <c r="BS183" s="311"/>
      <c r="BT183" s="311"/>
      <c r="BU183" s="311"/>
    </row>
    <row r="184" spans="1:73" ht="15" customHeight="1">
      <c r="A184" s="370"/>
      <c r="B184" s="311"/>
      <c r="C184" s="311"/>
      <c r="D184" s="371" t="s">
        <v>2</v>
      </c>
      <c r="E184" s="372"/>
      <c r="F184" s="311"/>
      <c r="G184" s="373">
        <v>1</v>
      </c>
      <c r="H184" s="311"/>
      <c r="I184" s="311"/>
      <c r="J184" s="311"/>
      <c r="K184" s="311"/>
      <c r="L184" s="311"/>
      <c r="M184" s="311"/>
      <c r="N184" s="374"/>
      <c r="O184" s="346"/>
      <c r="P184" s="346"/>
      <c r="Q184" s="346"/>
      <c r="R184" s="346"/>
      <c r="S184" s="346"/>
      <c r="T184" s="346"/>
      <c r="U184" s="346"/>
      <c r="V184" s="346"/>
      <c r="W184" s="346"/>
      <c r="X184" s="346"/>
      <c r="Y184" s="311"/>
      <c r="Z184" s="311"/>
      <c r="AA184" s="311"/>
      <c r="AB184" s="311"/>
      <c r="AC184" s="311"/>
      <c r="AD184" s="311"/>
      <c r="AE184" s="311"/>
      <c r="AF184" s="311"/>
      <c r="AG184" s="311"/>
      <c r="AH184" s="311"/>
      <c r="AI184" s="311"/>
      <c r="AJ184" s="311"/>
      <c r="AK184" s="311"/>
      <c r="AL184" s="311"/>
      <c r="AM184" s="311"/>
      <c r="AN184" s="311"/>
      <c r="AO184" s="311"/>
      <c r="AP184" s="311"/>
      <c r="AQ184" s="311"/>
      <c r="AR184" s="311"/>
      <c r="AS184" s="311"/>
      <c r="AT184" s="311"/>
      <c r="AU184" s="311"/>
      <c r="AV184" s="311"/>
      <c r="AW184" s="311"/>
      <c r="AX184" s="311"/>
      <c r="AY184" s="311"/>
      <c r="AZ184" s="311"/>
      <c r="BA184" s="311"/>
      <c r="BB184" s="311"/>
      <c r="BC184" s="311"/>
      <c r="BD184" s="311"/>
      <c r="BE184" s="311"/>
      <c r="BF184" s="311"/>
      <c r="BG184" s="311"/>
      <c r="BH184" s="311"/>
      <c r="BI184" s="311"/>
      <c r="BJ184" s="311"/>
      <c r="BK184" s="311"/>
      <c r="BL184" s="311"/>
      <c r="BM184" s="311"/>
      <c r="BN184" s="311"/>
      <c r="BO184" s="311"/>
      <c r="BP184" s="311"/>
      <c r="BQ184" s="311"/>
      <c r="BR184" s="311"/>
      <c r="BS184" s="311"/>
      <c r="BT184" s="311"/>
      <c r="BU184" s="311"/>
    </row>
    <row r="185" spans="1:73" ht="15" customHeight="1">
      <c r="A185" s="360"/>
      <c r="B185" s="361" t="s">
        <v>7</v>
      </c>
      <c r="C185" s="361" t="s">
        <v>279</v>
      </c>
      <c r="D185" s="362" t="s">
        <v>278</v>
      </c>
      <c r="E185" s="362"/>
      <c r="F185" s="363" t="s">
        <v>12</v>
      </c>
      <c r="G185" s="363" t="s">
        <v>12</v>
      </c>
      <c r="H185" s="363" t="s">
        <v>12</v>
      </c>
      <c r="I185" s="347">
        <f>SUM(I186:I205)</f>
        <v>0</v>
      </c>
      <c r="J185" s="347">
        <f>SUM(J186:J205)</f>
        <v>0</v>
      </c>
      <c r="K185" s="347">
        <f>SUM(K186:K205)</f>
        <v>0</v>
      </c>
      <c r="L185" s="351"/>
      <c r="M185" s="347">
        <f>SUM(M186:M205)</f>
        <v>6.6322155600000015</v>
      </c>
      <c r="N185" s="364"/>
      <c r="O185" s="346"/>
      <c r="P185" s="346"/>
      <c r="Q185" s="346"/>
      <c r="R185" s="346"/>
      <c r="S185" s="346"/>
      <c r="T185" s="346"/>
      <c r="U185" s="346"/>
      <c r="V185" s="346"/>
      <c r="W185" s="346"/>
      <c r="X185" s="346"/>
      <c r="Y185" s="311"/>
      <c r="Z185" s="311"/>
      <c r="AA185" s="311"/>
      <c r="AB185" s="311"/>
      <c r="AC185" s="311"/>
      <c r="AD185" s="311"/>
      <c r="AE185" s="311"/>
      <c r="AF185" s="311"/>
      <c r="AG185" s="311"/>
      <c r="AH185" s="311"/>
      <c r="AI185" s="351" t="s">
        <v>7</v>
      </c>
      <c r="AJ185" s="311"/>
      <c r="AK185" s="311"/>
      <c r="AL185" s="311"/>
      <c r="AM185" s="311"/>
      <c r="AN185" s="311"/>
      <c r="AO185" s="311"/>
      <c r="AP185" s="311"/>
      <c r="AQ185" s="311"/>
      <c r="AR185" s="311"/>
      <c r="AS185" s="347">
        <f>SUM(AJ186:AJ205)</f>
        <v>0</v>
      </c>
      <c r="AT185" s="347">
        <f>SUM(AK186:AK205)</f>
        <v>0</v>
      </c>
      <c r="AU185" s="347">
        <f>SUM(AL186:AL205)</f>
        <v>0</v>
      </c>
      <c r="AV185" s="311"/>
      <c r="AW185" s="311"/>
      <c r="AX185" s="311"/>
      <c r="AY185" s="311"/>
      <c r="AZ185" s="311"/>
      <c r="BA185" s="311"/>
      <c r="BB185" s="311"/>
      <c r="BC185" s="311"/>
      <c r="BD185" s="311"/>
      <c r="BE185" s="311"/>
      <c r="BF185" s="311"/>
      <c r="BG185" s="311"/>
      <c r="BH185" s="311"/>
      <c r="BI185" s="311"/>
      <c r="BJ185" s="311"/>
      <c r="BK185" s="311"/>
      <c r="BL185" s="311"/>
      <c r="BM185" s="311"/>
      <c r="BN185" s="311"/>
      <c r="BO185" s="311"/>
      <c r="BP185" s="311"/>
      <c r="BQ185" s="311"/>
      <c r="BR185" s="311"/>
      <c r="BS185" s="311"/>
      <c r="BT185" s="311"/>
      <c r="BU185" s="311"/>
    </row>
    <row r="186" spans="1:73" ht="15" customHeight="1">
      <c r="A186" s="365" t="s">
        <v>277</v>
      </c>
      <c r="B186" s="366" t="s">
        <v>7</v>
      </c>
      <c r="C186" s="366" t="s">
        <v>276</v>
      </c>
      <c r="D186" s="304" t="s">
        <v>275</v>
      </c>
      <c r="E186" s="304"/>
      <c r="F186" s="366" t="s">
        <v>89</v>
      </c>
      <c r="G186" s="367">
        <f>'[2]Stavební rozpočet'!G164</f>
        <v>160.46</v>
      </c>
      <c r="H186" s="328">
        <v>0</v>
      </c>
      <c r="I186" s="367">
        <f>G186*AO186</f>
        <v>0</v>
      </c>
      <c r="J186" s="367">
        <f>G186*AP186</f>
        <v>0</v>
      </c>
      <c r="K186" s="367">
        <f>G186*H186</f>
        <v>0</v>
      </c>
      <c r="L186" s="367">
        <f>'[2]Stavební rozpočet'!L164</f>
        <v>0.025</v>
      </c>
      <c r="M186" s="367">
        <f>G186*L186</f>
        <v>4.011500000000001</v>
      </c>
      <c r="N186" s="368" t="s">
        <v>36</v>
      </c>
      <c r="O186" s="346"/>
      <c r="P186" s="346"/>
      <c r="Q186" s="346"/>
      <c r="R186" s="346"/>
      <c r="S186" s="346"/>
      <c r="T186" s="346"/>
      <c r="U186" s="346"/>
      <c r="V186" s="346"/>
      <c r="W186" s="346"/>
      <c r="X186" s="346"/>
      <c r="Y186" s="311"/>
      <c r="Z186" s="367">
        <f>IF(AQ186="5",BJ186,0)</f>
        <v>0</v>
      </c>
      <c r="AA186" s="311"/>
      <c r="AB186" s="367">
        <f>IF(AQ186="1",BH186,0)</f>
        <v>0</v>
      </c>
      <c r="AC186" s="367">
        <f>IF(AQ186="1",BI186,0)</f>
        <v>0</v>
      </c>
      <c r="AD186" s="367">
        <f>IF(AQ186="7",BH186,0)</f>
        <v>0</v>
      </c>
      <c r="AE186" s="367">
        <f>IF(AQ186="7",BI186,0)</f>
        <v>0</v>
      </c>
      <c r="AF186" s="367">
        <f>IF(AQ186="2",BH186,0)</f>
        <v>0</v>
      </c>
      <c r="AG186" s="367">
        <f>IF(AQ186="2",BI186,0)</f>
        <v>0</v>
      </c>
      <c r="AH186" s="367">
        <f>IF(AQ186="0",BJ186,0)</f>
        <v>0</v>
      </c>
      <c r="AI186" s="351" t="s">
        <v>7</v>
      </c>
      <c r="AJ186" s="367">
        <f>IF(AN186=0,K186,0)</f>
        <v>0</v>
      </c>
      <c r="AK186" s="367">
        <f>IF(AN186=15,K186,0)</f>
        <v>0</v>
      </c>
      <c r="AL186" s="367">
        <f>IF(AN186=21,K186,0)</f>
        <v>0</v>
      </c>
      <c r="AM186" s="311"/>
      <c r="AN186" s="367">
        <v>21</v>
      </c>
      <c r="AO186" s="367">
        <f>H186*0</f>
        <v>0</v>
      </c>
      <c r="AP186" s="367">
        <f>H186*(1-0)</f>
        <v>0</v>
      </c>
      <c r="AQ186" s="369" t="s">
        <v>178</v>
      </c>
      <c r="AR186" s="311"/>
      <c r="AS186" s="311"/>
      <c r="AT186" s="311"/>
      <c r="AU186" s="311"/>
      <c r="AV186" s="367">
        <f>AW186+AX186</f>
        <v>0</v>
      </c>
      <c r="AW186" s="367">
        <f>G186*AO186</f>
        <v>0</v>
      </c>
      <c r="AX186" s="367">
        <f>G186*AP186</f>
        <v>0</v>
      </c>
      <c r="AY186" s="369" t="s">
        <v>240</v>
      </c>
      <c r="AZ186" s="369" t="s">
        <v>233</v>
      </c>
      <c r="BA186" s="351" t="s">
        <v>3</v>
      </c>
      <c r="BB186" s="311"/>
      <c r="BC186" s="367">
        <f>AW186+AX186</f>
        <v>0</v>
      </c>
      <c r="BD186" s="367">
        <f>H186/(100-BE186)*100</f>
        <v>0</v>
      </c>
      <c r="BE186" s="367">
        <v>0</v>
      </c>
      <c r="BF186" s="367">
        <f>M186</f>
        <v>4.011500000000001</v>
      </c>
      <c r="BG186" s="311"/>
      <c r="BH186" s="367">
        <f>G186*AO186</f>
        <v>0</v>
      </c>
      <c r="BI186" s="367">
        <f>G186*AP186</f>
        <v>0</v>
      </c>
      <c r="BJ186" s="367">
        <f>G186*H186</f>
        <v>0</v>
      </c>
      <c r="BK186" s="367"/>
      <c r="BL186" s="367">
        <v>775</v>
      </c>
      <c r="BM186" s="311"/>
      <c r="BN186" s="311"/>
      <c r="BO186" s="311"/>
      <c r="BP186" s="311"/>
      <c r="BQ186" s="311"/>
      <c r="BR186" s="311"/>
      <c r="BS186" s="311"/>
      <c r="BT186" s="311"/>
      <c r="BU186" s="311"/>
    </row>
    <row r="187" spans="1:73" ht="15" customHeight="1">
      <c r="A187" s="370"/>
      <c r="B187" s="311"/>
      <c r="C187" s="311"/>
      <c r="D187" s="371" t="s">
        <v>274</v>
      </c>
      <c r="E187" s="372"/>
      <c r="F187" s="311"/>
      <c r="G187" s="373">
        <v>160.46</v>
      </c>
      <c r="H187" s="311"/>
      <c r="I187" s="311"/>
      <c r="J187" s="311"/>
      <c r="K187" s="311"/>
      <c r="L187" s="311"/>
      <c r="M187" s="311"/>
      <c r="N187" s="374"/>
      <c r="O187" s="346"/>
      <c r="P187" s="346"/>
      <c r="Q187" s="346"/>
      <c r="R187" s="346"/>
      <c r="S187" s="346"/>
      <c r="T187" s="346"/>
      <c r="U187" s="346"/>
      <c r="V187" s="346"/>
      <c r="W187" s="346"/>
      <c r="X187" s="346"/>
      <c r="Y187" s="311"/>
      <c r="Z187" s="311"/>
      <c r="AA187" s="311"/>
      <c r="AB187" s="311"/>
      <c r="AC187" s="311"/>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1"/>
      <c r="AY187" s="311"/>
      <c r="AZ187" s="311"/>
      <c r="BA187" s="311"/>
      <c r="BB187" s="311"/>
      <c r="BC187" s="311"/>
      <c r="BD187" s="311"/>
      <c r="BE187" s="311"/>
      <c r="BF187" s="311"/>
      <c r="BG187" s="311"/>
      <c r="BH187" s="311"/>
      <c r="BI187" s="311"/>
      <c r="BJ187" s="311"/>
      <c r="BK187" s="311"/>
      <c r="BL187" s="311"/>
      <c r="BM187" s="311"/>
      <c r="BN187" s="311"/>
      <c r="BO187" s="311"/>
      <c r="BP187" s="311"/>
      <c r="BQ187" s="311"/>
      <c r="BR187" s="311"/>
      <c r="BS187" s="311"/>
      <c r="BT187" s="311"/>
      <c r="BU187" s="311"/>
    </row>
    <row r="188" spans="1:73" ht="15" customHeight="1">
      <c r="A188" s="365" t="s">
        <v>273</v>
      </c>
      <c r="B188" s="366" t="s">
        <v>7</v>
      </c>
      <c r="C188" s="366" t="s">
        <v>272</v>
      </c>
      <c r="D188" s="304" t="s">
        <v>271</v>
      </c>
      <c r="E188" s="304"/>
      <c r="F188" s="366" t="s">
        <v>89</v>
      </c>
      <c r="G188" s="367">
        <f>'[2]Stavební rozpočet'!G166</f>
        <v>160.46</v>
      </c>
      <c r="H188" s="328">
        <v>0</v>
      </c>
      <c r="I188" s="367">
        <f>G188*AO188</f>
        <v>0</v>
      </c>
      <c r="J188" s="367">
        <f>G188*AP188</f>
        <v>0</v>
      </c>
      <c r="K188" s="367">
        <f>G188*H188</f>
        <v>0</v>
      </c>
      <c r="L188" s="367">
        <f>'[2]Stavební rozpočet'!L166</f>
        <v>6E-05</v>
      </c>
      <c r="M188" s="367">
        <f>G188*L188</f>
        <v>0.0096276</v>
      </c>
      <c r="N188" s="368" t="s">
        <v>36</v>
      </c>
      <c r="O188" s="346"/>
      <c r="P188" s="346"/>
      <c r="Q188" s="346"/>
      <c r="R188" s="346"/>
      <c r="S188" s="346"/>
      <c r="T188" s="346"/>
      <c r="U188" s="346"/>
      <c r="V188" s="346"/>
      <c r="W188" s="346"/>
      <c r="X188" s="346"/>
      <c r="Y188" s="311"/>
      <c r="Z188" s="367">
        <f>IF(AQ188="5",BJ188,0)</f>
        <v>0</v>
      </c>
      <c r="AA188" s="311"/>
      <c r="AB188" s="367">
        <f>IF(AQ188="1",BH188,0)</f>
        <v>0</v>
      </c>
      <c r="AC188" s="367">
        <f>IF(AQ188="1",BI188,0)</f>
        <v>0</v>
      </c>
      <c r="AD188" s="367">
        <f>IF(AQ188="7",BH188,0)</f>
        <v>0</v>
      </c>
      <c r="AE188" s="367">
        <f>IF(AQ188="7",BI188,0)</f>
        <v>0</v>
      </c>
      <c r="AF188" s="367">
        <f>IF(AQ188="2",BH188,0)</f>
        <v>0</v>
      </c>
      <c r="AG188" s="367">
        <f>IF(AQ188="2",BI188,0)</f>
        <v>0</v>
      </c>
      <c r="AH188" s="367">
        <f>IF(AQ188="0",BJ188,0)</f>
        <v>0</v>
      </c>
      <c r="AI188" s="351" t="s">
        <v>7</v>
      </c>
      <c r="AJ188" s="367">
        <f>IF(AN188=0,K188,0)</f>
        <v>0</v>
      </c>
      <c r="AK188" s="367">
        <f>IF(AN188=15,K188,0)</f>
        <v>0</v>
      </c>
      <c r="AL188" s="367">
        <f>IF(AN188=21,K188,0)</f>
        <v>0</v>
      </c>
      <c r="AM188" s="311"/>
      <c r="AN188" s="367">
        <v>21</v>
      </c>
      <c r="AO188" s="367">
        <f>H188*0.0233005305780508</f>
        <v>0</v>
      </c>
      <c r="AP188" s="367">
        <f>H188*(1-0.0233005305780508)</f>
        <v>0</v>
      </c>
      <c r="AQ188" s="369" t="s">
        <v>178</v>
      </c>
      <c r="AR188" s="311"/>
      <c r="AS188" s="311"/>
      <c r="AT188" s="311"/>
      <c r="AU188" s="311"/>
      <c r="AV188" s="367">
        <f>AW188+AX188</f>
        <v>0</v>
      </c>
      <c r="AW188" s="367">
        <f>G188*AO188</f>
        <v>0</v>
      </c>
      <c r="AX188" s="367">
        <f>G188*AP188</f>
        <v>0</v>
      </c>
      <c r="AY188" s="369" t="s">
        <v>240</v>
      </c>
      <c r="AZ188" s="369" t="s">
        <v>233</v>
      </c>
      <c r="BA188" s="351" t="s">
        <v>3</v>
      </c>
      <c r="BB188" s="311"/>
      <c r="BC188" s="367">
        <f>AW188+AX188</f>
        <v>0</v>
      </c>
      <c r="BD188" s="367">
        <f>H188/(100-BE188)*100</f>
        <v>0</v>
      </c>
      <c r="BE188" s="367">
        <v>0</v>
      </c>
      <c r="BF188" s="367">
        <f>M188</f>
        <v>0.0096276</v>
      </c>
      <c r="BG188" s="311"/>
      <c r="BH188" s="367">
        <f>G188*AO188</f>
        <v>0</v>
      </c>
      <c r="BI188" s="367">
        <f>G188*AP188</f>
        <v>0</v>
      </c>
      <c r="BJ188" s="367">
        <f>G188*H188</f>
        <v>0</v>
      </c>
      <c r="BK188" s="367"/>
      <c r="BL188" s="367">
        <v>775</v>
      </c>
      <c r="BM188" s="311"/>
      <c r="BN188" s="311"/>
      <c r="BO188" s="311"/>
      <c r="BP188" s="311"/>
      <c r="BQ188" s="311"/>
      <c r="BR188" s="311"/>
      <c r="BS188" s="311"/>
      <c r="BT188" s="311"/>
      <c r="BU188" s="311"/>
    </row>
    <row r="189" spans="1:73" ht="15" customHeight="1">
      <c r="A189" s="370"/>
      <c r="B189" s="311"/>
      <c r="C189" s="311"/>
      <c r="D189" s="371" t="s">
        <v>263</v>
      </c>
      <c r="E189" s="372"/>
      <c r="F189" s="311"/>
      <c r="G189" s="373">
        <v>160.46</v>
      </c>
      <c r="H189" s="311"/>
      <c r="I189" s="311"/>
      <c r="J189" s="311"/>
      <c r="K189" s="311"/>
      <c r="L189" s="311"/>
      <c r="M189" s="311"/>
      <c r="N189" s="374"/>
      <c r="O189" s="346"/>
      <c r="P189" s="346"/>
      <c r="Q189" s="346"/>
      <c r="R189" s="346"/>
      <c r="S189" s="346"/>
      <c r="T189" s="346"/>
      <c r="U189" s="346"/>
      <c r="V189" s="346"/>
      <c r="W189" s="346"/>
      <c r="X189" s="346"/>
      <c r="Y189" s="311"/>
      <c r="Z189" s="311"/>
      <c r="AA189" s="311"/>
      <c r="AB189" s="311"/>
      <c r="AC189" s="311"/>
      <c r="AD189" s="311"/>
      <c r="AE189" s="311"/>
      <c r="AF189" s="311"/>
      <c r="AG189" s="311"/>
      <c r="AH189" s="311"/>
      <c r="AI189" s="311"/>
      <c r="AJ189" s="311"/>
      <c r="AK189" s="311"/>
      <c r="AL189" s="311"/>
      <c r="AM189" s="311"/>
      <c r="AN189" s="311"/>
      <c r="AO189" s="311"/>
      <c r="AP189" s="311"/>
      <c r="AQ189" s="311"/>
      <c r="AR189" s="311"/>
      <c r="AS189" s="311"/>
      <c r="AT189" s="311"/>
      <c r="AU189" s="311"/>
      <c r="AV189" s="311"/>
      <c r="AW189" s="311"/>
      <c r="AX189" s="311"/>
      <c r="AY189" s="311"/>
      <c r="AZ189" s="311"/>
      <c r="BA189" s="311"/>
      <c r="BB189" s="311"/>
      <c r="BC189" s="311"/>
      <c r="BD189" s="311"/>
      <c r="BE189" s="311"/>
      <c r="BF189" s="311"/>
      <c r="BG189" s="311"/>
      <c r="BH189" s="311"/>
      <c r="BI189" s="311"/>
      <c r="BJ189" s="311"/>
      <c r="BK189" s="311"/>
      <c r="BL189" s="311"/>
      <c r="BM189" s="311"/>
      <c r="BN189" s="311"/>
      <c r="BO189" s="311"/>
      <c r="BP189" s="311"/>
      <c r="BQ189" s="311"/>
      <c r="BR189" s="311"/>
      <c r="BS189" s="311"/>
      <c r="BT189" s="311"/>
      <c r="BU189" s="311"/>
    </row>
    <row r="190" spans="1:73" ht="15" customHeight="1">
      <c r="A190" s="365" t="s">
        <v>270</v>
      </c>
      <c r="B190" s="366" t="s">
        <v>7</v>
      </c>
      <c r="C190" s="366" t="s">
        <v>269</v>
      </c>
      <c r="D190" s="304" t="s">
        <v>268</v>
      </c>
      <c r="E190" s="304"/>
      <c r="F190" s="366" t="s">
        <v>89</v>
      </c>
      <c r="G190" s="367">
        <f>'[2]Stavební rozpočet'!G168</f>
        <v>184.7705</v>
      </c>
      <c r="H190" s="328">
        <v>0</v>
      </c>
      <c r="I190" s="367">
        <f>G190*AO190</f>
        <v>0</v>
      </c>
      <c r="J190" s="367">
        <f>G190*AP190</f>
        <v>0</v>
      </c>
      <c r="K190" s="367">
        <f>G190*H190</f>
        <v>0</v>
      </c>
      <c r="L190" s="367">
        <f>'[2]Stavební rozpočet'!L168</f>
        <v>0.01372</v>
      </c>
      <c r="M190" s="367">
        <f>G190*L190</f>
        <v>2.53505126</v>
      </c>
      <c r="N190" s="368" t="s">
        <v>36</v>
      </c>
      <c r="O190" s="346"/>
      <c r="P190" s="346"/>
      <c r="Q190" s="346"/>
      <c r="R190" s="346"/>
      <c r="S190" s="346"/>
      <c r="T190" s="346"/>
      <c r="U190" s="346"/>
      <c r="V190" s="346"/>
      <c r="W190" s="346"/>
      <c r="X190" s="346"/>
      <c r="Y190" s="311"/>
      <c r="Z190" s="367">
        <f>IF(AQ190="5",BJ190,0)</f>
        <v>0</v>
      </c>
      <c r="AA190" s="311"/>
      <c r="AB190" s="367">
        <f>IF(AQ190="1",BH190,0)</f>
        <v>0</v>
      </c>
      <c r="AC190" s="367">
        <f>IF(AQ190="1",BI190,0)</f>
        <v>0</v>
      </c>
      <c r="AD190" s="367">
        <f>IF(AQ190="7",BH190,0)</f>
        <v>0</v>
      </c>
      <c r="AE190" s="367">
        <f>IF(AQ190="7",BI190,0)</f>
        <v>0</v>
      </c>
      <c r="AF190" s="367">
        <f>IF(AQ190="2",BH190,0)</f>
        <v>0</v>
      </c>
      <c r="AG190" s="367">
        <f>IF(AQ190="2",BI190,0)</f>
        <v>0</v>
      </c>
      <c r="AH190" s="367">
        <f>IF(AQ190="0",BJ190,0)</f>
        <v>0</v>
      </c>
      <c r="AI190" s="351" t="s">
        <v>7</v>
      </c>
      <c r="AJ190" s="367">
        <f>IF(AN190=0,K190,0)</f>
        <v>0</v>
      </c>
      <c r="AK190" s="367">
        <f>IF(AN190=15,K190,0)</f>
        <v>0</v>
      </c>
      <c r="AL190" s="367">
        <f>IF(AN190=21,K190,0)</f>
        <v>0</v>
      </c>
      <c r="AM190" s="311"/>
      <c r="AN190" s="367">
        <v>21</v>
      </c>
      <c r="AO190" s="367">
        <f>H190*1</f>
        <v>0</v>
      </c>
      <c r="AP190" s="367">
        <f>H190*(1-1)</f>
        <v>0</v>
      </c>
      <c r="AQ190" s="369" t="s">
        <v>178</v>
      </c>
      <c r="AR190" s="311"/>
      <c r="AS190" s="311"/>
      <c r="AT190" s="311"/>
      <c r="AU190" s="311"/>
      <c r="AV190" s="367">
        <f>AW190+AX190</f>
        <v>0</v>
      </c>
      <c r="AW190" s="367">
        <f>G190*AO190</f>
        <v>0</v>
      </c>
      <c r="AX190" s="367">
        <f>G190*AP190</f>
        <v>0</v>
      </c>
      <c r="AY190" s="369" t="s">
        <v>240</v>
      </c>
      <c r="AZ190" s="369" t="s">
        <v>233</v>
      </c>
      <c r="BA190" s="351" t="s">
        <v>3</v>
      </c>
      <c r="BB190" s="311"/>
      <c r="BC190" s="367">
        <f>AW190+AX190</f>
        <v>0</v>
      </c>
      <c r="BD190" s="367">
        <f>H190/(100-BE190)*100</f>
        <v>0</v>
      </c>
      <c r="BE190" s="367">
        <v>0</v>
      </c>
      <c r="BF190" s="367">
        <f>M190</f>
        <v>2.53505126</v>
      </c>
      <c r="BG190" s="311"/>
      <c r="BH190" s="367">
        <f>G190*AO190</f>
        <v>0</v>
      </c>
      <c r="BI190" s="367">
        <f>G190*AP190</f>
        <v>0</v>
      </c>
      <c r="BJ190" s="367">
        <f>G190*H190</f>
        <v>0</v>
      </c>
      <c r="BK190" s="367"/>
      <c r="BL190" s="367">
        <v>775</v>
      </c>
      <c r="BM190" s="311"/>
      <c r="BN190" s="311"/>
      <c r="BO190" s="311"/>
      <c r="BP190" s="311"/>
      <c r="BQ190" s="311"/>
      <c r="BR190" s="311"/>
      <c r="BS190" s="311"/>
      <c r="BT190" s="311"/>
      <c r="BU190" s="311"/>
    </row>
    <row r="191" spans="1:73" ht="15" customHeight="1">
      <c r="A191" s="370"/>
      <c r="B191" s="311"/>
      <c r="C191" s="311"/>
      <c r="D191" s="371" t="s">
        <v>259</v>
      </c>
      <c r="E191" s="372"/>
      <c r="F191" s="311"/>
      <c r="G191" s="373">
        <v>160.67000000000002</v>
      </c>
      <c r="H191" s="311"/>
      <c r="I191" s="311"/>
      <c r="J191" s="311"/>
      <c r="K191" s="311"/>
      <c r="L191" s="311"/>
      <c r="M191" s="311"/>
      <c r="N191" s="374"/>
      <c r="O191" s="346"/>
      <c r="P191" s="346"/>
      <c r="Q191" s="346"/>
      <c r="R191" s="346"/>
      <c r="S191" s="346"/>
      <c r="T191" s="346"/>
      <c r="U191" s="346"/>
      <c r="V191" s="346"/>
      <c r="W191" s="346"/>
      <c r="X191" s="346"/>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1"/>
      <c r="AY191" s="311"/>
      <c r="AZ191" s="311"/>
      <c r="BA191" s="311"/>
      <c r="BB191" s="311"/>
      <c r="BC191" s="311"/>
      <c r="BD191" s="311"/>
      <c r="BE191" s="311"/>
      <c r="BF191" s="311"/>
      <c r="BG191" s="311"/>
      <c r="BH191" s="311"/>
      <c r="BI191" s="311"/>
      <c r="BJ191" s="311"/>
      <c r="BK191" s="311"/>
      <c r="BL191" s="311"/>
      <c r="BM191" s="311"/>
      <c r="BN191" s="311"/>
      <c r="BO191" s="311"/>
      <c r="BP191" s="311"/>
      <c r="BQ191" s="311"/>
      <c r="BR191" s="311"/>
      <c r="BS191" s="311"/>
      <c r="BT191" s="311"/>
      <c r="BU191" s="311"/>
    </row>
    <row r="192" spans="1:73" ht="15" customHeight="1">
      <c r="A192" s="370"/>
      <c r="B192" s="311"/>
      <c r="C192" s="311"/>
      <c r="D192" s="371" t="s">
        <v>267</v>
      </c>
      <c r="E192" s="372"/>
      <c r="F192" s="311"/>
      <c r="G192" s="373">
        <v>24.1005</v>
      </c>
      <c r="H192" s="311"/>
      <c r="I192" s="311"/>
      <c r="J192" s="327"/>
      <c r="K192" s="311"/>
      <c r="L192" s="311"/>
      <c r="M192" s="311"/>
      <c r="N192" s="374"/>
      <c r="O192" s="346"/>
      <c r="P192" s="346"/>
      <c r="Q192" s="346"/>
      <c r="R192" s="346"/>
      <c r="S192" s="346"/>
      <c r="T192" s="346"/>
      <c r="U192" s="346"/>
      <c r="V192" s="346"/>
      <c r="W192" s="346"/>
      <c r="X192" s="346"/>
      <c r="Y192" s="311"/>
      <c r="Z192" s="311"/>
      <c r="AA192" s="311"/>
      <c r="AB192" s="311"/>
      <c r="AC192" s="311"/>
      <c r="AD192" s="311"/>
      <c r="AE192" s="311"/>
      <c r="AF192" s="311"/>
      <c r="AG192" s="311"/>
      <c r="AH192" s="311"/>
      <c r="AI192" s="311"/>
      <c r="AJ192" s="311"/>
      <c r="AK192" s="311"/>
      <c r="AL192" s="311"/>
      <c r="AM192" s="311"/>
      <c r="AN192" s="311"/>
      <c r="AO192" s="311"/>
      <c r="AP192" s="311"/>
      <c r="AQ192" s="311"/>
      <c r="AR192" s="311"/>
      <c r="AS192" s="311"/>
      <c r="AT192" s="311"/>
      <c r="AU192" s="311"/>
      <c r="AV192" s="311"/>
      <c r="AW192" s="311"/>
      <c r="AX192" s="311"/>
      <c r="AY192" s="311"/>
      <c r="AZ192" s="311"/>
      <c r="BA192" s="311"/>
      <c r="BB192" s="311"/>
      <c r="BC192" s="311"/>
      <c r="BD192" s="311"/>
      <c r="BE192" s="311"/>
      <c r="BF192" s="311"/>
      <c r="BG192" s="311"/>
      <c r="BH192" s="311"/>
      <c r="BI192" s="311"/>
      <c r="BJ192" s="311"/>
      <c r="BK192" s="311"/>
      <c r="BL192" s="311"/>
      <c r="BM192" s="311"/>
      <c r="BN192" s="311"/>
      <c r="BO192" s="311"/>
      <c r="BP192" s="311"/>
      <c r="BQ192" s="311"/>
      <c r="BR192" s="311"/>
      <c r="BS192" s="311"/>
      <c r="BT192" s="311"/>
      <c r="BU192" s="311"/>
    </row>
    <row r="193" spans="1:73" ht="15" customHeight="1">
      <c r="A193" s="365" t="s">
        <v>266</v>
      </c>
      <c r="B193" s="366" t="s">
        <v>7</v>
      </c>
      <c r="C193" s="366" t="s">
        <v>265</v>
      </c>
      <c r="D193" s="304" t="s">
        <v>264</v>
      </c>
      <c r="E193" s="304"/>
      <c r="F193" s="366" t="s">
        <v>89</v>
      </c>
      <c r="G193" s="367">
        <f>'[2]Stavební rozpočet'!G171</f>
        <v>160.46</v>
      </c>
      <c r="H193" s="328">
        <v>0</v>
      </c>
      <c r="I193" s="367">
        <f>G193*AO193</f>
        <v>0</v>
      </c>
      <c r="J193" s="367">
        <f>G193*AP193</f>
        <v>0</v>
      </c>
      <c r="K193" s="367">
        <f>G193*H193</f>
        <v>0</v>
      </c>
      <c r="L193" s="367">
        <f>'[2]Stavební rozpočet'!L171</f>
        <v>1E-05</v>
      </c>
      <c r="M193" s="367">
        <f>G193*L193</f>
        <v>0.0016046000000000003</v>
      </c>
      <c r="N193" s="368" t="s">
        <v>36</v>
      </c>
      <c r="O193" s="346"/>
      <c r="P193" s="346"/>
      <c r="Q193" s="346"/>
      <c r="R193" s="346"/>
      <c r="S193" s="346"/>
      <c r="T193" s="346"/>
      <c r="U193" s="346"/>
      <c r="V193" s="346"/>
      <c r="W193" s="346"/>
      <c r="X193" s="346"/>
      <c r="Y193" s="311"/>
      <c r="Z193" s="367">
        <f>IF(AQ193="5",BJ193,0)</f>
        <v>0</v>
      </c>
      <c r="AA193" s="311"/>
      <c r="AB193" s="367">
        <f>IF(AQ193="1",BH193,0)</f>
        <v>0</v>
      </c>
      <c r="AC193" s="367">
        <f>IF(AQ193="1",BI193,0)</f>
        <v>0</v>
      </c>
      <c r="AD193" s="367">
        <f>IF(AQ193="7",BH193,0)</f>
        <v>0</v>
      </c>
      <c r="AE193" s="367">
        <f>IF(AQ193="7",BI193,0)</f>
        <v>0</v>
      </c>
      <c r="AF193" s="367">
        <f>IF(AQ193="2",BH193,0)</f>
        <v>0</v>
      </c>
      <c r="AG193" s="367">
        <f>IF(AQ193="2",BI193,0)</f>
        <v>0</v>
      </c>
      <c r="AH193" s="367">
        <f>IF(AQ193="0",BJ193,0)</f>
        <v>0</v>
      </c>
      <c r="AI193" s="351" t="s">
        <v>7</v>
      </c>
      <c r="AJ193" s="367">
        <f>IF(AN193=0,K193,0)</f>
        <v>0</v>
      </c>
      <c r="AK193" s="367">
        <f>IF(AN193=15,K193,0)</f>
        <v>0</v>
      </c>
      <c r="AL193" s="367">
        <f>IF(AN193=21,K193,0)</f>
        <v>0</v>
      </c>
      <c r="AM193" s="311"/>
      <c r="AN193" s="367">
        <v>21</v>
      </c>
      <c r="AO193" s="367">
        <f>H193*0.0857003111063432</f>
        <v>0</v>
      </c>
      <c r="AP193" s="367">
        <f>H193*(1-0.0857003111063432)</f>
        <v>0</v>
      </c>
      <c r="AQ193" s="369" t="s">
        <v>178</v>
      </c>
      <c r="AR193" s="311"/>
      <c r="AS193" s="311"/>
      <c r="AT193" s="311"/>
      <c r="AU193" s="311"/>
      <c r="AV193" s="367">
        <f>AW193+AX193</f>
        <v>0</v>
      </c>
      <c r="AW193" s="367">
        <f>G193*AO193</f>
        <v>0</v>
      </c>
      <c r="AX193" s="367">
        <f>G193*AP193</f>
        <v>0</v>
      </c>
      <c r="AY193" s="369" t="s">
        <v>240</v>
      </c>
      <c r="AZ193" s="369" t="s">
        <v>233</v>
      </c>
      <c r="BA193" s="351" t="s">
        <v>3</v>
      </c>
      <c r="BB193" s="311"/>
      <c r="BC193" s="367">
        <f>AW193+AX193</f>
        <v>0</v>
      </c>
      <c r="BD193" s="367">
        <f>H193/(100-BE193)*100</f>
        <v>0</v>
      </c>
      <c r="BE193" s="367">
        <v>0</v>
      </c>
      <c r="BF193" s="367">
        <f>M193</f>
        <v>0.0016046000000000003</v>
      </c>
      <c r="BG193" s="311"/>
      <c r="BH193" s="367">
        <f>G193*AO193</f>
        <v>0</v>
      </c>
      <c r="BI193" s="367">
        <f>G193*AP193</f>
        <v>0</v>
      </c>
      <c r="BJ193" s="367">
        <f>G193*H193</f>
        <v>0</v>
      </c>
      <c r="BK193" s="367"/>
      <c r="BL193" s="367">
        <v>775</v>
      </c>
      <c r="BM193" s="311"/>
      <c r="BN193" s="311"/>
      <c r="BO193" s="311"/>
      <c r="BP193" s="311"/>
      <c r="BQ193" s="311"/>
      <c r="BR193" s="311"/>
      <c r="BS193" s="311"/>
      <c r="BT193" s="311"/>
      <c r="BU193" s="311"/>
    </row>
    <row r="194" spans="1:73" ht="15" customHeight="1">
      <c r="A194" s="370"/>
      <c r="B194" s="311"/>
      <c r="C194" s="311"/>
      <c r="D194" s="371" t="s">
        <v>263</v>
      </c>
      <c r="E194" s="372"/>
      <c r="F194" s="311"/>
      <c r="G194" s="373">
        <v>160.46</v>
      </c>
      <c r="H194" s="311"/>
      <c r="I194" s="311"/>
      <c r="J194" s="311"/>
      <c r="K194" s="311"/>
      <c r="L194" s="311"/>
      <c r="M194" s="311"/>
      <c r="N194" s="374"/>
      <c r="O194" s="346"/>
      <c r="P194" s="346"/>
      <c r="Q194" s="346"/>
      <c r="R194" s="346"/>
      <c r="S194" s="346"/>
      <c r="T194" s="346"/>
      <c r="U194" s="346"/>
      <c r="V194" s="346"/>
      <c r="W194" s="346"/>
      <c r="X194" s="346"/>
      <c r="Y194" s="311"/>
      <c r="Z194" s="311"/>
      <c r="AA194" s="311"/>
      <c r="AB194" s="311"/>
      <c r="AC194" s="311"/>
      <c r="AD194" s="311"/>
      <c r="AE194" s="311"/>
      <c r="AF194" s="311"/>
      <c r="AG194" s="311"/>
      <c r="AH194" s="311"/>
      <c r="AI194" s="311"/>
      <c r="AJ194" s="311"/>
      <c r="AK194" s="311"/>
      <c r="AL194" s="311"/>
      <c r="AM194" s="311"/>
      <c r="AN194" s="311"/>
      <c r="AO194" s="311"/>
      <c r="AP194" s="311"/>
      <c r="AQ194" s="311"/>
      <c r="AR194" s="311"/>
      <c r="AS194" s="311"/>
      <c r="AT194" s="311"/>
      <c r="AU194" s="311"/>
      <c r="AV194" s="311"/>
      <c r="AW194" s="311"/>
      <c r="AX194" s="311"/>
      <c r="AY194" s="311"/>
      <c r="AZ194" s="311"/>
      <c r="BA194" s="311"/>
      <c r="BB194" s="311"/>
      <c r="BC194" s="311"/>
      <c r="BD194" s="311"/>
      <c r="BE194" s="311"/>
      <c r="BF194" s="311"/>
      <c r="BG194" s="311"/>
      <c r="BH194" s="311"/>
      <c r="BI194" s="311"/>
      <c r="BJ194" s="311"/>
      <c r="BK194" s="311"/>
      <c r="BL194" s="311"/>
      <c r="BM194" s="311"/>
      <c r="BN194" s="311"/>
      <c r="BO194" s="311"/>
      <c r="BP194" s="311"/>
      <c r="BQ194" s="311"/>
      <c r="BR194" s="311"/>
      <c r="BS194" s="311"/>
      <c r="BT194" s="311"/>
      <c r="BU194" s="311"/>
    </row>
    <row r="195" spans="1:73" ht="15" customHeight="1">
      <c r="A195" s="365" t="s">
        <v>262</v>
      </c>
      <c r="B195" s="366" t="s">
        <v>7</v>
      </c>
      <c r="C195" s="366" t="s">
        <v>261</v>
      </c>
      <c r="D195" s="304" t="s">
        <v>260</v>
      </c>
      <c r="E195" s="304"/>
      <c r="F195" s="366" t="s">
        <v>89</v>
      </c>
      <c r="G195" s="367">
        <f>'[2]Stavební rozpočet'!G173</f>
        <v>160.67</v>
      </c>
      <c r="H195" s="328">
        <v>0</v>
      </c>
      <c r="I195" s="367">
        <f>G195*AO195</f>
        <v>0</v>
      </c>
      <c r="J195" s="367">
        <f>G195*AP195</f>
        <v>0</v>
      </c>
      <c r="K195" s="367">
        <f>G195*H195</f>
        <v>0</v>
      </c>
      <c r="L195" s="367">
        <f>'[2]Stavební rozpočet'!L173</f>
        <v>0.00035</v>
      </c>
      <c r="M195" s="367">
        <f>G195*L195</f>
        <v>0.05623449999999999</v>
      </c>
      <c r="N195" s="368" t="s">
        <v>36</v>
      </c>
      <c r="O195" s="346"/>
      <c r="P195" s="346"/>
      <c r="Q195" s="346"/>
      <c r="R195" s="346"/>
      <c r="S195" s="346"/>
      <c r="T195" s="346"/>
      <c r="U195" s="346"/>
      <c r="V195" s="346"/>
      <c r="W195" s="346"/>
      <c r="X195" s="346"/>
      <c r="Y195" s="311"/>
      <c r="Z195" s="367">
        <f>IF(AQ195="5",BJ195,0)</f>
        <v>0</v>
      </c>
      <c r="AA195" s="311"/>
      <c r="AB195" s="367">
        <f>IF(AQ195="1",BH195,0)</f>
        <v>0</v>
      </c>
      <c r="AC195" s="367">
        <f>IF(AQ195="1",BI195,0)</f>
        <v>0</v>
      </c>
      <c r="AD195" s="367">
        <f>IF(AQ195="7",BH195,0)</f>
        <v>0</v>
      </c>
      <c r="AE195" s="367">
        <f>IF(AQ195="7",BI195,0)</f>
        <v>0</v>
      </c>
      <c r="AF195" s="367">
        <f>IF(AQ195="2",BH195,0)</f>
        <v>0</v>
      </c>
      <c r="AG195" s="367">
        <f>IF(AQ195="2",BI195,0)</f>
        <v>0</v>
      </c>
      <c r="AH195" s="367">
        <f>IF(AQ195="0",BJ195,0)</f>
        <v>0</v>
      </c>
      <c r="AI195" s="351" t="s">
        <v>7</v>
      </c>
      <c r="AJ195" s="367">
        <f>IF(AN195=0,K195,0)</f>
        <v>0</v>
      </c>
      <c r="AK195" s="367">
        <f>IF(AN195=15,K195,0)</f>
        <v>0</v>
      </c>
      <c r="AL195" s="367">
        <f>IF(AN195=21,K195,0)</f>
        <v>0</v>
      </c>
      <c r="AM195" s="311"/>
      <c r="AN195" s="367">
        <v>21</v>
      </c>
      <c r="AO195" s="367">
        <f>H195*0.454474842653834</f>
        <v>0</v>
      </c>
      <c r="AP195" s="367">
        <f>H195*(1-0.454474842653834)</f>
        <v>0</v>
      </c>
      <c r="AQ195" s="369" t="s">
        <v>178</v>
      </c>
      <c r="AR195" s="311"/>
      <c r="AS195" s="311"/>
      <c r="AT195" s="311"/>
      <c r="AU195" s="311"/>
      <c r="AV195" s="367">
        <f>AW195+AX195</f>
        <v>0</v>
      </c>
      <c r="AW195" s="367">
        <f>G195*AO195</f>
        <v>0</v>
      </c>
      <c r="AX195" s="367">
        <f>G195*AP195</f>
        <v>0</v>
      </c>
      <c r="AY195" s="369" t="s">
        <v>240</v>
      </c>
      <c r="AZ195" s="369" t="s">
        <v>233</v>
      </c>
      <c r="BA195" s="351" t="s">
        <v>3</v>
      </c>
      <c r="BB195" s="311"/>
      <c r="BC195" s="367">
        <f>AW195+AX195</f>
        <v>0</v>
      </c>
      <c r="BD195" s="367">
        <f>H195/(100-BE195)*100</f>
        <v>0</v>
      </c>
      <c r="BE195" s="367">
        <v>0</v>
      </c>
      <c r="BF195" s="367">
        <f>M195</f>
        <v>0.05623449999999999</v>
      </c>
      <c r="BG195" s="311"/>
      <c r="BH195" s="367">
        <f>G195*AO195</f>
        <v>0</v>
      </c>
      <c r="BI195" s="367">
        <f>G195*AP195</f>
        <v>0</v>
      </c>
      <c r="BJ195" s="367">
        <f>G195*H195</f>
        <v>0</v>
      </c>
      <c r="BK195" s="367"/>
      <c r="BL195" s="367">
        <v>775</v>
      </c>
      <c r="BM195" s="311"/>
      <c r="BN195" s="311"/>
      <c r="BO195" s="311"/>
      <c r="BP195" s="311"/>
      <c r="BQ195" s="311"/>
      <c r="BR195" s="311"/>
      <c r="BS195" s="311"/>
      <c r="BT195" s="311"/>
      <c r="BU195" s="311"/>
    </row>
    <row r="196" spans="1:73" ht="15" customHeight="1">
      <c r="A196" s="370"/>
      <c r="B196" s="311"/>
      <c r="C196" s="311"/>
      <c r="D196" s="371" t="s">
        <v>259</v>
      </c>
      <c r="E196" s="372"/>
      <c r="F196" s="311"/>
      <c r="G196" s="373">
        <v>160.67000000000002</v>
      </c>
      <c r="H196" s="311"/>
      <c r="I196" s="311"/>
      <c r="J196" s="311"/>
      <c r="K196" s="311"/>
      <c r="L196" s="311"/>
      <c r="M196" s="311"/>
      <c r="N196" s="374"/>
      <c r="O196" s="346"/>
      <c r="P196" s="346"/>
      <c r="Q196" s="346"/>
      <c r="R196" s="346"/>
      <c r="S196" s="346"/>
      <c r="T196" s="346"/>
      <c r="U196" s="346"/>
      <c r="V196" s="346"/>
      <c r="W196" s="346"/>
      <c r="X196" s="346"/>
      <c r="Y196" s="311"/>
      <c r="Z196" s="311"/>
      <c r="AA196" s="311"/>
      <c r="AB196" s="311"/>
      <c r="AC196" s="311"/>
      <c r="AD196" s="311"/>
      <c r="AE196" s="31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c r="BE196" s="311"/>
      <c r="BF196" s="311"/>
      <c r="BG196" s="311"/>
      <c r="BH196" s="311"/>
      <c r="BI196" s="311"/>
      <c r="BJ196" s="311"/>
      <c r="BK196" s="311"/>
      <c r="BL196" s="311"/>
      <c r="BM196" s="311"/>
      <c r="BN196" s="311"/>
      <c r="BO196" s="311"/>
      <c r="BP196" s="311"/>
      <c r="BQ196" s="311"/>
      <c r="BR196" s="311"/>
      <c r="BS196" s="311"/>
      <c r="BT196" s="311"/>
      <c r="BU196" s="311"/>
    </row>
    <row r="197" spans="1:73" ht="15" customHeight="1">
      <c r="A197" s="365" t="s">
        <v>258</v>
      </c>
      <c r="B197" s="366" t="s">
        <v>7</v>
      </c>
      <c r="C197" s="366" t="s">
        <v>257</v>
      </c>
      <c r="D197" s="304" t="s">
        <v>256</v>
      </c>
      <c r="E197" s="304"/>
      <c r="F197" s="366" t="s">
        <v>69</v>
      </c>
      <c r="G197" s="367">
        <f>'[2]Stavební rozpočet'!G175</f>
        <v>97.68</v>
      </c>
      <c r="H197" s="328">
        <v>0</v>
      </c>
      <c r="I197" s="367">
        <f>G197*AO197</f>
        <v>0</v>
      </c>
      <c r="J197" s="367">
        <f>G197*AP197</f>
        <v>0</v>
      </c>
      <c r="K197" s="367">
        <f>G197*H197</f>
        <v>0</v>
      </c>
      <c r="L197" s="367">
        <f>'[2]Stavební rozpočet'!L175</f>
        <v>0</v>
      </c>
      <c r="M197" s="367">
        <f>G197*L197</f>
        <v>0</v>
      </c>
      <c r="N197" s="368" t="s">
        <v>36</v>
      </c>
      <c r="O197" s="346"/>
      <c r="P197" s="346"/>
      <c r="Q197" s="346"/>
      <c r="R197" s="346"/>
      <c r="S197" s="346"/>
      <c r="T197" s="346"/>
      <c r="U197" s="346"/>
      <c r="V197" s="346"/>
      <c r="W197" s="346"/>
      <c r="X197" s="346"/>
      <c r="Y197" s="311"/>
      <c r="Z197" s="367">
        <f>IF(AQ197="5",BJ197,0)</f>
        <v>0</v>
      </c>
      <c r="AA197" s="311"/>
      <c r="AB197" s="367">
        <f>IF(AQ197="1",BH197,0)</f>
        <v>0</v>
      </c>
      <c r="AC197" s="367">
        <f>IF(AQ197="1",BI197,0)</f>
        <v>0</v>
      </c>
      <c r="AD197" s="367">
        <f>IF(AQ197="7",BH197,0)</f>
        <v>0</v>
      </c>
      <c r="AE197" s="367">
        <f>IF(AQ197="7",BI197,0)</f>
        <v>0</v>
      </c>
      <c r="AF197" s="367">
        <f>IF(AQ197="2",BH197,0)</f>
        <v>0</v>
      </c>
      <c r="AG197" s="367">
        <f>IF(AQ197="2",BI197,0)</f>
        <v>0</v>
      </c>
      <c r="AH197" s="367">
        <f>IF(AQ197="0",BJ197,0)</f>
        <v>0</v>
      </c>
      <c r="AI197" s="351" t="s">
        <v>7</v>
      </c>
      <c r="AJ197" s="367">
        <f>IF(AN197=0,K197,0)</f>
        <v>0</v>
      </c>
      <c r="AK197" s="367">
        <f>IF(AN197=15,K197,0)</f>
        <v>0</v>
      </c>
      <c r="AL197" s="367">
        <f>IF(AN197=21,K197,0)</f>
        <v>0</v>
      </c>
      <c r="AM197" s="311"/>
      <c r="AN197" s="367">
        <v>21</v>
      </c>
      <c r="AO197" s="367">
        <f>H197*0.00814888664593075</f>
        <v>0</v>
      </c>
      <c r="AP197" s="367">
        <f>H197*(1-0.00814888664593075)</f>
        <v>0</v>
      </c>
      <c r="AQ197" s="369" t="s">
        <v>178</v>
      </c>
      <c r="AR197" s="311"/>
      <c r="AS197" s="311"/>
      <c r="AT197" s="311"/>
      <c r="AU197" s="311"/>
      <c r="AV197" s="367">
        <f>AW197+AX197</f>
        <v>0</v>
      </c>
      <c r="AW197" s="367">
        <f>G197*AO197</f>
        <v>0</v>
      </c>
      <c r="AX197" s="367">
        <f>G197*AP197</f>
        <v>0</v>
      </c>
      <c r="AY197" s="369" t="s">
        <v>240</v>
      </c>
      <c r="AZ197" s="369" t="s">
        <v>233</v>
      </c>
      <c r="BA197" s="351" t="s">
        <v>3</v>
      </c>
      <c r="BB197" s="311"/>
      <c r="BC197" s="367">
        <f>AW197+AX197</f>
        <v>0</v>
      </c>
      <c r="BD197" s="367">
        <f>H197/(100-BE197)*100</f>
        <v>0</v>
      </c>
      <c r="BE197" s="367">
        <v>0</v>
      </c>
      <c r="BF197" s="367">
        <f>M197</f>
        <v>0</v>
      </c>
      <c r="BG197" s="311"/>
      <c r="BH197" s="367">
        <f>G197*AO197</f>
        <v>0</v>
      </c>
      <c r="BI197" s="367">
        <f>G197*AP197</f>
        <v>0</v>
      </c>
      <c r="BJ197" s="367">
        <f>G197*H197</f>
        <v>0</v>
      </c>
      <c r="BK197" s="367"/>
      <c r="BL197" s="367">
        <v>775</v>
      </c>
      <c r="BM197" s="311"/>
      <c r="BN197" s="311"/>
      <c r="BO197" s="311"/>
      <c r="BP197" s="311"/>
      <c r="BQ197" s="311"/>
      <c r="BR197" s="311"/>
      <c r="BS197" s="311"/>
      <c r="BT197" s="311"/>
      <c r="BU197" s="311"/>
    </row>
    <row r="198" spans="1:73" ht="15" customHeight="1">
      <c r="A198" s="370"/>
      <c r="B198" s="311"/>
      <c r="C198" s="311"/>
      <c r="D198" s="371" t="s">
        <v>255</v>
      </c>
      <c r="E198" s="372"/>
      <c r="F198" s="311"/>
      <c r="G198" s="373">
        <v>97.68</v>
      </c>
      <c r="H198" s="311"/>
      <c r="I198" s="311"/>
      <c r="J198" s="311"/>
      <c r="K198" s="311"/>
      <c r="L198" s="311"/>
      <c r="M198" s="311"/>
      <c r="N198" s="374"/>
      <c r="O198" s="346"/>
      <c r="P198" s="346"/>
      <c r="Q198" s="346"/>
      <c r="R198" s="346"/>
      <c r="S198" s="346"/>
      <c r="T198" s="346"/>
      <c r="U198" s="346"/>
      <c r="V198" s="346"/>
      <c r="W198" s="346"/>
      <c r="X198" s="346"/>
      <c r="Y198" s="311"/>
      <c r="Z198" s="311"/>
      <c r="AA198" s="311"/>
      <c r="AB198" s="311"/>
      <c r="AC198" s="311"/>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1"/>
      <c r="AY198" s="311"/>
      <c r="AZ198" s="311"/>
      <c r="BA198" s="311"/>
      <c r="BB198" s="311"/>
      <c r="BC198" s="311"/>
      <c r="BD198" s="311"/>
      <c r="BE198" s="311"/>
      <c r="BF198" s="311"/>
      <c r="BG198" s="311"/>
      <c r="BH198" s="311"/>
      <c r="BI198" s="311"/>
      <c r="BJ198" s="311"/>
      <c r="BK198" s="311"/>
      <c r="BL198" s="311"/>
      <c r="BM198" s="311"/>
      <c r="BN198" s="311"/>
      <c r="BO198" s="311"/>
      <c r="BP198" s="311"/>
      <c r="BQ198" s="311"/>
      <c r="BR198" s="311"/>
      <c r="BS198" s="311"/>
      <c r="BT198" s="311"/>
      <c r="BU198" s="311"/>
    </row>
    <row r="199" spans="1:73" ht="15" customHeight="1">
      <c r="A199" s="365" t="s">
        <v>254</v>
      </c>
      <c r="B199" s="366" t="s">
        <v>7</v>
      </c>
      <c r="C199" s="366" t="s">
        <v>253</v>
      </c>
      <c r="D199" s="304" t="s">
        <v>252</v>
      </c>
      <c r="E199" s="304"/>
      <c r="F199" s="366" t="s">
        <v>69</v>
      </c>
      <c r="G199" s="367">
        <f>'[2]Stavební rozpočet'!G177</f>
        <v>90.988</v>
      </c>
      <c r="H199" s="328">
        <v>0</v>
      </c>
      <c r="I199" s="367">
        <f>G199*AO199</f>
        <v>0</v>
      </c>
      <c r="J199" s="367">
        <f>G199*AP199</f>
        <v>0</v>
      </c>
      <c r="K199" s="367">
        <f>G199*H199</f>
        <v>0</v>
      </c>
      <c r="L199" s="367">
        <f>'[2]Stavební rozpočet'!L177</f>
        <v>0.0002</v>
      </c>
      <c r="M199" s="367">
        <f>G199*L199</f>
        <v>0.0181976</v>
      </c>
      <c r="N199" s="368" t="s">
        <v>36</v>
      </c>
      <c r="O199" s="346"/>
      <c r="P199" s="346"/>
      <c r="Q199" s="346"/>
      <c r="R199" s="346"/>
      <c r="S199" s="346"/>
      <c r="T199" s="346"/>
      <c r="U199" s="346"/>
      <c r="V199" s="346"/>
      <c r="W199" s="346"/>
      <c r="X199" s="346"/>
      <c r="Y199" s="311"/>
      <c r="Z199" s="367">
        <f>IF(AQ199="5",BJ199,0)</f>
        <v>0</v>
      </c>
      <c r="AA199" s="311"/>
      <c r="AB199" s="367">
        <f>IF(AQ199="1",BH199,0)</f>
        <v>0</v>
      </c>
      <c r="AC199" s="367">
        <f>IF(AQ199="1",BI199,0)</f>
        <v>0</v>
      </c>
      <c r="AD199" s="367">
        <f>IF(AQ199="7",BH199,0)</f>
        <v>0</v>
      </c>
      <c r="AE199" s="367">
        <f>IF(AQ199="7",BI199,0)</f>
        <v>0</v>
      </c>
      <c r="AF199" s="367">
        <f>IF(AQ199="2",BH199,0)</f>
        <v>0</v>
      </c>
      <c r="AG199" s="367">
        <f>IF(AQ199="2",BI199,0)</f>
        <v>0</v>
      </c>
      <c r="AH199" s="367">
        <f>IF(AQ199="0",BJ199,0)</f>
        <v>0</v>
      </c>
      <c r="AI199" s="351" t="s">
        <v>7</v>
      </c>
      <c r="AJ199" s="367">
        <f>IF(AN199=0,K199,0)</f>
        <v>0</v>
      </c>
      <c r="AK199" s="367">
        <f>IF(AN199=15,K199,0)</f>
        <v>0</v>
      </c>
      <c r="AL199" s="367">
        <f>IF(AN199=21,K199,0)</f>
        <v>0</v>
      </c>
      <c r="AM199" s="311"/>
      <c r="AN199" s="367">
        <v>21</v>
      </c>
      <c r="AO199" s="367">
        <f>H199*1</f>
        <v>0</v>
      </c>
      <c r="AP199" s="367">
        <f>H199*(1-1)</f>
        <v>0</v>
      </c>
      <c r="AQ199" s="369" t="s">
        <v>178</v>
      </c>
      <c r="AR199" s="311"/>
      <c r="AS199" s="311"/>
      <c r="AT199" s="311"/>
      <c r="AU199" s="311"/>
      <c r="AV199" s="367">
        <f>AW199+AX199</f>
        <v>0</v>
      </c>
      <c r="AW199" s="367">
        <f>G199*AO199</f>
        <v>0</v>
      </c>
      <c r="AX199" s="367">
        <f>G199*AP199</f>
        <v>0</v>
      </c>
      <c r="AY199" s="369" t="s">
        <v>240</v>
      </c>
      <c r="AZ199" s="369" t="s">
        <v>233</v>
      </c>
      <c r="BA199" s="351" t="s">
        <v>3</v>
      </c>
      <c r="BB199" s="311"/>
      <c r="BC199" s="367">
        <f>AW199+AX199</f>
        <v>0</v>
      </c>
      <c r="BD199" s="367">
        <f>H199/(100-BE199)*100</f>
        <v>0</v>
      </c>
      <c r="BE199" s="367">
        <v>0</v>
      </c>
      <c r="BF199" s="367">
        <f>M199</f>
        <v>0.0181976</v>
      </c>
      <c r="BG199" s="311"/>
      <c r="BH199" s="367">
        <f>G199*AO199</f>
        <v>0</v>
      </c>
      <c r="BI199" s="367">
        <f>G199*AP199</f>
        <v>0</v>
      </c>
      <c r="BJ199" s="367">
        <f>G199*H199</f>
        <v>0</v>
      </c>
      <c r="BK199" s="367"/>
      <c r="BL199" s="367">
        <v>775</v>
      </c>
      <c r="BM199" s="311"/>
      <c r="BN199" s="311"/>
      <c r="BO199" s="311"/>
      <c r="BP199" s="311"/>
      <c r="BQ199" s="311"/>
      <c r="BR199" s="311"/>
      <c r="BS199" s="311"/>
      <c r="BT199" s="311"/>
      <c r="BU199" s="311"/>
    </row>
    <row r="200" spans="1:73" ht="15" customHeight="1">
      <c r="A200" s="370"/>
      <c r="B200" s="311"/>
      <c r="C200" s="311"/>
      <c r="D200" s="371" t="s">
        <v>251</v>
      </c>
      <c r="E200" s="372"/>
      <c r="F200" s="311"/>
      <c r="G200" s="373">
        <v>79.12</v>
      </c>
      <c r="H200" s="311"/>
      <c r="I200" s="311"/>
      <c r="J200" s="311"/>
      <c r="K200" s="311"/>
      <c r="L200" s="311"/>
      <c r="M200" s="311"/>
      <c r="N200" s="374"/>
      <c r="O200" s="346"/>
      <c r="P200" s="346"/>
      <c r="Q200" s="346"/>
      <c r="R200" s="346"/>
      <c r="S200" s="346"/>
      <c r="T200" s="346"/>
      <c r="U200" s="346"/>
      <c r="V200" s="346"/>
      <c r="W200" s="346"/>
      <c r="X200" s="346"/>
      <c r="Y200" s="311"/>
      <c r="Z200" s="311"/>
      <c r="AA200" s="311"/>
      <c r="AB200" s="311"/>
      <c r="AC200" s="311"/>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1"/>
      <c r="AY200" s="311"/>
      <c r="AZ200" s="311"/>
      <c r="BA200" s="311"/>
      <c r="BB200" s="311"/>
      <c r="BC200" s="311"/>
      <c r="BD200" s="311"/>
      <c r="BE200" s="311"/>
      <c r="BF200" s="311"/>
      <c r="BG200" s="311"/>
      <c r="BH200" s="311"/>
      <c r="BI200" s="311"/>
      <c r="BJ200" s="311"/>
      <c r="BK200" s="311"/>
      <c r="BL200" s="311"/>
      <c r="BM200" s="311"/>
      <c r="BN200" s="311"/>
      <c r="BO200" s="311"/>
      <c r="BP200" s="311"/>
      <c r="BQ200" s="311"/>
      <c r="BR200" s="311"/>
      <c r="BS200" s="311"/>
      <c r="BT200" s="311"/>
      <c r="BU200" s="311"/>
    </row>
    <row r="201" spans="1:73" ht="15" customHeight="1">
      <c r="A201" s="370"/>
      <c r="B201" s="311"/>
      <c r="C201" s="311"/>
      <c r="D201" s="371" t="s">
        <v>250</v>
      </c>
      <c r="E201" s="372"/>
      <c r="F201" s="311"/>
      <c r="G201" s="373">
        <v>11.868</v>
      </c>
      <c r="H201" s="311"/>
      <c r="I201" s="311"/>
      <c r="J201" s="311"/>
      <c r="K201" s="311"/>
      <c r="L201" s="311"/>
      <c r="M201" s="311"/>
      <c r="N201" s="374"/>
      <c r="O201" s="346"/>
      <c r="P201" s="346"/>
      <c r="Q201" s="346"/>
      <c r="R201" s="346"/>
      <c r="S201" s="346"/>
      <c r="T201" s="346"/>
      <c r="U201" s="346"/>
      <c r="V201" s="346"/>
      <c r="W201" s="346"/>
      <c r="X201" s="346"/>
      <c r="Y201" s="311"/>
      <c r="Z201" s="311"/>
      <c r="AA201" s="311"/>
      <c r="AB201" s="311"/>
      <c r="AC201" s="311"/>
      <c r="AD201" s="311"/>
      <c r="AE201" s="311"/>
      <c r="AF201" s="311"/>
      <c r="AG201" s="311"/>
      <c r="AH201" s="311"/>
      <c r="AI201" s="311"/>
      <c r="AJ201" s="311"/>
      <c r="AK201" s="311"/>
      <c r="AL201" s="311"/>
      <c r="AM201" s="311"/>
      <c r="AN201" s="311"/>
      <c r="AO201" s="311"/>
      <c r="AP201" s="311"/>
      <c r="AQ201" s="311"/>
      <c r="AR201" s="311"/>
      <c r="AS201" s="311"/>
      <c r="AT201" s="311"/>
      <c r="AU201" s="311"/>
      <c r="AV201" s="311"/>
      <c r="AW201" s="311"/>
      <c r="AX201" s="311"/>
      <c r="AY201" s="311"/>
      <c r="AZ201" s="311"/>
      <c r="BA201" s="311"/>
      <c r="BB201" s="311"/>
      <c r="BC201" s="311"/>
      <c r="BD201" s="311"/>
      <c r="BE201" s="311"/>
      <c r="BF201" s="311"/>
      <c r="BG201" s="311"/>
      <c r="BH201" s="311"/>
      <c r="BI201" s="311"/>
      <c r="BJ201" s="311"/>
      <c r="BK201" s="311"/>
      <c r="BL201" s="311"/>
      <c r="BM201" s="311"/>
      <c r="BN201" s="311"/>
      <c r="BO201" s="311"/>
      <c r="BP201" s="311"/>
      <c r="BQ201" s="311"/>
      <c r="BR201" s="311"/>
      <c r="BS201" s="311"/>
      <c r="BT201" s="311"/>
      <c r="BU201" s="311"/>
    </row>
    <row r="202" spans="1:73" ht="15" customHeight="1">
      <c r="A202" s="365" t="s">
        <v>249</v>
      </c>
      <c r="B202" s="366" t="s">
        <v>7</v>
      </c>
      <c r="C202" s="366" t="s">
        <v>248</v>
      </c>
      <c r="D202" s="304" t="s">
        <v>247</v>
      </c>
      <c r="E202" s="304"/>
      <c r="F202" s="366" t="s">
        <v>246</v>
      </c>
      <c r="G202" s="367">
        <f>'[2]Stavební rozpočet'!G180</f>
        <v>17</v>
      </c>
      <c r="H202" s="328">
        <v>0</v>
      </c>
      <c r="I202" s="367">
        <f>G202*AO202</f>
        <v>0</v>
      </c>
      <c r="J202" s="367">
        <f>G202*AP202</f>
        <v>0</v>
      </c>
      <c r="K202" s="367">
        <f>G202*H202</f>
        <v>0</v>
      </c>
      <c r="L202" s="367">
        <f>'[2]Stavební rozpočet'!L180</f>
        <v>0</v>
      </c>
      <c r="M202" s="367">
        <f>G202*L202</f>
        <v>0</v>
      </c>
      <c r="N202" s="368"/>
      <c r="O202" s="346"/>
      <c r="P202" s="346"/>
      <c r="Q202" s="346"/>
      <c r="R202" s="346"/>
      <c r="S202" s="346"/>
      <c r="T202" s="346"/>
      <c r="U202" s="346"/>
      <c r="V202" s="346"/>
      <c r="W202" s="346"/>
      <c r="X202" s="346"/>
      <c r="Y202" s="311"/>
      <c r="Z202" s="367">
        <f>IF(AQ202="5",BJ202,0)</f>
        <v>0</v>
      </c>
      <c r="AA202" s="311"/>
      <c r="AB202" s="367">
        <f>IF(AQ202="1",BH202,0)</f>
        <v>0</v>
      </c>
      <c r="AC202" s="367">
        <f>IF(AQ202="1",BI202,0)</f>
        <v>0</v>
      </c>
      <c r="AD202" s="367">
        <f>IF(AQ202="7",BH202,0)</f>
        <v>0</v>
      </c>
      <c r="AE202" s="367">
        <f>IF(AQ202="7",BI202,0)</f>
        <v>0</v>
      </c>
      <c r="AF202" s="367">
        <f>IF(AQ202="2",BH202,0)</f>
        <v>0</v>
      </c>
      <c r="AG202" s="367">
        <f>IF(AQ202="2",BI202,0)</f>
        <v>0</v>
      </c>
      <c r="AH202" s="367">
        <f>IF(AQ202="0",BJ202,0)</f>
        <v>0</v>
      </c>
      <c r="AI202" s="351" t="s">
        <v>7</v>
      </c>
      <c r="AJ202" s="367">
        <f>IF(AN202=0,K202,0)</f>
        <v>0</v>
      </c>
      <c r="AK202" s="367">
        <f>IF(AN202=15,K202,0)</f>
        <v>0</v>
      </c>
      <c r="AL202" s="367">
        <f>IF(AN202=21,K202,0)</f>
        <v>0</v>
      </c>
      <c r="AM202" s="311"/>
      <c r="AN202" s="367">
        <v>21</v>
      </c>
      <c r="AO202" s="367">
        <f>H202*0</f>
        <v>0</v>
      </c>
      <c r="AP202" s="367">
        <f>H202*(1-0)</f>
        <v>0</v>
      </c>
      <c r="AQ202" s="369" t="s">
        <v>178</v>
      </c>
      <c r="AR202" s="311"/>
      <c r="AS202" s="311"/>
      <c r="AT202" s="311"/>
      <c r="AU202" s="311"/>
      <c r="AV202" s="367">
        <f>AW202+AX202</f>
        <v>0</v>
      </c>
      <c r="AW202" s="367">
        <f>G202*AO202</f>
        <v>0</v>
      </c>
      <c r="AX202" s="367">
        <f>G202*AP202</f>
        <v>0</v>
      </c>
      <c r="AY202" s="369" t="s">
        <v>240</v>
      </c>
      <c r="AZ202" s="369" t="s">
        <v>233</v>
      </c>
      <c r="BA202" s="351" t="s">
        <v>3</v>
      </c>
      <c r="BB202" s="311"/>
      <c r="BC202" s="367">
        <f>AW202+AX202</f>
        <v>0</v>
      </c>
      <c r="BD202" s="367">
        <f>H202/(100-BE202)*100</f>
        <v>0</v>
      </c>
      <c r="BE202" s="367">
        <v>0</v>
      </c>
      <c r="BF202" s="367">
        <f>M202</f>
        <v>0</v>
      </c>
      <c r="BG202" s="311"/>
      <c r="BH202" s="367">
        <f>G202*AO202</f>
        <v>0</v>
      </c>
      <c r="BI202" s="367">
        <f>G202*AP202</f>
        <v>0</v>
      </c>
      <c r="BJ202" s="367">
        <f>G202*H202</f>
        <v>0</v>
      </c>
      <c r="BK202" s="367"/>
      <c r="BL202" s="367">
        <v>775</v>
      </c>
      <c r="BM202" s="311"/>
      <c r="BN202" s="311"/>
      <c r="BO202" s="311"/>
      <c r="BP202" s="311"/>
      <c r="BQ202" s="311"/>
      <c r="BR202" s="311"/>
      <c r="BS202" s="311"/>
      <c r="BT202" s="311"/>
      <c r="BU202" s="311"/>
    </row>
    <row r="203" spans="1:73" ht="13.5" customHeight="1">
      <c r="A203" s="370"/>
      <c r="B203" s="311"/>
      <c r="C203" s="311"/>
      <c r="D203" s="375" t="s">
        <v>245</v>
      </c>
      <c r="E203" s="375"/>
      <c r="F203" s="375"/>
      <c r="G203" s="375"/>
      <c r="H203" s="375"/>
      <c r="I203" s="375"/>
      <c r="J203" s="375"/>
      <c r="K203" s="375"/>
      <c r="L203" s="375"/>
      <c r="M203" s="375"/>
      <c r="N203" s="375"/>
      <c r="O203" s="346"/>
      <c r="P203" s="346"/>
      <c r="Q203" s="346"/>
      <c r="R203" s="346"/>
      <c r="S203" s="346"/>
      <c r="T203" s="346"/>
      <c r="U203" s="346"/>
      <c r="V203" s="346"/>
      <c r="W203" s="346"/>
      <c r="X203" s="346"/>
      <c r="Y203" s="311"/>
      <c r="Z203" s="311"/>
      <c r="AA203" s="311"/>
      <c r="AB203" s="311"/>
      <c r="AC203" s="311"/>
      <c r="AD203" s="311"/>
      <c r="AE203" s="311"/>
      <c r="AF203" s="311"/>
      <c r="AG203" s="311"/>
      <c r="AH203" s="311"/>
      <c r="AI203" s="311"/>
      <c r="AJ203" s="311"/>
      <c r="AK203" s="311"/>
      <c r="AL203" s="311"/>
      <c r="AM203" s="311"/>
      <c r="AN203" s="311"/>
      <c r="AO203" s="311"/>
      <c r="AP203" s="311"/>
      <c r="AQ203" s="311"/>
      <c r="AR203" s="311"/>
      <c r="AS203" s="311"/>
      <c r="AT203" s="311"/>
      <c r="AU203" s="311"/>
      <c r="AV203" s="311"/>
      <c r="AW203" s="311"/>
      <c r="AX203" s="311"/>
      <c r="AY203" s="311"/>
      <c r="AZ203" s="311"/>
      <c r="BA203" s="311"/>
      <c r="BB203" s="311"/>
      <c r="BC203" s="311"/>
      <c r="BD203" s="311"/>
      <c r="BE203" s="311"/>
      <c r="BF203" s="311"/>
      <c r="BG203" s="311"/>
      <c r="BH203" s="311"/>
      <c r="BI203" s="311"/>
      <c r="BJ203" s="311"/>
      <c r="BK203" s="311"/>
      <c r="BL203" s="311"/>
      <c r="BM203" s="311"/>
      <c r="BN203" s="311"/>
      <c r="BO203" s="311"/>
      <c r="BP203" s="311"/>
      <c r="BQ203" s="311"/>
      <c r="BR203" s="311"/>
      <c r="BS203" s="311"/>
      <c r="BT203" s="311"/>
      <c r="BU203" s="311"/>
    </row>
    <row r="204" spans="1:73" ht="15" customHeight="1">
      <c r="A204" s="370"/>
      <c r="B204" s="311"/>
      <c r="C204" s="311"/>
      <c r="D204" s="371" t="s">
        <v>244</v>
      </c>
      <c r="E204" s="372"/>
      <c r="F204" s="311"/>
      <c r="G204" s="373">
        <v>17</v>
      </c>
      <c r="H204" s="311"/>
      <c r="I204" s="311"/>
      <c r="J204" s="311"/>
      <c r="K204" s="311"/>
      <c r="L204" s="311"/>
      <c r="M204" s="311"/>
      <c r="N204" s="374"/>
      <c r="O204" s="346"/>
      <c r="P204" s="346"/>
      <c r="Q204" s="346"/>
      <c r="R204" s="346"/>
      <c r="S204" s="346"/>
      <c r="T204" s="346"/>
      <c r="U204" s="346"/>
      <c r="V204" s="346"/>
      <c r="W204" s="346"/>
      <c r="X204" s="346"/>
      <c r="Y204" s="311"/>
      <c r="Z204" s="311"/>
      <c r="AA204" s="311"/>
      <c r="AB204" s="311"/>
      <c r="AC204" s="311"/>
      <c r="AD204" s="311"/>
      <c r="AE204" s="311"/>
      <c r="AF204" s="311"/>
      <c r="AG204" s="311"/>
      <c r="AH204" s="311"/>
      <c r="AI204" s="311"/>
      <c r="AJ204" s="311"/>
      <c r="AK204" s="311"/>
      <c r="AL204" s="311"/>
      <c r="AM204" s="311"/>
      <c r="AN204" s="311"/>
      <c r="AO204" s="311"/>
      <c r="AP204" s="311"/>
      <c r="AQ204" s="311"/>
      <c r="AR204" s="311"/>
      <c r="AS204" s="311"/>
      <c r="AT204" s="311"/>
      <c r="AU204" s="311"/>
      <c r="AV204" s="311"/>
      <c r="AW204" s="311"/>
      <c r="AX204" s="311"/>
      <c r="AY204" s="311"/>
      <c r="AZ204" s="311"/>
      <c r="BA204" s="311"/>
      <c r="BB204" s="311"/>
      <c r="BC204" s="311"/>
      <c r="BD204" s="311"/>
      <c r="BE204" s="311"/>
      <c r="BF204" s="311"/>
      <c r="BG204" s="311"/>
      <c r="BH204" s="311"/>
      <c r="BI204" s="311"/>
      <c r="BJ204" s="311"/>
      <c r="BK204" s="311"/>
      <c r="BL204" s="311"/>
      <c r="BM204" s="311"/>
      <c r="BN204" s="311"/>
      <c r="BO204" s="311"/>
      <c r="BP204" s="311"/>
      <c r="BQ204" s="311"/>
      <c r="BR204" s="311"/>
      <c r="BS204" s="311"/>
      <c r="BT204" s="311"/>
      <c r="BU204" s="311"/>
    </row>
    <row r="205" spans="1:73" ht="15" customHeight="1">
      <c r="A205" s="365" t="s">
        <v>243</v>
      </c>
      <c r="B205" s="366" t="s">
        <v>7</v>
      </c>
      <c r="C205" s="366" t="s">
        <v>242</v>
      </c>
      <c r="D205" s="304" t="s">
        <v>241</v>
      </c>
      <c r="E205" s="304"/>
      <c r="F205" s="366" t="s">
        <v>37</v>
      </c>
      <c r="G205" s="367">
        <f>'[2]Stavební rozpočet'!G182</f>
        <v>6.61402</v>
      </c>
      <c r="H205" s="328">
        <v>0</v>
      </c>
      <c r="I205" s="367">
        <f>G205*AO205</f>
        <v>0</v>
      </c>
      <c r="J205" s="367">
        <f>G205*AP205</f>
        <v>0</v>
      </c>
      <c r="K205" s="367">
        <f>G205*H205</f>
        <v>0</v>
      </c>
      <c r="L205" s="367">
        <f>'[2]Stavební rozpočet'!L182</f>
        <v>0</v>
      </c>
      <c r="M205" s="367">
        <f>G205*L205</f>
        <v>0</v>
      </c>
      <c r="N205" s="368" t="s">
        <v>36</v>
      </c>
      <c r="O205" s="346"/>
      <c r="P205" s="346"/>
      <c r="Q205" s="346"/>
      <c r="R205" s="346"/>
      <c r="S205" s="346"/>
      <c r="T205" s="346"/>
      <c r="U205" s="346"/>
      <c r="V205" s="346"/>
      <c r="W205" s="346"/>
      <c r="X205" s="346"/>
      <c r="Y205" s="311"/>
      <c r="Z205" s="367">
        <f>IF(AQ205="5",BJ205,0)</f>
        <v>0</v>
      </c>
      <c r="AA205" s="311"/>
      <c r="AB205" s="367">
        <f>IF(AQ205="1",BH205,0)</f>
        <v>0</v>
      </c>
      <c r="AC205" s="367">
        <f>IF(AQ205="1",BI205,0)</f>
        <v>0</v>
      </c>
      <c r="AD205" s="367">
        <f>IF(AQ205="7",BH205,0)</f>
        <v>0</v>
      </c>
      <c r="AE205" s="367">
        <f>IF(AQ205="7",BI205,0)</f>
        <v>0</v>
      </c>
      <c r="AF205" s="367">
        <f>IF(AQ205="2",BH205,0)</f>
        <v>0</v>
      </c>
      <c r="AG205" s="367">
        <f>IF(AQ205="2",BI205,0)</f>
        <v>0</v>
      </c>
      <c r="AH205" s="367">
        <f>IF(AQ205="0",BJ205,0)</f>
        <v>0</v>
      </c>
      <c r="AI205" s="351" t="s">
        <v>7</v>
      </c>
      <c r="AJ205" s="367">
        <f>IF(AN205=0,K205,0)</f>
        <v>0</v>
      </c>
      <c r="AK205" s="367">
        <f>IF(AN205=15,K205,0)</f>
        <v>0</v>
      </c>
      <c r="AL205" s="367">
        <f>IF(AN205=21,K205,0)</f>
        <v>0</v>
      </c>
      <c r="AM205" s="311"/>
      <c r="AN205" s="367">
        <v>21</v>
      </c>
      <c r="AO205" s="367">
        <f>H205*0</f>
        <v>0</v>
      </c>
      <c r="AP205" s="367">
        <f>H205*(1-0)</f>
        <v>0</v>
      </c>
      <c r="AQ205" s="369" t="s">
        <v>35</v>
      </c>
      <c r="AR205" s="311"/>
      <c r="AS205" s="311"/>
      <c r="AT205" s="311"/>
      <c r="AU205" s="311"/>
      <c r="AV205" s="367">
        <f>AW205+AX205</f>
        <v>0</v>
      </c>
      <c r="AW205" s="367">
        <f>G205*AO205</f>
        <v>0</v>
      </c>
      <c r="AX205" s="367">
        <f>G205*AP205</f>
        <v>0</v>
      </c>
      <c r="AY205" s="369" t="s">
        <v>240</v>
      </c>
      <c r="AZ205" s="369" t="s">
        <v>233</v>
      </c>
      <c r="BA205" s="351" t="s">
        <v>3</v>
      </c>
      <c r="BB205" s="311"/>
      <c r="BC205" s="367">
        <f>AW205+AX205</f>
        <v>0</v>
      </c>
      <c r="BD205" s="367">
        <f>H205/(100-BE205)*100</f>
        <v>0</v>
      </c>
      <c r="BE205" s="367">
        <v>0</v>
      </c>
      <c r="BF205" s="367">
        <f>M205</f>
        <v>0</v>
      </c>
      <c r="BG205" s="311"/>
      <c r="BH205" s="367">
        <f>G205*AO205</f>
        <v>0</v>
      </c>
      <c r="BI205" s="367">
        <f>G205*AP205</f>
        <v>0</v>
      </c>
      <c r="BJ205" s="367">
        <f>G205*H205</f>
        <v>0</v>
      </c>
      <c r="BK205" s="367"/>
      <c r="BL205" s="367">
        <v>775</v>
      </c>
      <c r="BM205" s="311"/>
      <c r="BN205" s="311"/>
      <c r="BO205" s="311"/>
      <c r="BP205" s="311"/>
      <c r="BQ205" s="311"/>
      <c r="BR205" s="311"/>
      <c r="BS205" s="311"/>
      <c r="BT205" s="311"/>
      <c r="BU205" s="311"/>
    </row>
    <row r="206" spans="1:73" ht="15" customHeight="1">
      <c r="A206" s="360"/>
      <c r="B206" s="361" t="s">
        <v>7</v>
      </c>
      <c r="C206" s="361" t="s">
        <v>239</v>
      </c>
      <c r="D206" s="362" t="s">
        <v>238</v>
      </c>
      <c r="E206" s="362"/>
      <c r="F206" s="363" t="s">
        <v>12</v>
      </c>
      <c r="G206" s="363" t="s">
        <v>12</v>
      </c>
      <c r="H206" s="363" t="s">
        <v>12</v>
      </c>
      <c r="I206" s="347">
        <f>SUM(I207:I207)</f>
        <v>0</v>
      </c>
      <c r="J206" s="347">
        <f>SUM(J207:J207)</f>
        <v>0</v>
      </c>
      <c r="K206" s="347">
        <f>SUM(K207:K207)</f>
        <v>0</v>
      </c>
      <c r="L206" s="351"/>
      <c r="M206" s="347">
        <f>SUM(M207:M207)</f>
        <v>0.0098</v>
      </c>
      <c r="N206" s="364"/>
      <c r="O206" s="346"/>
      <c r="P206" s="346"/>
      <c r="Q206" s="346"/>
      <c r="R206" s="346"/>
      <c r="S206" s="346"/>
      <c r="T206" s="346"/>
      <c r="U206" s="346"/>
      <c r="V206" s="346"/>
      <c r="W206" s="346"/>
      <c r="X206" s="346"/>
      <c r="Y206" s="311"/>
      <c r="Z206" s="311"/>
      <c r="AA206" s="311"/>
      <c r="AB206" s="311"/>
      <c r="AC206" s="311"/>
      <c r="AD206" s="311"/>
      <c r="AE206" s="311"/>
      <c r="AF206" s="311"/>
      <c r="AG206" s="311"/>
      <c r="AH206" s="311"/>
      <c r="AI206" s="351" t="s">
        <v>7</v>
      </c>
      <c r="AJ206" s="311"/>
      <c r="AK206" s="311"/>
      <c r="AL206" s="311"/>
      <c r="AM206" s="311"/>
      <c r="AN206" s="311"/>
      <c r="AO206" s="311"/>
      <c r="AP206" s="311"/>
      <c r="AQ206" s="311"/>
      <c r="AR206" s="311"/>
      <c r="AS206" s="347">
        <f>SUM(AJ207:AJ207)</f>
        <v>0</v>
      </c>
      <c r="AT206" s="347">
        <f>SUM(AK207:AK207)</f>
        <v>0</v>
      </c>
      <c r="AU206" s="347">
        <f>SUM(AL207:AL207)</f>
        <v>0</v>
      </c>
      <c r="AV206" s="311"/>
      <c r="AW206" s="311"/>
      <c r="AX206" s="311"/>
      <c r="AY206" s="311"/>
      <c r="AZ206" s="311"/>
      <c r="BA206" s="311"/>
      <c r="BB206" s="311"/>
      <c r="BC206" s="311"/>
      <c r="BD206" s="311"/>
      <c r="BE206" s="311"/>
      <c r="BF206" s="311"/>
      <c r="BG206" s="311"/>
      <c r="BH206" s="311"/>
      <c r="BI206" s="311"/>
      <c r="BJ206" s="311"/>
      <c r="BK206" s="311"/>
      <c r="BL206" s="311"/>
      <c r="BM206" s="311"/>
      <c r="BN206" s="311"/>
      <c r="BO206" s="311"/>
      <c r="BP206" s="311"/>
      <c r="BQ206" s="311"/>
      <c r="BR206" s="311"/>
      <c r="BS206" s="311"/>
      <c r="BT206" s="311"/>
      <c r="BU206" s="311"/>
    </row>
    <row r="207" spans="1:73" ht="15" customHeight="1">
      <c r="A207" s="365" t="s">
        <v>237</v>
      </c>
      <c r="B207" s="366" t="s">
        <v>7</v>
      </c>
      <c r="C207" s="366" t="s">
        <v>236</v>
      </c>
      <c r="D207" s="304" t="s">
        <v>235</v>
      </c>
      <c r="E207" s="304"/>
      <c r="F207" s="366" t="s">
        <v>73</v>
      </c>
      <c r="G207" s="367">
        <f>'[2]Stavební rozpočet'!G184</f>
        <v>1</v>
      </c>
      <c r="H207" s="328">
        <v>0</v>
      </c>
      <c r="I207" s="367">
        <f>G207*AO207</f>
        <v>0</v>
      </c>
      <c r="J207" s="367">
        <f>G207*AP207</f>
        <v>0</v>
      </c>
      <c r="K207" s="367">
        <f>G207*H207</f>
        <v>0</v>
      </c>
      <c r="L207" s="367">
        <f>'[2]Stavební rozpočet'!L184</f>
        <v>0.0098</v>
      </c>
      <c r="M207" s="367">
        <f>G207*L207</f>
        <v>0.0098</v>
      </c>
      <c r="N207" s="368" t="s">
        <v>36</v>
      </c>
      <c r="O207" s="346"/>
      <c r="P207" s="346"/>
      <c r="Q207" s="346"/>
      <c r="R207" s="346"/>
      <c r="S207" s="346"/>
      <c r="T207" s="346"/>
      <c r="U207" s="346"/>
      <c r="V207" s="346"/>
      <c r="W207" s="346"/>
      <c r="X207" s="346"/>
      <c r="Y207" s="311"/>
      <c r="Z207" s="367">
        <f>IF(AQ207="5",BJ207,0)</f>
        <v>0</v>
      </c>
      <c r="AA207" s="311"/>
      <c r="AB207" s="367">
        <f>IF(AQ207="1",BH207,0)</f>
        <v>0</v>
      </c>
      <c r="AC207" s="367">
        <f>IF(AQ207="1",BI207,0)</f>
        <v>0</v>
      </c>
      <c r="AD207" s="367">
        <f>IF(AQ207="7",BH207,0)</f>
        <v>0</v>
      </c>
      <c r="AE207" s="367">
        <f>IF(AQ207="7",BI207,0)</f>
        <v>0</v>
      </c>
      <c r="AF207" s="367">
        <f>IF(AQ207="2",BH207,0)</f>
        <v>0</v>
      </c>
      <c r="AG207" s="367">
        <f>IF(AQ207="2",BI207,0)</f>
        <v>0</v>
      </c>
      <c r="AH207" s="367">
        <f>IF(AQ207="0",BJ207,0)</f>
        <v>0</v>
      </c>
      <c r="AI207" s="351" t="s">
        <v>7</v>
      </c>
      <c r="AJ207" s="367">
        <f>IF(AN207=0,K207,0)</f>
        <v>0</v>
      </c>
      <c r="AK207" s="367">
        <f>IF(AN207=15,K207,0)</f>
        <v>0</v>
      </c>
      <c r="AL207" s="367">
        <f>IF(AN207=21,K207,0)</f>
        <v>0</v>
      </c>
      <c r="AM207" s="311"/>
      <c r="AN207" s="367">
        <v>21</v>
      </c>
      <c r="AO207" s="367">
        <f>H207*0.990431693989071</f>
        <v>0</v>
      </c>
      <c r="AP207" s="367">
        <f>H207*(1-0.990431693989071)</f>
        <v>0</v>
      </c>
      <c r="AQ207" s="369" t="s">
        <v>178</v>
      </c>
      <c r="AR207" s="311"/>
      <c r="AS207" s="311"/>
      <c r="AT207" s="311"/>
      <c r="AU207" s="311"/>
      <c r="AV207" s="367">
        <f>AW207+AX207</f>
        <v>0</v>
      </c>
      <c r="AW207" s="367">
        <f>G207*AO207</f>
        <v>0</v>
      </c>
      <c r="AX207" s="367">
        <f>G207*AP207</f>
        <v>0</v>
      </c>
      <c r="AY207" s="369" t="s">
        <v>234</v>
      </c>
      <c r="AZ207" s="369" t="s">
        <v>233</v>
      </c>
      <c r="BA207" s="351" t="s">
        <v>3</v>
      </c>
      <c r="BB207" s="311"/>
      <c r="BC207" s="367">
        <f>AW207+AX207</f>
        <v>0</v>
      </c>
      <c r="BD207" s="367">
        <f>H207/(100-BE207)*100</f>
        <v>0</v>
      </c>
      <c r="BE207" s="367">
        <v>0</v>
      </c>
      <c r="BF207" s="367">
        <f>M207</f>
        <v>0.0098</v>
      </c>
      <c r="BG207" s="311"/>
      <c r="BH207" s="367">
        <f>G207*AO207</f>
        <v>0</v>
      </c>
      <c r="BI207" s="367">
        <f>G207*AP207</f>
        <v>0</v>
      </c>
      <c r="BJ207" s="367">
        <f>G207*H207</f>
        <v>0</v>
      </c>
      <c r="BK207" s="367"/>
      <c r="BL207" s="367">
        <v>776</v>
      </c>
      <c r="BM207" s="311"/>
      <c r="BN207" s="311"/>
      <c r="BO207" s="311"/>
      <c r="BP207" s="311"/>
      <c r="BQ207" s="311"/>
      <c r="BR207" s="311"/>
      <c r="BS207" s="311"/>
      <c r="BT207" s="311"/>
      <c r="BU207" s="311"/>
    </row>
    <row r="208" spans="1:73" ht="15" customHeight="1">
      <c r="A208" s="370"/>
      <c r="B208" s="311"/>
      <c r="C208" s="311"/>
      <c r="D208" s="371" t="s">
        <v>2</v>
      </c>
      <c r="E208" s="372"/>
      <c r="F208" s="311"/>
      <c r="G208" s="373">
        <v>1</v>
      </c>
      <c r="H208" s="311"/>
      <c r="I208" s="311"/>
      <c r="J208" s="311"/>
      <c r="K208" s="311"/>
      <c r="L208" s="311"/>
      <c r="M208" s="311"/>
      <c r="N208" s="374"/>
      <c r="O208" s="346"/>
      <c r="P208" s="346"/>
      <c r="Q208" s="346"/>
      <c r="R208" s="346"/>
      <c r="S208" s="346"/>
      <c r="T208" s="346"/>
      <c r="U208" s="346"/>
      <c r="V208" s="346"/>
      <c r="W208" s="346"/>
      <c r="X208" s="346"/>
      <c r="Y208" s="311"/>
      <c r="Z208" s="311"/>
      <c r="AA208" s="311"/>
      <c r="AB208" s="311"/>
      <c r="AC208" s="311"/>
      <c r="AD208" s="311"/>
      <c r="AE208" s="311"/>
      <c r="AF208" s="311"/>
      <c r="AG208" s="311"/>
      <c r="AH208" s="311"/>
      <c r="AI208" s="311"/>
      <c r="AJ208" s="311"/>
      <c r="AK208" s="311"/>
      <c r="AL208" s="311"/>
      <c r="AM208" s="311"/>
      <c r="AN208" s="311"/>
      <c r="AO208" s="311"/>
      <c r="AP208" s="311"/>
      <c r="AQ208" s="311"/>
      <c r="AR208" s="311"/>
      <c r="AS208" s="311"/>
      <c r="AT208" s="311"/>
      <c r="AU208" s="311"/>
      <c r="AV208" s="311"/>
      <c r="AW208" s="311"/>
      <c r="AX208" s="311"/>
      <c r="AY208" s="311"/>
      <c r="AZ208" s="311"/>
      <c r="BA208" s="311"/>
      <c r="BB208" s="311"/>
      <c r="BC208" s="311"/>
      <c r="BD208" s="311"/>
      <c r="BE208" s="311"/>
      <c r="BF208" s="311"/>
      <c r="BG208" s="311"/>
      <c r="BH208" s="311"/>
      <c r="BI208" s="311"/>
      <c r="BJ208" s="311"/>
      <c r="BK208" s="311"/>
      <c r="BL208" s="311"/>
      <c r="BM208" s="311"/>
      <c r="BN208" s="311"/>
      <c r="BO208" s="311"/>
      <c r="BP208" s="311"/>
      <c r="BQ208" s="311"/>
      <c r="BR208" s="311"/>
      <c r="BS208" s="311"/>
      <c r="BT208" s="311"/>
      <c r="BU208" s="311"/>
    </row>
    <row r="209" spans="1:73" ht="15" customHeight="1">
      <c r="A209" s="360"/>
      <c r="B209" s="361" t="s">
        <v>7</v>
      </c>
      <c r="C209" s="361" t="s">
        <v>232</v>
      </c>
      <c r="D209" s="362" t="s">
        <v>231</v>
      </c>
      <c r="E209" s="362"/>
      <c r="F209" s="363" t="s">
        <v>12</v>
      </c>
      <c r="G209" s="363" t="s">
        <v>12</v>
      </c>
      <c r="H209" s="363" t="s">
        <v>12</v>
      </c>
      <c r="I209" s="347">
        <f>SUM(I210:I258)</f>
        <v>0</v>
      </c>
      <c r="J209" s="347">
        <f>SUM(J210:J258)</f>
        <v>0</v>
      </c>
      <c r="K209" s="347">
        <f>SUM(K210:K258)</f>
        <v>0</v>
      </c>
      <c r="L209" s="351"/>
      <c r="M209" s="347">
        <f>SUM(M210:M258)</f>
        <v>0.5927042200000001</v>
      </c>
      <c r="N209" s="364"/>
      <c r="O209" s="346"/>
      <c r="P209" s="346"/>
      <c r="Q209" s="346"/>
      <c r="R209" s="346"/>
      <c r="S209" s="346"/>
      <c r="T209" s="346"/>
      <c r="U209" s="346"/>
      <c r="V209" s="346"/>
      <c r="W209" s="346"/>
      <c r="X209" s="346"/>
      <c r="Y209" s="311"/>
      <c r="Z209" s="311"/>
      <c r="AA209" s="311"/>
      <c r="AB209" s="311"/>
      <c r="AC209" s="311"/>
      <c r="AD209" s="311"/>
      <c r="AE209" s="311"/>
      <c r="AF209" s="311"/>
      <c r="AG209" s="311"/>
      <c r="AH209" s="311"/>
      <c r="AI209" s="351" t="s">
        <v>7</v>
      </c>
      <c r="AJ209" s="311"/>
      <c r="AK209" s="311"/>
      <c r="AL209" s="311"/>
      <c r="AM209" s="311"/>
      <c r="AN209" s="311"/>
      <c r="AO209" s="311"/>
      <c r="AP209" s="311"/>
      <c r="AQ209" s="311"/>
      <c r="AR209" s="311"/>
      <c r="AS209" s="347">
        <f>SUM(AJ210:AJ258)</f>
        <v>0</v>
      </c>
      <c r="AT209" s="347">
        <f>SUM(AK210:AK258)</f>
        <v>0</v>
      </c>
      <c r="AU209" s="347">
        <f>SUM(AL210:AL258)</f>
        <v>0</v>
      </c>
      <c r="AV209" s="311"/>
      <c r="AW209" s="311"/>
      <c r="AX209" s="311"/>
      <c r="AY209" s="311"/>
      <c r="AZ209" s="311"/>
      <c r="BA209" s="311"/>
      <c r="BB209" s="311"/>
      <c r="BC209" s="311"/>
      <c r="BD209" s="311"/>
      <c r="BE209" s="311"/>
      <c r="BF209" s="311"/>
      <c r="BG209" s="311"/>
      <c r="BH209" s="311"/>
      <c r="BI209" s="311"/>
      <c r="BJ209" s="311"/>
      <c r="BK209" s="311"/>
      <c r="BL209" s="311"/>
      <c r="BM209" s="311"/>
      <c r="BN209" s="311"/>
      <c r="BO209" s="311"/>
      <c r="BP209" s="311"/>
      <c r="BQ209" s="311"/>
      <c r="BR209" s="311"/>
      <c r="BS209" s="311"/>
      <c r="BT209" s="311"/>
      <c r="BU209" s="311"/>
    </row>
    <row r="210" spans="1:73" ht="15" customHeight="1">
      <c r="A210" s="365" t="s">
        <v>230</v>
      </c>
      <c r="B210" s="366" t="s">
        <v>7</v>
      </c>
      <c r="C210" s="366" t="s">
        <v>229</v>
      </c>
      <c r="D210" s="304" t="s">
        <v>228</v>
      </c>
      <c r="E210" s="304"/>
      <c r="F210" s="366" t="s">
        <v>89</v>
      </c>
      <c r="G210" s="367">
        <f>'[2]Stavební rozpočet'!G187</f>
        <v>137.3816</v>
      </c>
      <c r="H210" s="328">
        <v>0</v>
      </c>
      <c r="I210" s="367">
        <f>G210*AO210</f>
        <v>0</v>
      </c>
      <c r="J210" s="367">
        <f>G210*AP210</f>
        <v>0</v>
      </c>
      <c r="K210" s="367">
        <f>G210*H210</f>
        <v>0</v>
      </c>
      <c r="L210" s="367">
        <f>'[2]Stavební rozpočet'!L187</f>
        <v>0</v>
      </c>
      <c r="M210" s="367">
        <f>G210*L210</f>
        <v>0</v>
      </c>
      <c r="N210" s="368" t="s">
        <v>36</v>
      </c>
      <c r="O210" s="346"/>
      <c r="P210" s="346"/>
      <c r="Q210" s="346"/>
      <c r="R210" s="346"/>
      <c r="S210" s="346"/>
      <c r="T210" s="346"/>
      <c r="U210" s="346"/>
      <c r="V210" s="346"/>
      <c r="W210" s="346"/>
      <c r="X210" s="346"/>
      <c r="Y210" s="311"/>
      <c r="Z210" s="367">
        <f>IF(AQ210="5",BJ210,0)</f>
        <v>0</v>
      </c>
      <c r="AA210" s="311"/>
      <c r="AB210" s="367">
        <f>IF(AQ210="1",BH210,0)</f>
        <v>0</v>
      </c>
      <c r="AC210" s="367">
        <f>IF(AQ210="1",BI210,0)</f>
        <v>0</v>
      </c>
      <c r="AD210" s="367">
        <f>IF(AQ210="7",BH210,0)</f>
        <v>0</v>
      </c>
      <c r="AE210" s="367">
        <f>IF(AQ210="7",BI210,0)</f>
        <v>0</v>
      </c>
      <c r="AF210" s="367">
        <f>IF(AQ210="2",BH210,0)</f>
        <v>0</v>
      </c>
      <c r="AG210" s="367">
        <f>IF(AQ210="2",BI210,0)</f>
        <v>0</v>
      </c>
      <c r="AH210" s="367">
        <f>IF(AQ210="0",BJ210,0)</f>
        <v>0</v>
      </c>
      <c r="AI210" s="351" t="s">
        <v>7</v>
      </c>
      <c r="AJ210" s="367">
        <f>IF(AN210=0,K210,0)</f>
        <v>0</v>
      </c>
      <c r="AK210" s="367">
        <f>IF(AN210=15,K210,0)</f>
        <v>0</v>
      </c>
      <c r="AL210" s="367">
        <f>IF(AN210=21,K210,0)</f>
        <v>0</v>
      </c>
      <c r="AM210" s="311"/>
      <c r="AN210" s="367">
        <v>21</v>
      </c>
      <c r="AO210" s="367">
        <f>H210*0</f>
        <v>0</v>
      </c>
      <c r="AP210" s="367">
        <f>H210*(1-0)</f>
        <v>0</v>
      </c>
      <c r="AQ210" s="369" t="s">
        <v>178</v>
      </c>
      <c r="AR210" s="311"/>
      <c r="AS210" s="311"/>
      <c r="AT210" s="311"/>
      <c r="AU210" s="311"/>
      <c r="AV210" s="367">
        <f>AW210+AX210</f>
        <v>0</v>
      </c>
      <c r="AW210" s="367">
        <f>G210*AO210</f>
        <v>0</v>
      </c>
      <c r="AX210" s="367">
        <f>G210*AP210</f>
        <v>0</v>
      </c>
      <c r="AY210" s="369" t="s">
        <v>201</v>
      </c>
      <c r="AZ210" s="369" t="s">
        <v>176</v>
      </c>
      <c r="BA210" s="351" t="s">
        <v>3</v>
      </c>
      <c r="BB210" s="311"/>
      <c r="BC210" s="367">
        <f>AW210+AX210</f>
        <v>0</v>
      </c>
      <c r="BD210" s="367">
        <f>H210/(100-BE210)*100</f>
        <v>0</v>
      </c>
      <c r="BE210" s="367">
        <v>0</v>
      </c>
      <c r="BF210" s="367">
        <f>M210</f>
        <v>0</v>
      </c>
      <c r="BG210" s="311"/>
      <c r="BH210" s="367">
        <f>G210*AO210</f>
        <v>0</v>
      </c>
      <c r="BI210" s="367">
        <f>G210*AP210</f>
        <v>0</v>
      </c>
      <c r="BJ210" s="367">
        <f>G210*H210</f>
        <v>0</v>
      </c>
      <c r="BK210" s="367"/>
      <c r="BL210" s="367">
        <v>784</v>
      </c>
      <c r="BM210" s="311"/>
      <c r="BN210" s="311"/>
      <c r="BO210" s="311"/>
      <c r="BP210" s="311"/>
      <c r="BQ210" s="311"/>
      <c r="BR210" s="311"/>
      <c r="BS210" s="311"/>
      <c r="BT210" s="311"/>
      <c r="BU210" s="311"/>
    </row>
    <row r="211" spans="1:73" ht="15" customHeight="1">
      <c r="A211" s="370"/>
      <c r="B211" s="311"/>
      <c r="C211" s="311"/>
      <c r="D211" s="371" t="s">
        <v>192</v>
      </c>
      <c r="E211" s="372"/>
      <c r="F211" s="311"/>
      <c r="G211" s="373">
        <v>63.2792</v>
      </c>
      <c r="H211" s="327"/>
      <c r="I211" s="311"/>
      <c r="J211" s="311"/>
      <c r="K211" s="311"/>
      <c r="L211" s="311"/>
      <c r="M211" s="311"/>
      <c r="N211" s="374"/>
      <c r="O211" s="346"/>
      <c r="P211" s="346"/>
      <c r="Q211" s="346"/>
      <c r="R211" s="346"/>
      <c r="S211" s="346"/>
      <c r="T211" s="346"/>
      <c r="U211" s="346"/>
      <c r="V211" s="346"/>
      <c r="W211" s="346"/>
      <c r="X211" s="346"/>
      <c r="Y211" s="311"/>
      <c r="Z211" s="311"/>
      <c r="AA211" s="311"/>
      <c r="AB211" s="311"/>
      <c r="AC211" s="311"/>
      <c r="AD211" s="311"/>
      <c r="AE211" s="311"/>
      <c r="AF211" s="311"/>
      <c r="AG211" s="311"/>
      <c r="AH211" s="311"/>
      <c r="AI211" s="311"/>
      <c r="AJ211" s="311"/>
      <c r="AK211" s="311"/>
      <c r="AL211" s="311"/>
      <c r="AM211" s="311"/>
      <c r="AN211" s="311"/>
      <c r="AO211" s="311"/>
      <c r="AP211" s="311"/>
      <c r="AQ211" s="311"/>
      <c r="AR211" s="311"/>
      <c r="AS211" s="311"/>
      <c r="AT211" s="311"/>
      <c r="AU211" s="311"/>
      <c r="AV211" s="311"/>
      <c r="AW211" s="311"/>
      <c r="AX211" s="311"/>
      <c r="AY211" s="311"/>
      <c r="AZ211" s="311"/>
      <c r="BA211" s="311"/>
      <c r="BB211" s="311"/>
      <c r="BC211" s="311"/>
      <c r="BD211" s="311"/>
      <c r="BE211" s="311"/>
      <c r="BF211" s="311"/>
      <c r="BG211" s="311"/>
      <c r="BH211" s="311"/>
      <c r="BI211" s="311"/>
      <c r="BJ211" s="311"/>
      <c r="BK211" s="311"/>
      <c r="BL211" s="311"/>
      <c r="BM211" s="311"/>
      <c r="BN211" s="311"/>
      <c r="BO211" s="311"/>
      <c r="BP211" s="311"/>
      <c r="BQ211" s="311"/>
      <c r="BR211" s="311"/>
      <c r="BS211" s="311"/>
      <c r="BT211" s="311"/>
      <c r="BU211" s="311"/>
    </row>
    <row r="212" spans="1:73" ht="15" customHeight="1">
      <c r="A212" s="370"/>
      <c r="B212" s="311"/>
      <c r="C212" s="311"/>
      <c r="D212" s="371" t="s">
        <v>191</v>
      </c>
      <c r="E212" s="372"/>
      <c r="F212" s="311"/>
      <c r="G212" s="373">
        <v>26.547</v>
      </c>
      <c r="H212" s="327"/>
      <c r="I212" s="311"/>
      <c r="J212" s="311"/>
      <c r="K212" s="311"/>
      <c r="L212" s="311"/>
      <c r="M212" s="311"/>
      <c r="N212" s="374"/>
      <c r="O212" s="346"/>
      <c r="P212" s="346"/>
      <c r="Q212" s="346"/>
      <c r="R212" s="346"/>
      <c r="S212" s="346"/>
      <c r="T212" s="346"/>
      <c r="U212" s="346"/>
      <c r="V212" s="346"/>
      <c r="W212" s="346"/>
      <c r="X212" s="346"/>
      <c r="Y212" s="311"/>
      <c r="Z212" s="311"/>
      <c r="AA212" s="311"/>
      <c r="AB212" s="311"/>
      <c r="AC212" s="311"/>
      <c r="AD212" s="311"/>
      <c r="AE212" s="311"/>
      <c r="AF212" s="311"/>
      <c r="AG212" s="311"/>
      <c r="AH212" s="311"/>
      <c r="AI212" s="311"/>
      <c r="AJ212" s="311"/>
      <c r="AK212" s="311"/>
      <c r="AL212" s="311"/>
      <c r="AM212" s="311"/>
      <c r="AN212" s="311"/>
      <c r="AO212" s="311"/>
      <c r="AP212" s="311"/>
      <c r="AQ212" s="311"/>
      <c r="AR212" s="311"/>
      <c r="AS212" s="311"/>
      <c r="AT212" s="311"/>
      <c r="AU212" s="311"/>
      <c r="AV212" s="311"/>
      <c r="AW212" s="311"/>
      <c r="AX212" s="311"/>
      <c r="AY212" s="311"/>
      <c r="AZ212" s="311"/>
      <c r="BA212" s="311"/>
      <c r="BB212" s="311"/>
      <c r="BC212" s="311"/>
      <c r="BD212" s="311"/>
      <c r="BE212" s="311"/>
      <c r="BF212" s="311"/>
      <c r="BG212" s="311"/>
      <c r="BH212" s="311"/>
      <c r="BI212" s="311"/>
      <c r="BJ212" s="311"/>
      <c r="BK212" s="311"/>
      <c r="BL212" s="311"/>
      <c r="BM212" s="311"/>
      <c r="BN212" s="311"/>
      <c r="BO212" s="311"/>
      <c r="BP212" s="311"/>
      <c r="BQ212" s="311"/>
      <c r="BR212" s="311"/>
      <c r="BS212" s="311"/>
      <c r="BT212" s="311"/>
      <c r="BU212" s="311"/>
    </row>
    <row r="213" spans="1:73" ht="15" customHeight="1">
      <c r="A213" s="370"/>
      <c r="B213" s="311"/>
      <c r="C213" s="311"/>
      <c r="D213" s="371" t="s">
        <v>190</v>
      </c>
      <c r="E213" s="372"/>
      <c r="F213" s="311"/>
      <c r="G213" s="373">
        <v>13.0134</v>
      </c>
      <c r="H213" s="327"/>
      <c r="I213" s="311"/>
      <c r="J213" s="311"/>
      <c r="K213" s="311"/>
      <c r="L213" s="311"/>
      <c r="M213" s="311"/>
      <c r="N213" s="374"/>
      <c r="O213" s="346"/>
      <c r="P213" s="346"/>
      <c r="Q213" s="346"/>
      <c r="R213" s="346"/>
      <c r="S213" s="346"/>
      <c r="T213" s="346"/>
      <c r="U213" s="346"/>
      <c r="V213" s="346"/>
      <c r="W213" s="346"/>
      <c r="X213" s="346"/>
      <c r="Y213" s="311"/>
      <c r="Z213" s="311"/>
      <c r="AA213" s="311"/>
      <c r="AB213" s="311"/>
      <c r="AC213" s="311"/>
      <c r="AD213" s="311"/>
      <c r="AE213" s="311"/>
      <c r="AF213" s="311"/>
      <c r="AG213" s="311"/>
      <c r="AH213" s="311"/>
      <c r="AI213" s="311"/>
      <c r="AJ213" s="311"/>
      <c r="AK213" s="311"/>
      <c r="AL213" s="311"/>
      <c r="AM213" s="311"/>
      <c r="AN213" s="311"/>
      <c r="AO213" s="311"/>
      <c r="AP213" s="311"/>
      <c r="AQ213" s="311"/>
      <c r="AR213" s="311"/>
      <c r="AS213" s="311"/>
      <c r="AT213" s="311"/>
      <c r="AU213" s="311"/>
      <c r="AV213" s="311"/>
      <c r="AW213" s="311"/>
      <c r="AX213" s="311"/>
      <c r="AY213" s="311"/>
      <c r="AZ213" s="311"/>
      <c r="BA213" s="311"/>
      <c r="BB213" s="311"/>
      <c r="BC213" s="311"/>
      <c r="BD213" s="311"/>
      <c r="BE213" s="311"/>
      <c r="BF213" s="311"/>
      <c r="BG213" s="311"/>
      <c r="BH213" s="311"/>
      <c r="BI213" s="311"/>
      <c r="BJ213" s="311"/>
      <c r="BK213" s="311"/>
      <c r="BL213" s="311"/>
      <c r="BM213" s="311"/>
      <c r="BN213" s="311"/>
      <c r="BO213" s="311"/>
      <c r="BP213" s="311"/>
      <c r="BQ213" s="311"/>
      <c r="BR213" s="311"/>
      <c r="BS213" s="311"/>
      <c r="BT213" s="311"/>
      <c r="BU213" s="311"/>
    </row>
    <row r="214" spans="1:73" ht="15" customHeight="1">
      <c r="A214" s="370"/>
      <c r="B214" s="311"/>
      <c r="C214" s="311"/>
      <c r="D214" s="371" t="s">
        <v>189</v>
      </c>
      <c r="E214" s="372"/>
      <c r="F214" s="311"/>
      <c r="G214" s="373">
        <v>34.542</v>
      </c>
      <c r="H214" s="327"/>
      <c r="I214" s="311"/>
      <c r="J214" s="311"/>
      <c r="K214" s="311"/>
      <c r="L214" s="311"/>
      <c r="M214" s="311"/>
      <c r="N214" s="374"/>
      <c r="O214" s="346"/>
      <c r="P214" s="346"/>
      <c r="Q214" s="346"/>
      <c r="R214" s="346"/>
      <c r="S214" s="346"/>
      <c r="T214" s="346"/>
      <c r="U214" s="346"/>
      <c r="V214" s="346"/>
      <c r="W214" s="346"/>
      <c r="X214" s="346"/>
      <c r="Y214" s="311"/>
      <c r="Z214" s="311"/>
      <c r="AA214" s="311"/>
      <c r="AB214" s="311"/>
      <c r="AC214" s="311"/>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1"/>
      <c r="AY214" s="311"/>
      <c r="AZ214" s="311"/>
      <c r="BA214" s="311"/>
      <c r="BB214" s="311"/>
      <c r="BC214" s="311"/>
      <c r="BD214" s="311"/>
      <c r="BE214" s="311"/>
      <c r="BF214" s="311"/>
      <c r="BG214" s="311"/>
      <c r="BH214" s="311"/>
      <c r="BI214" s="311"/>
      <c r="BJ214" s="311"/>
      <c r="BK214" s="311"/>
      <c r="BL214" s="311"/>
      <c r="BM214" s="311"/>
      <c r="BN214" s="311"/>
      <c r="BO214" s="311"/>
      <c r="BP214" s="311"/>
      <c r="BQ214" s="311"/>
      <c r="BR214" s="311"/>
      <c r="BS214" s="311"/>
      <c r="BT214" s="311"/>
      <c r="BU214" s="311"/>
    </row>
    <row r="215" spans="1:73" ht="15" customHeight="1">
      <c r="A215" s="365" t="s">
        <v>227</v>
      </c>
      <c r="B215" s="366" t="s">
        <v>7</v>
      </c>
      <c r="C215" s="366" t="s">
        <v>226</v>
      </c>
      <c r="D215" s="304" t="s">
        <v>225</v>
      </c>
      <c r="E215" s="304"/>
      <c r="F215" s="366" t="s">
        <v>89</v>
      </c>
      <c r="G215" s="367">
        <f>'[2]Stavební rozpočet'!G192</f>
        <v>434.309</v>
      </c>
      <c r="H215" s="328">
        <v>0</v>
      </c>
      <c r="I215" s="367">
        <f>G215*AO215</f>
        <v>0</v>
      </c>
      <c r="J215" s="367">
        <f>G215*AP215</f>
        <v>0</v>
      </c>
      <c r="K215" s="367">
        <f>G215*H215</f>
        <v>0</v>
      </c>
      <c r="L215" s="367">
        <f>'[2]Stavební rozpočet'!L192</f>
        <v>0</v>
      </c>
      <c r="M215" s="367">
        <f>G215*L215</f>
        <v>0</v>
      </c>
      <c r="N215" s="368" t="s">
        <v>36</v>
      </c>
      <c r="O215" s="346"/>
      <c r="P215" s="346"/>
      <c r="Q215" s="346"/>
      <c r="R215" s="346"/>
      <c r="S215" s="346"/>
      <c r="T215" s="346"/>
      <c r="U215" s="346"/>
      <c r="V215" s="346"/>
      <c r="W215" s="346"/>
      <c r="X215" s="346"/>
      <c r="Y215" s="311"/>
      <c r="Z215" s="367">
        <f>IF(AQ215="5",BJ215,0)</f>
        <v>0</v>
      </c>
      <c r="AA215" s="311"/>
      <c r="AB215" s="367">
        <f>IF(AQ215="1",BH215,0)</f>
        <v>0</v>
      </c>
      <c r="AC215" s="367">
        <f>IF(AQ215="1",BI215,0)</f>
        <v>0</v>
      </c>
      <c r="AD215" s="367">
        <f>IF(AQ215="7",BH215,0)</f>
        <v>0</v>
      </c>
      <c r="AE215" s="367">
        <f>IF(AQ215="7",BI215,0)</f>
        <v>0</v>
      </c>
      <c r="AF215" s="367">
        <f>IF(AQ215="2",BH215,0)</f>
        <v>0</v>
      </c>
      <c r="AG215" s="367">
        <f>IF(AQ215="2",BI215,0)</f>
        <v>0</v>
      </c>
      <c r="AH215" s="367">
        <f>IF(AQ215="0",BJ215,0)</f>
        <v>0</v>
      </c>
      <c r="AI215" s="351" t="s">
        <v>7</v>
      </c>
      <c r="AJ215" s="367">
        <f>IF(AN215=0,K215,0)</f>
        <v>0</v>
      </c>
      <c r="AK215" s="367">
        <f>IF(AN215=15,K215,0)</f>
        <v>0</v>
      </c>
      <c r="AL215" s="367">
        <f>IF(AN215=21,K215,0)</f>
        <v>0</v>
      </c>
      <c r="AM215" s="311"/>
      <c r="AN215" s="367">
        <v>21</v>
      </c>
      <c r="AO215" s="367">
        <f>H215*0.00273333123549421</f>
        <v>0</v>
      </c>
      <c r="AP215" s="367">
        <f>H215*(1-0.00273333123549421)</f>
        <v>0</v>
      </c>
      <c r="AQ215" s="369" t="s">
        <v>178</v>
      </c>
      <c r="AR215" s="311"/>
      <c r="AS215" s="311"/>
      <c r="AT215" s="311"/>
      <c r="AU215" s="311"/>
      <c r="AV215" s="367">
        <f>AW215+AX215</f>
        <v>0</v>
      </c>
      <c r="AW215" s="367">
        <f>G215*AO215</f>
        <v>0</v>
      </c>
      <c r="AX215" s="367">
        <f>G215*AP215</f>
        <v>0</v>
      </c>
      <c r="AY215" s="369" t="s">
        <v>201</v>
      </c>
      <c r="AZ215" s="369" t="s">
        <v>176</v>
      </c>
      <c r="BA215" s="351" t="s">
        <v>3</v>
      </c>
      <c r="BB215" s="311"/>
      <c r="BC215" s="367">
        <f>AW215+AX215</f>
        <v>0</v>
      </c>
      <c r="BD215" s="367">
        <f>H215/(100-BE215)*100</f>
        <v>0</v>
      </c>
      <c r="BE215" s="367">
        <v>0</v>
      </c>
      <c r="BF215" s="367">
        <f>M215</f>
        <v>0</v>
      </c>
      <c r="BG215" s="311"/>
      <c r="BH215" s="367">
        <f>G215*AO215</f>
        <v>0</v>
      </c>
      <c r="BI215" s="367">
        <f>G215*AP215</f>
        <v>0</v>
      </c>
      <c r="BJ215" s="367">
        <f>G215*H215</f>
        <v>0</v>
      </c>
      <c r="BK215" s="367"/>
      <c r="BL215" s="367">
        <v>784</v>
      </c>
      <c r="BM215" s="311"/>
      <c r="BN215" s="311"/>
      <c r="BO215" s="311"/>
      <c r="BP215" s="311"/>
      <c r="BQ215" s="311"/>
      <c r="BR215" s="311"/>
      <c r="BS215" s="311"/>
      <c r="BT215" s="311"/>
      <c r="BU215" s="311"/>
    </row>
    <row r="216" spans="1:73" ht="13.5" customHeight="1">
      <c r="A216" s="370"/>
      <c r="B216" s="311"/>
      <c r="C216" s="311"/>
      <c r="D216" s="375" t="s">
        <v>224</v>
      </c>
      <c r="E216" s="375"/>
      <c r="F216" s="375"/>
      <c r="G216" s="375"/>
      <c r="H216" s="375"/>
      <c r="I216" s="375"/>
      <c r="J216" s="375"/>
      <c r="K216" s="375"/>
      <c r="L216" s="375"/>
      <c r="M216" s="375"/>
      <c r="N216" s="375"/>
      <c r="O216" s="346"/>
      <c r="P216" s="346"/>
      <c r="Q216" s="346"/>
      <c r="R216" s="346"/>
      <c r="S216" s="346"/>
      <c r="T216" s="346"/>
      <c r="U216" s="346"/>
      <c r="V216" s="346"/>
      <c r="W216" s="346"/>
      <c r="X216" s="346"/>
      <c r="Y216" s="311"/>
      <c r="Z216" s="311"/>
      <c r="AA216" s="311"/>
      <c r="AB216" s="311"/>
      <c r="AC216" s="311"/>
      <c r="AD216" s="311"/>
      <c r="AE216" s="311"/>
      <c r="AF216" s="311"/>
      <c r="AG216" s="311"/>
      <c r="AH216" s="311"/>
      <c r="AI216" s="311"/>
      <c r="AJ216" s="311"/>
      <c r="AK216" s="311"/>
      <c r="AL216" s="311"/>
      <c r="AM216" s="311"/>
      <c r="AN216" s="311"/>
      <c r="AO216" s="311"/>
      <c r="AP216" s="311"/>
      <c r="AQ216" s="311"/>
      <c r="AR216" s="311"/>
      <c r="AS216" s="311"/>
      <c r="AT216" s="311"/>
      <c r="AU216" s="311"/>
      <c r="AV216" s="311"/>
      <c r="AW216" s="311"/>
      <c r="AX216" s="311"/>
      <c r="AY216" s="311"/>
      <c r="AZ216" s="311"/>
      <c r="BA216" s="311"/>
      <c r="BB216" s="311"/>
      <c r="BC216" s="311"/>
      <c r="BD216" s="311"/>
      <c r="BE216" s="311"/>
      <c r="BF216" s="311"/>
      <c r="BG216" s="311"/>
      <c r="BH216" s="311"/>
      <c r="BI216" s="311"/>
      <c r="BJ216" s="311"/>
      <c r="BK216" s="311"/>
      <c r="BL216" s="311"/>
      <c r="BM216" s="311"/>
      <c r="BN216" s="311"/>
      <c r="BO216" s="311"/>
      <c r="BP216" s="311"/>
      <c r="BQ216" s="311"/>
      <c r="BR216" s="311"/>
      <c r="BS216" s="311"/>
      <c r="BT216" s="311"/>
      <c r="BU216" s="311"/>
    </row>
    <row r="217" spans="1:73" ht="15" customHeight="1">
      <c r="A217" s="370"/>
      <c r="B217" s="311"/>
      <c r="C217" s="311"/>
      <c r="D217" s="371" t="s">
        <v>217</v>
      </c>
      <c r="E217" s="372"/>
      <c r="F217" s="311"/>
      <c r="G217" s="373">
        <v>64.456</v>
      </c>
      <c r="H217" s="327"/>
      <c r="I217" s="311"/>
      <c r="J217" s="311"/>
      <c r="K217" s="311"/>
      <c r="L217" s="311"/>
      <c r="M217" s="311"/>
      <c r="N217" s="374"/>
      <c r="O217" s="346"/>
      <c r="P217" s="346"/>
      <c r="Q217" s="346"/>
      <c r="R217" s="346"/>
      <c r="S217" s="346"/>
      <c r="T217" s="346"/>
      <c r="U217" s="346"/>
      <c r="V217" s="346"/>
      <c r="W217" s="346"/>
      <c r="X217" s="346"/>
      <c r="Y217" s="311"/>
      <c r="Z217" s="311"/>
      <c r="AA217" s="311"/>
      <c r="AB217" s="311"/>
      <c r="AC217" s="311"/>
      <c r="AD217" s="311"/>
      <c r="AE217" s="311"/>
      <c r="AF217" s="311"/>
      <c r="AG217" s="311"/>
      <c r="AH217" s="311"/>
      <c r="AI217" s="311"/>
      <c r="AJ217" s="311"/>
      <c r="AK217" s="311"/>
      <c r="AL217" s="311"/>
      <c r="AM217" s="311"/>
      <c r="AN217" s="311"/>
      <c r="AO217" s="311"/>
      <c r="AP217" s="311"/>
      <c r="AQ217" s="311"/>
      <c r="AR217" s="311"/>
      <c r="AS217" s="311"/>
      <c r="AT217" s="311"/>
      <c r="AU217" s="311"/>
      <c r="AV217" s="311"/>
      <c r="AW217" s="311"/>
      <c r="AX217" s="311"/>
      <c r="AY217" s="311"/>
      <c r="AZ217" s="311"/>
      <c r="BA217" s="311"/>
      <c r="BB217" s="311"/>
      <c r="BC217" s="311"/>
      <c r="BD217" s="311"/>
      <c r="BE217" s="311"/>
      <c r="BF217" s="311"/>
      <c r="BG217" s="311"/>
      <c r="BH217" s="311"/>
      <c r="BI217" s="311"/>
      <c r="BJ217" s="311"/>
      <c r="BK217" s="311"/>
      <c r="BL217" s="311"/>
      <c r="BM217" s="311"/>
      <c r="BN217" s="311"/>
      <c r="BO217" s="311"/>
      <c r="BP217" s="311"/>
      <c r="BQ217" s="311"/>
      <c r="BR217" s="311"/>
      <c r="BS217" s="311"/>
      <c r="BT217" s="311"/>
      <c r="BU217" s="311"/>
    </row>
    <row r="218" spans="1:73" ht="15" customHeight="1">
      <c r="A218" s="370"/>
      <c r="B218" s="311"/>
      <c r="C218" s="311"/>
      <c r="D218" s="371" t="s">
        <v>216</v>
      </c>
      <c r="E218" s="372"/>
      <c r="F218" s="311"/>
      <c r="G218" s="373">
        <v>76.27000000000001</v>
      </c>
      <c r="H218" s="327"/>
      <c r="I218" s="311"/>
      <c r="J218" s="311"/>
      <c r="K218" s="311"/>
      <c r="L218" s="311"/>
      <c r="M218" s="311"/>
      <c r="N218" s="374"/>
      <c r="O218" s="346"/>
      <c r="P218" s="346"/>
      <c r="Q218" s="346"/>
      <c r="R218" s="346"/>
      <c r="S218" s="346"/>
      <c r="T218" s="346"/>
      <c r="U218" s="346"/>
      <c r="V218" s="346"/>
      <c r="W218" s="346"/>
      <c r="X218" s="346"/>
      <c r="Y218" s="311"/>
      <c r="Z218" s="311"/>
      <c r="AA218" s="311"/>
      <c r="AB218" s="311"/>
      <c r="AC218" s="311"/>
      <c r="AD218" s="311"/>
      <c r="AE218" s="311"/>
      <c r="AF218" s="311"/>
      <c r="AG218" s="311"/>
      <c r="AH218" s="311"/>
      <c r="AI218" s="311"/>
      <c r="AJ218" s="311"/>
      <c r="AK218" s="311"/>
      <c r="AL218" s="311"/>
      <c r="AM218" s="311"/>
      <c r="AN218" s="311"/>
      <c r="AO218" s="311"/>
      <c r="AP218" s="311"/>
      <c r="AQ218" s="311"/>
      <c r="AR218" s="311"/>
      <c r="AS218" s="311"/>
      <c r="AT218" s="311"/>
      <c r="AU218" s="311"/>
      <c r="AV218" s="311"/>
      <c r="AW218" s="311"/>
      <c r="AX218" s="311"/>
      <c r="AY218" s="311"/>
      <c r="AZ218" s="311"/>
      <c r="BA218" s="311"/>
      <c r="BB218" s="311"/>
      <c r="BC218" s="311"/>
      <c r="BD218" s="311"/>
      <c r="BE218" s="311"/>
      <c r="BF218" s="311"/>
      <c r="BG218" s="311"/>
      <c r="BH218" s="311"/>
      <c r="BI218" s="311"/>
      <c r="BJ218" s="311"/>
      <c r="BK218" s="311"/>
      <c r="BL218" s="311"/>
      <c r="BM218" s="311"/>
      <c r="BN218" s="311"/>
      <c r="BO218" s="311"/>
      <c r="BP218" s="311"/>
      <c r="BQ218" s="311"/>
      <c r="BR218" s="311"/>
      <c r="BS218" s="311"/>
      <c r="BT218" s="311"/>
      <c r="BU218" s="311"/>
    </row>
    <row r="219" spans="1:73" ht="15" customHeight="1">
      <c r="A219" s="370"/>
      <c r="B219" s="311"/>
      <c r="C219" s="311"/>
      <c r="D219" s="371" t="s">
        <v>215</v>
      </c>
      <c r="E219" s="372"/>
      <c r="F219" s="311"/>
      <c r="G219" s="373">
        <v>66.41600000000001</v>
      </c>
      <c r="H219" s="327"/>
      <c r="I219" s="311"/>
      <c r="J219" s="311"/>
      <c r="K219" s="311"/>
      <c r="L219" s="311"/>
      <c r="M219" s="311"/>
      <c r="N219" s="374"/>
      <c r="O219" s="346"/>
      <c r="P219" s="346"/>
      <c r="Q219" s="346"/>
      <c r="R219" s="346"/>
      <c r="S219" s="346"/>
      <c r="T219" s="346"/>
      <c r="U219" s="346"/>
      <c r="V219" s="346"/>
      <c r="W219" s="346"/>
      <c r="X219" s="346"/>
      <c r="Y219" s="311"/>
      <c r="Z219" s="311"/>
      <c r="AA219" s="311"/>
      <c r="AB219" s="311"/>
      <c r="AC219" s="311"/>
      <c r="AD219" s="311"/>
      <c r="AE219" s="311"/>
      <c r="AF219" s="311"/>
      <c r="AG219" s="311"/>
      <c r="AH219" s="311"/>
      <c r="AI219" s="311"/>
      <c r="AJ219" s="311"/>
      <c r="AK219" s="311"/>
      <c r="AL219" s="311"/>
      <c r="AM219" s="311"/>
      <c r="AN219" s="311"/>
      <c r="AO219" s="311"/>
      <c r="AP219" s="311"/>
      <c r="AQ219" s="311"/>
      <c r="AR219" s="311"/>
      <c r="AS219" s="311"/>
      <c r="AT219" s="311"/>
      <c r="AU219" s="311"/>
      <c r="AV219" s="311"/>
      <c r="AW219" s="311"/>
      <c r="AX219" s="311"/>
      <c r="AY219" s="311"/>
      <c r="AZ219" s="311"/>
      <c r="BA219" s="311"/>
      <c r="BB219" s="311"/>
      <c r="BC219" s="311"/>
      <c r="BD219" s="311"/>
      <c r="BE219" s="311"/>
      <c r="BF219" s="311"/>
      <c r="BG219" s="311"/>
      <c r="BH219" s="311"/>
      <c r="BI219" s="311"/>
      <c r="BJ219" s="311"/>
      <c r="BK219" s="311"/>
      <c r="BL219" s="311"/>
      <c r="BM219" s="311"/>
      <c r="BN219" s="311"/>
      <c r="BO219" s="311"/>
      <c r="BP219" s="311"/>
      <c r="BQ219" s="311"/>
      <c r="BR219" s="311"/>
      <c r="BS219" s="311"/>
      <c r="BT219" s="311"/>
      <c r="BU219" s="311"/>
    </row>
    <row r="220" spans="1:73" ht="15" customHeight="1">
      <c r="A220" s="370"/>
      <c r="B220" s="311"/>
      <c r="C220" s="311"/>
      <c r="D220" s="371" t="s">
        <v>214</v>
      </c>
      <c r="E220" s="372"/>
      <c r="F220" s="311"/>
      <c r="G220" s="373">
        <v>8.092</v>
      </c>
      <c r="H220" s="327"/>
      <c r="I220" s="311"/>
      <c r="J220" s="311"/>
      <c r="K220" s="311"/>
      <c r="L220" s="311"/>
      <c r="M220" s="311"/>
      <c r="N220" s="374"/>
      <c r="O220" s="346"/>
      <c r="P220" s="346"/>
      <c r="Q220" s="346"/>
      <c r="R220" s="346"/>
      <c r="S220" s="346"/>
      <c r="T220" s="346"/>
      <c r="U220" s="346"/>
      <c r="V220" s="346"/>
      <c r="W220" s="346"/>
      <c r="X220" s="346"/>
      <c r="Y220" s="311"/>
      <c r="Z220" s="311"/>
      <c r="AA220" s="311"/>
      <c r="AB220" s="311"/>
      <c r="AC220" s="311"/>
      <c r="AD220" s="311"/>
      <c r="AE220" s="311"/>
      <c r="AF220" s="311"/>
      <c r="AG220" s="311"/>
      <c r="AH220" s="311"/>
      <c r="AI220" s="311"/>
      <c r="AJ220" s="311"/>
      <c r="AK220" s="311"/>
      <c r="AL220" s="311"/>
      <c r="AM220" s="311"/>
      <c r="AN220" s="311"/>
      <c r="AO220" s="311"/>
      <c r="AP220" s="311"/>
      <c r="AQ220" s="311"/>
      <c r="AR220" s="311"/>
      <c r="AS220" s="311"/>
      <c r="AT220" s="311"/>
      <c r="AU220" s="311"/>
      <c r="AV220" s="311"/>
      <c r="AW220" s="311"/>
      <c r="AX220" s="311"/>
      <c r="AY220" s="311"/>
      <c r="AZ220" s="311"/>
      <c r="BA220" s="311"/>
      <c r="BB220" s="311"/>
      <c r="BC220" s="311"/>
      <c r="BD220" s="311"/>
      <c r="BE220" s="311"/>
      <c r="BF220" s="311"/>
      <c r="BG220" s="311"/>
      <c r="BH220" s="311"/>
      <c r="BI220" s="311"/>
      <c r="BJ220" s="311"/>
      <c r="BK220" s="311"/>
      <c r="BL220" s="311"/>
      <c r="BM220" s="311"/>
      <c r="BN220" s="311"/>
      <c r="BO220" s="311"/>
      <c r="BP220" s="311"/>
      <c r="BQ220" s="311"/>
      <c r="BR220" s="311"/>
      <c r="BS220" s="311"/>
      <c r="BT220" s="311"/>
      <c r="BU220" s="311"/>
    </row>
    <row r="221" spans="1:73" ht="15" customHeight="1">
      <c r="A221" s="370"/>
      <c r="B221" s="311"/>
      <c r="C221" s="311"/>
      <c r="D221" s="371" t="s">
        <v>213</v>
      </c>
      <c r="E221" s="372"/>
      <c r="F221" s="311"/>
      <c r="G221" s="373">
        <v>15.625000000000002</v>
      </c>
      <c r="H221" s="327"/>
      <c r="I221" s="311"/>
      <c r="J221" s="311"/>
      <c r="K221" s="311"/>
      <c r="L221" s="311"/>
      <c r="M221" s="311"/>
      <c r="N221" s="374"/>
      <c r="O221" s="346"/>
      <c r="P221" s="346"/>
      <c r="Q221" s="346"/>
      <c r="R221" s="346"/>
      <c r="S221" s="346"/>
      <c r="T221" s="346"/>
      <c r="U221" s="346"/>
      <c r="V221" s="346"/>
      <c r="W221" s="346"/>
      <c r="X221" s="346"/>
      <c r="Y221" s="311"/>
      <c r="Z221" s="311"/>
      <c r="AA221" s="311"/>
      <c r="AB221" s="311"/>
      <c r="AC221" s="311"/>
      <c r="AD221" s="311"/>
      <c r="AE221" s="311"/>
      <c r="AF221" s="311"/>
      <c r="AG221" s="311"/>
      <c r="AH221" s="311"/>
      <c r="AI221" s="311"/>
      <c r="AJ221" s="311"/>
      <c r="AK221" s="311"/>
      <c r="AL221" s="311"/>
      <c r="AM221" s="311"/>
      <c r="AN221" s="311"/>
      <c r="AO221" s="311"/>
      <c r="AP221" s="311"/>
      <c r="AQ221" s="311"/>
      <c r="AR221" s="311"/>
      <c r="AS221" s="311"/>
      <c r="AT221" s="311"/>
      <c r="AU221" s="311"/>
      <c r="AV221" s="311"/>
      <c r="AW221" s="311"/>
      <c r="AX221" s="311"/>
      <c r="AY221" s="311"/>
      <c r="AZ221" s="311"/>
      <c r="BA221" s="311"/>
      <c r="BB221" s="311"/>
      <c r="BC221" s="311"/>
      <c r="BD221" s="311"/>
      <c r="BE221" s="311"/>
      <c r="BF221" s="311"/>
      <c r="BG221" s="311"/>
      <c r="BH221" s="311"/>
      <c r="BI221" s="311"/>
      <c r="BJ221" s="311"/>
      <c r="BK221" s="311"/>
      <c r="BL221" s="311"/>
      <c r="BM221" s="311"/>
      <c r="BN221" s="311"/>
      <c r="BO221" s="311"/>
      <c r="BP221" s="311"/>
      <c r="BQ221" s="311"/>
      <c r="BR221" s="311"/>
      <c r="BS221" s="311"/>
      <c r="BT221" s="311"/>
      <c r="BU221" s="311"/>
    </row>
    <row r="222" spans="1:73" ht="15" customHeight="1">
      <c r="A222" s="370"/>
      <c r="B222" s="311"/>
      <c r="C222" s="311"/>
      <c r="D222" s="371" t="s">
        <v>212</v>
      </c>
      <c r="E222" s="372"/>
      <c r="F222" s="311"/>
      <c r="G222" s="373">
        <v>17.766000000000002</v>
      </c>
      <c r="H222" s="327"/>
      <c r="I222" s="311"/>
      <c r="J222" s="311"/>
      <c r="K222" s="311"/>
      <c r="L222" s="311"/>
      <c r="M222" s="311"/>
      <c r="N222" s="374"/>
      <c r="O222" s="346"/>
      <c r="P222" s="346"/>
      <c r="Q222" s="346"/>
      <c r="R222" s="346"/>
      <c r="S222" s="346"/>
      <c r="T222" s="346"/>
      <c r="U222" s="346"/>
      <c r="V222" s="346"/>
      <c r="W222" s="346"/>
      <c r="X222" s="346"/>
      <c r="Y222" s="311"/>
      <c r="Z222" s="311"/>
      <c r="AA222" s="311"/>
      <c r="AB222" s="311"/>
      <c r="AC222" s="311"/>
      <c r="AD222" s="311"/>
      <c r="AE222" s="311"/>
      <c r="AF222" s="311"/>
      <c r="AG222" s="311"/>
      <c r="AH222" s="311"/>
      <c r="AI222" s="311"/>
      <c r="AJ222" s="311"/>
      <c r="AK222" s="311"/>
      <c r="AL222" s="311"/>
      <c r="AM222" s="311"/>
      <c r="AN222" s="311"/>
      <c r="AO222" s="311"/>
      <c r="AP222" s="311"/>
      <c r="AQ222" s="311"/>
      <c r="AR222" s="311"/>
      <c r="AS222" s="311"/>
      <c r="AT222" s="311"/>
      <c r="AU222" s="311"/>
      <c r="AV222" s="311"/>
      <c r="AW222" s="311"/>
      <c r="AX222" s="311"/>
      <c r="AY222" s="311"/>
      <c r="AZ222" s="311"/>
      <c r="BA222" s="311"/>
      <c r="BB222" s="311"/>
      <c r="BC222" s="311"/>
      <c r="BD222" s="311"/>
      <c r="BE222" s="311"/>
      <c r="BF222" s="311"/>
      <c r="BG222" s="311"/>
      <c r="BH222" s="311"/>
      <c r="BI222" s="311"/>
      <c r="BJ222" s="311"/>
      <c r="BK222" s="311"/>
      <c r="BL222" s="311"/>
      <c r="BM222" s="311"/>
      <c r="BN222" s="311"/>
      <c r="BO222" s="311"/>
      <c r="BP222" s="311"/>
      <c r="BQ222" s="311"/>
      <c r="BR222" s="311"/>
      <c r="BS222" s="311"/>
      <c r="BT222" s="311"/>
      <c r="BU222" s="311"/>
    </row>
    <row r="223" spans="1:73" ht="15" customHeight="1">
      <c r="A223" s="370"/>
      <c r="B223" s="311"/>
      <c r="C223" s="311"/>
      <c r="D223" s="371" t="s">
        <v>211</v>
      </c>
      <c r="E223" s="372"/>
      <c r="F223" s="311"/>
      <c r="G223" s="373">
        <v>14.346000000000002</v>
      </c>
      <c r="H223" s="327"/>
      <c r="I223" s="311"/>
      <c r="J223" s="311"/>
      <c r="K223" s="311"/>
      <c r="L223" s="311"/>
      <c r="M223" s="311"/>
      <c r="N223" s="374"/>
      <c r="O223" s="346"/>
      <c r="P223" s="346"/>
      <c r="Q223" s="346"/>
      <c r="R223" s="346"/>
      <c r="S223" s="346"/>
      <c r="T223" s="346"/>
      <c r="U223" s="346"/>
      <c r="V223" s="346"/>
      <c r="W223" s="346"/>
      <c r="X223" s="346"/>
      <c r="Y223" s="311"/>
      <c r="Z223" s="311"/>
      <c r="AA223" s="311"/>
      <c r="AB223" s="311"/>
      <c r="AC223" s="311"/>
      <c r="AD223" s="311"/>
      <c r="AE223" s="311"/>
      <c r="AF223" s="311"/>
      <c r="AG223" s="311"/>
      <c r="AH223" s="311"/>
      <c r="AI223" s="311"/>
      <c r="AJ223" s="311"/>
      <c r="AK223" s="311"/>
      <c r="AL223" s="311"/>
      <c r="AM223" s="311"/>
      <c r="AN223" s="311"/>
      <c r="AO223" s="311"/>
      <c r="AP223" s="311"/>
      <c r="AQ223" s="311"/>
      <c r="AR223" s="311"/>
      <c r="AS223" s="311"/>
      <c r="AT223" s="311"/>
      <c r="AU223" s="311"/>
      <c r="AV223" s="311"/>
      <c r="AW223" s="311"/>
      <c r="AX223" s="311"/>
      <c r="AY223" s="311"/>
      <c r="AZ223" s="311"/>
      <c r="BA223" s="311"/>
      <c r="BB223" s="311"/>
      <c r="BC223" s="311"/>
      <c r="BD223" s="311"/>
      <c r="BE223" s="311"/>
      <c r="BF223" s="311"/>
      <c r="BG223" s="311"/>
      <c r="BH223" s="311"/>
      <c r="BI223" s="311"/>
      <c r="BJ223" s="311"/>
      <c r="BK223" s="311"/>
      <c r="BL223" s="311"/>
      <c r="BM223" s="311"/>
      <c r="BN223" s="311"/>
      <c r="BO223" s="311"/>
      <c r="BP223" s="311"/>
      <c r="BQ223" s="311"/>
      <c r="BR223" s="311"/>
      <c r="BS223" s="311"/>
      <c r="BT223" s="311"/>
      <c r="BU223" s="311"/>
    </row>
    <row r="224" spans="1:73" ht="15" customHeight="1">
      <c r="A224" s="370"/>
      <c r="B224" s="311"/>
      <c r="C224" s="311"/>
      <c r="D224" s="371" t="s">
        <v>210</v>
      </c>
      <c r="E224" s="372"/>
      <c r="F224" s="311"/>
      <c r="G224" s="373">
        <v>11.190000000000001</v>
      </c>
      <c r="H224" s="327"/>
      <c r="I224" s="311"/>
      <c r="J224" s="311"/>
      <c r="K224" s="311"/>
      <c r="L224" s="311"/>
      <c r="M224" s="311"/>
      <c r="N224" s="374"/>
      <c r="O224" s="346"/>
      <c r="P224" s="346"/>
      <c r="Q224" s="346"/>
      <c r="R224" s="346"/>
      <c r="S224" s="346"/>
      <c r="T224" s="346"/>
      <c r="U224" s="346"/>
      <c r="V224" s="346"/>
      <c r="W224" s="346"/>
      <c r="X224" s="346"/>
      <c r="Y224" s="311"/>
      <c r="Z224" s="311"/>
      <c r="AA224" s="311"/>
      <c r="AB224" s="311"/>
      <c r="AC224" s="311"/>
      <c r="AD224" s="311"/>
      <c r="AE224" s="311"/>
      <c r="AF224" s="311"/>
      <c r="AG224" s="311"/>
      <c r="AH224" s="311"/>
      <c r="AI224" s="311"/>
      <c r="AJ224" s="311"/>
      <c r="AK224" s="311"/>
      <c r="AL224" s="311"/>
      <c r="AM224" s="311"/>
      <c r="AN224" s="311"/>
      <c r="AO224" s="311"/>
      <c r="AP224" s="311"/>
      <c r="AQ224" s="311"/>
      <c r="AR224" s="311"/>
      <c r="AS224" s="311"/>
      <c r="AT224" s="311"/>
      <c r="AU224" s="311"/>
      <c r="AV224" s="311"/>
      <c r="AW224" s="311"/>
      <c r="AX224" s="311"/>
      <c r="AY224" s="311"/>
      <c r="AZ224" s="311"/>
      <c r="BA224" s="311"/>
      <c r="BB224" s="311"/>
      <c r="BC224" s="311"/>
      <c r="BD224" s="311"/>
      <c r="BE224" s="311"/>
      <c r="BF224" s="311"/>
      <c r="BG224" s="311"/>
      <c r="BH224" s="311"/>
      <c r="BI224" s="311"/>
      <c r="BJ224" s="311"/>
      <c r="BK224" s="311"/>
      <c r="BL224" s="311"/>
      <c r="BM224" s="311"/>
      <c r="BN224" s="311"/>
      <c r="BO224" s="311"/>
      <c r="BP224" s="311"/>
      <c r="BQ224" s="311"/>
      <c r="BR224" s="311"/>
      <c r="BS224" s="311"/>
      <c r="BT224" s="311"/>
      <c r="BU224" s="311"/>
    </row>
    <row r="225" spans="1:73" ht="15" customHeight="1">
      <c r="A225" s="370"/>
      <c r="B225" s="311"/>
      <c r="C225" s="311"/>
      <c r="D225" s="371" t="s">
        <v>209</v>
      </c>
      <c r="E225" s="372"/>
      <c r="F225" s="311"/>
      <c r="G225" s="373">
        <v>18.844</v>
      </c>
      <c r="H225" s="327"/>
      <c r="I225" s="311"/>
      <c r="J225" s="311"/>
      <c r="K225" s="311"/>
      <c r="L225" s="311"/>
      <c r="M225" s="311"/>
      <c r="N225" s="374"/>
      <c r="O225" s="346"/>
      <c r="P225" s="346"/>
      <c r="Q225" s="346"/>
      <c r="R225" s="346"/>
      <c r="S225" s="346"/>
      <c r="T225" s="346"/>
      <c r="U225" s="346"/>
      <c r="V225" s="346"/>
      <c r="W225" s="346"/>
      <c r="X225" s="346"/>
      <c r="Y225" s="311"/>
      <c r="Z225" s="311"/>
      <c r="AA225" s="311"/>
      <c r="AB225" s="311"/>
      <c r="AC225" s="311"/>
      <c r="AD225" s="311"/>
      <c r="AE225" s="311"/>
      <c r="AF225" s="311"/>
      <c r="AG225" s="311"/>
      <c r="AH225" s="311"/>
      <c r="AI225" s="311"/>
      <c r="AJ225" s="311"/>
      <c r="AK225" s="311"/>
      <c r="AL225" s="311"/>
      <c r="AM225" s="311"/>
      <c r="AN225" s="311"/>
      <c r="AO225" s="311"/>
      <c r="AP225" s="311"/>
      <c r="AQ225" s="311"/>
      <c r="AR225" s="311"/>
      <c r="AS225" s="311"/>
      <c r="AT225" s="311"/>
      <c r="AU225" s="311"/>
      <c r="AV225" s="311"/>
      <c r="AW225" s="311"/>
      <c r="AX225" s="311"/>
      <c r="AY225" s="311"/>
      <c r="AZ225" s="311"/>
      <c r="BA225" s="311"/>
      <c r="BB225" s="311"/>
      <c r="BC225" s="311"/>
      <c r="BD225" s="311"/>
      <c r="BE225" s="311"/>
      <c r="BF225" s="311"/>
      <c r="BG225" s="311"/>
      <c r="BH225" s="311"/>
      <c r="BI225" s="311"/>
      <c r="BJ225" s="311"/>
      <c r="BK225" s="311"/>
      <c r="BL225" s="311"/>
      <c r="BM225" s="311"/>
      <c r="BN225" s="311"/>
      <c r="BO225" s="311"/>
      <c r="BP225" s="311"/>
      <c r="BQ225" s="311"/>
      <c r="BR225" s="311"/>
      <c r="BS225" s="311"/>
      <c r="BT225" s="311"/>
      <c r="BU225" s="311"/>
    </row>
    <row r="226" spans="1:73" ht="15" customHeight="1">
      <c r="A226" s="370"/>
      <c r="B226" s="311"/>
      <c r="C226" s="311"/>
      <c r="D226" s="371" t="s">
        <v>208</v>
      </c>
      <c r="E226" s="372"/>
      <c r="F226" s="311"/>
      <c r="G226" s="373">
        <v>45.53</v>
      </c>
      <c r="H226" s="327"/>
      <c r="I226" s="311"/>
      <c r="J226" s="311"/>
      <c r="K226" s="311"/>
      <c r="L226" s="311"/>
      <c r="M226" s="311"/>
      <c r="N226" s="374"/>
      <c r="O226" s="346"/>
      <c r="P226" s="346"/>
      <c r="Q226" s="346"/>
      <c r="R226" s="346"/>
      <c r="S226" s="346"/>
      <c r="T226" s="346"/>
      <c r="U226" s="346"/>
      <c r="V226" s="346"/>
      <c r="W226" s="346"/>
      <c r="X226" s="346"/>
      <c r="Y226" s="311"/>
      <c r="Z226" s="311"/>
      <c r="AA226" s="311"/>
      <c r="AB226" s="311"/>
      <c r="AC226" s="311"/>
      <c r="AD226" s="311"/>
      <c r="AE226" s="311"/>
      <c r="AF226" s="311"/>
      <c r="AG226" s="311"/>
      <c r="AH226" s="311"/>
      <c r="AI226" s="311"/>
      <c r="AJ226" s="311"/>
      <c r="AK226" s="311"/>
      <c r="AL226" s="311"/>
      <c r="AM226" s="311"/>
      <c r="AN226" s="311"/>
      <c r="AO226" s="311"/>
      <c r="AP226" s="311"/>
      <c r="AQ226" s="311"/>
      <c r="AR226" s="311"/>
      <c r="AS226" s="311"/>
      <c r="AT226" s="311"/>
      <c r="AU226" s="311"/>
      <c r="AV226" s="311"/>
      <c r="AW226" s="311"/>
      <c r="AX226" s="311"/>
      <c r="AY226" s="311"/>
      <c r="AZ226" s="311"/>
      <c r="BA226" s="311"/>
      <c r="BB226" s="311"/>
      <c r="BC226" s="311"/>
      <c r="BD226" s="311"/>
      <c r="BE226" s="311"/>
      <c r="BF226" s="311"/>
      <c r="BG226" s="311"/>
      <c r="BH226" s="311"/>
      <c r="BI226" s="311"/>
      <c r="BJ226" s="311"/>
      <c r="BK226" s="311"/>
      <c r="BL226" s="311"/>
      <c r="BM226" s="311"/>
      <c r="BN226" s="311"/>
      <c r="BO226" s="311"/>
      <c r="BP226" s="311"/>
      <c r="BQ226" s="311"/>
      <c r="BR226" s="311"/>
      <c r="BS226" s="311"/>
      <c r="BT226" s="311"/>
      <c r="BU226" s="311"/>
    </row>
    <row r="227" spans="1:73" ht="15" customHeight="1">
      <c r="A227" s="370"/>
      <c r="B227" s="311"/>
      <c r="C227" s="311"/>
      <c r="D227" s="371" t="s">
        <v>207</v>
      </c>
      <c r="E227" s="372"/>
      <c r="F227" s="311"/>
      <c r="G227" s="373">
        <v>57.666000000000004</v>
      </c>
      <c r="H227" s="327"/>
      <c r="I227" s="311"/>
      <c r="J227" s="311"/>
      <c r="K227" s="311"/>
      <c r="L227" s="311"/>
      <c r="M227" s="311"/>
      <c r="N227" s="374"/>
      <c r="O227" s="346"/>
      <c r="P227" s="346"/>
      <c r="Q227" s="346"/>
      <c r="R227" s="346"/>
      <c r="S227" s="346"/>
      <c r="T227" s="346"/>
      <c r="U227" s="346"/>
      <c r="V227" s="346"/>
      <c r="W227" s="346"/>
      <c r="X227" s="346"/>
      <c r="Y227" s="311"/>
      <c r="Z227" s="311"/>
      <c r="AA227" s="311"/>
      <c r="AB227" s="311"/>
      <c r="AC227" s="311"/>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1"/>
      <c r="AY227" s="311"/>
      <c r="AZ227" s="311"/>
      <c r="BA227" s="311"/>
      <c r="BB227" s="311"/>
      <c r="BC227" s="311"/>
      <c r="BD227" s="311"/>
      <c r="BE227" s="311"/>
      <c r="BF227" s="311"/>
      <c r="BG227" s="311"/>
      <c r="BH227" s="311"/>
      <c r="BI227" s="311"/>
      <c r="BJ227" s="311"/>
      <c r="BK227" s="311"/>
      <c r="BL227" s="311"/>
      <c r="BM227" s="311"/>
      <c r="BN227" s="311"/>
      <c r="BO227" s="311"/>
      <c r="BP227" s="311"/>
      <c r="BQ227" s="311"/>
      <c r="BR227" s="311"/>
      <c r="BS227" s="311"/>
      <c r="BT227" s="311"/>
      <c r="BU227" s="311"/>
    </row>
    <row r="228" spans="1:73" ht="15" customHeight="1">
      <c r="A228" s="370"/>
      <c r="B228" s="311"/>
      <c r="C228" s="311"/>
      <c r="D228" s="371" t="s">
        <v>206</v>
      </c>
      <c r="E228" s="372"/>
      <c r="F228" s="311"/>
      <c r="G228" s="373">
        <v>36.092000000000006</v>
      </c>
      <c r="H228" s="327"/>
      <c r="I228" s="311"/>
      <c r="J228" s="311"/>
      <c r="K228" s="311"/>
      <c r="L228" s="311"/>
      <c r="M228" s="311"/>
      <c r="N228" s="374"/>
      <c r="O228" s="346"/>
      <c r="P228" s="346"/>
      <c r="Q228" s="346"/>
      <c r="R228" s="346"/>
      <c r="S228" s="346"/>
      <c r="T228" s="346"/>
      <c r="U228" s="346"/>
      <c r="V228" s="346"/>
      <c r="W228" s="346"/>
      <c r="X228" s="346"/>
      <c r="Y228" s="311"/>
      <c r="Z228" s="311"/>
      <c r="AA228" s="311"/>
      <c r="AB228" s="311"/>
      <c r="AC228" s="311"/>
      <c r="AD228" s="311"/>
      <c r="AE228" s="311"/>
      <c r="AF228" s="311"/>
      <c r="AG228" s="311"/>
      <c r="AH228" s="311"/>
      <c r="AI228" s="311"/>
      <c r="AJ228" s="311"/>
      <c r="AK228" s="311"/>
      <c r="AL228" s="311"/>
      <c r="AM228" s="311"/>
      <c r="AN228" s="311"/>
      <c r="AO228" s="311"/>
      <c r="AP228" s="311"/>
      <c r="AQ228" s="311"/>
      <c r="AR228" s="311"/>
      <c r="AS228" s="311"/>
      <c r="AT228" s="311"/>
      <c r="AU228" s="311"/>
      <c r="AV228" s="311"/>
      <c r="AW228" s="311"/>
      <c r="AX228" s="311"/>
      <c r="AY228" s="311"/>
      <c r="AZ228" s="311"/>
      <c r="BA228" s="311"/>
      <c r="BB228" s="311"/>
      <c r="BC228" s="311"/>
      <c r="BD228" s="311"/>
      <c r="BE228" s="311"/>
      <c r="BF228" s="311"/>
      <c r="BG228" s="311"/>
      <c r="BH228" s="311"/>
      <c r="BI228" s="311"/>
      <c r="BJ228" s="311"/>
      <c r="BK228" s="311"/>
      <c r="BL228" s="311"/>
      <c r="BM228" s="311"/>
      <c r="BN228" s="311"/>
      <c r="BO228" s="311"/>
      <c r="BP228" s="311"/>
      <c r="BQ228" s="311"/>
      <c r="BR228" s="311"/>
      <c r="BS228" s="311"/>
      <c r="BT228" s="311"/>
      <c r="BU228" s="311"/>
    </row>
    <row r="229" spans="1:73" ht="15" customHeight="1">
      <c r="A229" s="370"/>
      <c r="B229" s="311"/>
      <c r="C229" s="311"/>
      <c r="D229" s="371" t="s">
        <v>205</v>
      </c>
      <c r="E229" s="372"/>
      <c r="F229" s="311"/>
      <c r="G229" s="373">
        <v>2.016</v>
      </c>
      <c r="H229" s="327"/>
      <c r="I229" s="311"/>
      <c r="J229" s="311"/>
      <c r="K229" s="311"/>
      <c r="L229" s="311"/>
      <c r="M229" s="311"/>
      <c r="N229" s="374"/>
      <c r="O229" s="346"/>
      <c r="P229" s="346"/>
      <c r="Q229" s="346"/>
      <c r="R229" s="346"/>
      <c r="S229" s="346"/>
      <c r="T229" s="346"/>
      <c r="U229" s="346"/>
      <c r="V229" s="346"/>
      <c r="W229" s="346"/>
      <c r="X229" s="346"/>
      <c r="Y229" s="311"/>
      <c r="Z229" s="311"/>
      <c r="AA229" s="311"/>
      <c r="AB229" s="311"/>
      <c r="AC229" s="311"/>
      <c r="AD229" s="311"/>
      <c r="AE229" s="311"/>
      <c r="AF229" s="311"/>
      <c r="AG229" s="311"/>
      <c r="AH229" s="311"/>
      <c r="AI229" s="311"/>
      <c r="AJ229" s="311"/>
      <c r="AK229" s="311"/>
      <c r="AL229" s="311"/>
      <c r="AM229" s="311"/>
      <c r="AN229" s="311"/>
      <c r="AO229" s="311"/>
      <c r="AP229" s="311"/>
      <c r="AQ229" s="311"/>
      <c r="AR229" s="311"/>
      <c r="AS229" s="311"/>
      <c r="AT229" s="311"/>
      <c r="AU229" s="311"/>
      <c r="AV229" s="311"/>
      <c r="AW229" s="311"/>
      <c r="AX229" s="311"/>
      <c r="AY229" s="311"/>
      <c r="AZ229" s="311"/>
      <c r="BA229" s="311"/>
      <c r="BB229" s="311"/>
      <c r="BC229" s="311"/>
      <c r="BD229" s="311"/>
      <c r="BE229" s="311"/>
      <c r="BF229" s="311"/>
      <c r="BG229" s="311"/>
      <c r="BH229" s="311"/>
      <c r="BI229" s="311"/>
      <c r="BJ229" s="311"/>
      <c r="BK229" s="311"/>
      <c r="BL229" s="311"/>
      <c r="BM229" s="311"/>
      <c r="BN229" s="311"/>
      <c r="BO229" s="311"/>
      <c r="BP229" s="311"/>
      <c r="BQ229" s="311"/>
      <c r="BR229" s="311"/>
      <c r="BS229" s="311"/>
      <c r="BT229" s="311"/>
      <c r="BU229" s="311"/>
    </row>
    <row r="230" spans="1:73" ht="15" customHeight="1">
      <c r="A230" s="365" t="s">
        <v>223</v>
      </c>
      <c r="B230" s="366" t="s">
        <v>7</v>
      </c>
      <c r="C230" s="366" t="s">
        <v>222</v>
      </c>
      <c r="D230" s="304" t="s">
        <v>221</v>
      </c>
      <c r="E230" s="304"/>
      <c r="F230" s="366" t="s">
        <v>89</v>
      </c>
      <c r="G230" s="367">
        <f>'[2]Stavební rozpočet'!G206</f>
        <v>434.309</v>
      </c>
      <c r="H230" s="328">
        <v>0</v>
      </c>
      <c r="I230" s="367">
        <f>G230*AO230</f>
        <v>0</v>
      </c>
      <c r="J230" s="367">
        <f>G230*AP230</f>
        <v>0</v>
      </c>
      <c r="K230" s="367">
        <f>G230*H230</f>
        <v>0</v>
      </c>
      <c r="L230" s="367">
        <f>'[2]Stavební rozpočet'!L206</f>
        <v>0.00067</v>
      </c>
      <c r="M230" s="367">
        <f>G230*L230</f>
        <v>0.29098703000000004</v>
      </c>
      <c r="N230" s="368" t="s">
        <v>36</v>
      </c>
      <c r="O230" s="346"/>
      <c r="P230" s="346"/>
      <c r="Q230" s="346"/>
      <c r="R230" s="346"/>
      <c r="S230" s="346"/>
      <c r="T230" s="346"/>
      <c r="U230" s="346"/>
      <c r="V230" s="346"/>
      <c r="W230" s="346"/>
      <c r="X230" s="346"/>
      <c r="Y230" s="311"/>
      <c r="Z230" s="367">
        <f>IF(AQ230="5",BJ230,0)</f>
        <v>0</v>
      </c>
      <c r="AA230" s="311"/>
      <c r="AB230" s="367">
        <f>IF(AQ230="1",BH230,0)</f>
        <v>0</v>
      </c>
      <c r="AC230" s="367">
        <f>IF(AQ230="1",BI230,0)</f>
        <v>0</v>
      </c>
      <c r="AD230" s="367">
        <f>IF(AQ230="7",BH230,0)</f>
        <v>0</v>
      </c>
      <c r="AE230" s="367">
        <f>IF(AQ230="7",BI230,0)</f>
        <v>0</v>
      </c>
      <c r="AF230" s="367">
        <f>IF(AQ230="2",BH230,0)</f>
        <v>0</v>
      </c>
      <c r="AG230" s="367">
        <f>IF(AQ230="2",BI230,0)</f>
        <v>0</v>
      </c>
      <c r="AH230" s="367">
        <f>IF(AQ230="0",BJ230,0)</f>
        <v>0</v>
      </c>
      <c r="AI230" s="351" t="s">
        <v>7</v>
      </c>
      <c r="AJ230" s="367">
        <f>IF(AN230=0,K230,0)</f>
        <v>0</v>
      </c>
      <c r="AK230" s="367">
        <f>IF(AN230=15,K230,0)</f>
        <v>0</v>
      </c>
      <c r="AL230" s="367">
        <f>IF(AN230=21,K230,0)</f>
        <v>0</v>
      </c>
      <c r="AM230" s="311"/>
      <c r="AN230" s="367">
        <v>21</v>
      </c>
      <c r="AO230" s="367">
        <f>H230*0.172657086065094</f>
        <v>0</v>
      </c>
      <c r="AP230" s="367">
        <f>H230*(1-0.172657086065094)</f>
        <v>0</v>
      </c>
      <c r="AQ230" s="369" t="s">
        <v>178</v>
      </c>
      <c r="AR230" s="311"/>
      <c r="AS230" s="311"/>
      <c r="AT230" s="311"/>
      <c r="AU230" s="311"/>
      <c r="AV230" s="367">
        <f>AW230+AX230</f>
        <v>0</v>
      </c>
      <c r="AW230" s="367">
        <f>G230*AO230</f>
        <v>0</v>
      </c>
      <c r="AX230" s="367">
        <f>G230*AP230</f>
        <v>0</v>
      </c>
      <c r="AY230" s="369" t="s">
        <v>201</v>
      </c>
      <c r="AZ230" s="369" t="s">
        <v>176</v>
      </c>
      <c r="BA230" s="351" t="s">
        <v>3</v>
      </c>
      <c r="BB230" s="311"/>
      <c r="BC230" s="367">
        <f>AW230+AX230</f>
        <v>0</v>
      </c>
      <c r="BD230" s="367">
        <f>H230/(100-BE230)*100</f>
        <v>0</v>
      </c>
      <c r="BE230" s="367">
        <v>0</v>
      </c>
      <c r="BF230" s="367">
        <f>M230</f>
        <v>0.29098703000000004</v>
      </c>
      <c r="BG230" s="311"/>
      <c r="BH230" s="367">
        <f>G230*AO230</f>
        <v>0</v>
      </c>
      <c r="BI230" s="367">
        <f>G230*AP230</f>
        <v>0</v>
      </c>
      <c r="BJ230" s="367">
        <f>G230*H230</f>
        <v>0</v>
      </c>
      <c r="BK230" s="367"/>
      <c r="BL230" s="367">
        <v>784</v>
      </c>
      <c r="BM230" s="311"/>
      <c r="BN230" s="311"/>
      <c r="BO230" s="311"/>
      <c r="BP230" s="311"/>
      <c r="BQ230" s="311"/>
      <c r="BR230" s="311"/>
      <c r="BS230" s="311"/>
      <c r="BT230" s="311"/>
      <c r="BU230" s="311"/>
    </row>
    <row r="231" spans="1:73" ht="15" customHeight="1">
      <c r="A231" s="370"/>
      <c r="B231" s="311"/>
      <c r="C231" s="311"/>
      <c r="D231" s="371" t="s">
        <v>217</v>
      </c>
      <c r="E231" s="372"/>
      <c r="F231" s="311"/>
      <c r="G231" s="373">
        <v>64.456</v>
      </c>
      <c r="H231" s="327"/>
      <c r="I231" s="311"/>
      <c r="J231" s="311"/>
      <c r="K231" s="311"/>
      <c r="L231" s="311"/>
      <c r="M231" s="311"/>
      <c r="N231" s="374"/>
      <c r="O231" s="346"/>
      <c r="P231" s="346"/>
      <c r="Q231" s="346"/>
      <c r="R231" s="346"/>
      <c r="S231" s="346"/>
      <c r="T231" s="346"/>
      <c r="U231" s="346"/>
      <c r="V231" s="346"/>
      <c r="W231" s="346"/>
      <c r="X231" s="346"/>
      <c r="Y231" s="311"/>
      <c r="Z231" s="311"/>
      <c r="AA231" s="311"/>
      <c r="AB231" s="311"/>
      <c r="AC231" s="311"/>
      <c r="AD231" s="311"/>
      <c r="AE231" s="311"/>
      <c r="AF231" s="311"/>
      <c r="AG231" s="311"/>
      <c r="AH231" s="311"/>
      <c r="AI231" s="311"/>
      <c r="AJ231" s="311"/>
      <c r="AK231" s="311"/>
      <c r="AL231" s="311"/>
      <c r="AM231" s="311"/>
      <c r="AN231" s="311"/>
      <c r="AO231" s="311"/>
      <c r="AP231" s="311"/>
      <c r="AQ231" s="311"/>
      <c r="AR231" s="311"/>
      <c r="AS231" s="311"/>
      <c r="AT231" s="311"/>
      <c r="AU231" s="311"/>
      <c r="AV231" s="311"/>
      <c r="AW231" s="311"/>
      <c r="AX231" s="311"/>
      <c r="AY231" s="311"/>
      <c r="AZ231" s="311"/>
      <c r="BA231" s="311"/>
      <c r="BB231" s="311"/>
      <c r="BC231" s="311"/>
      <c r="BD231" s="311"/>
      <c r="BE231" s="311"/>
      <c r="BF231" s="311"/>
      <c r="BG231" s="311"/>
      <c r="BH231" s="311"/>
      <c r="BI231" s="311"/>
      <c r="BJ231" s="311"/>
      <c r="BK231" s="311"/>
      <c r="BL231" s="311"/>
      <c r="BM231" s="311"/>
      <c r="BN231" s="311"/>
      <c r="BO231" s="311"/>
      <c r="BP231" s="311"/>
      <c r="BQ231" s="311"/>
      <c r="BR231" s="311"/>
      <c r="BS231" s="311"/>
      <c r="BT231" s="311"/>
      <c r="BU231" s="311"/>
    </row>
    <row r="232" spans="1:73" ht="15" customHeight="1">
      <c r="A232" s="370"/>
      <c r="B232" s="311"/>
      <c r="C232" s="311"/>
      <c r="D232" s="371" t="s">
        <v>216</v>
      </c>
      <c r="E232" s="372"/>
      <c r="F232" s="311"/>
      <c r="G232" s="373">
        <v>76.27000000000001</v>
      </c>
      <c r="H232" s="327"/>
      <c r="I232" s="311"/>
      <c r="J232" s="311"/>
      <c r="K232" s="311"/>
      <c r="L232" s="311"/>
      <c r="M232" s="311"/>
      <c r="N232" s="374"/>
      <c r="O232" s="346"/>
      <c r="P232" s="346"/>
      <c r="Q232" s="346"/>
      <c r="R232" s="346"/>
      <c r="S232" s="346"/>
      <c r="T232" s="346"/>
      <c r="U232" s="346"/>
      <c r="V232" s="346"/>
      <c r="W232" s="346"/>
      <c r="X232" s="346"/>
      <c r="Y232" s="311"/>
      <c r="Z232" s="311"/>
      <c r="AA232" s="311"/>
      <c r="AB232" s="311"/>
      <c r="AC232" s="311"/>
      <c r="AD232" s="311"/>
      <c r="AE232" s="311"/>
      <c r="AF232" s="311"/>
      <c r="AG232" s="311"/>
      <c r="AH232" s="311"/>
      <c r="AI232" s="311"/>
      <c r="AJ232" s="311"/>
      <c r="AK232" s="311"/>
      <c r="AL232" s="311"/>
      <c r="AM232" s="311"/>
      <c r="AN232" s="311"/>
      <c r="AO232" s="311"/>
      <c r="AP232" s="311"/>
      <c r="AQ232" s="311"/>
      <c r="AR232" s="311"/>
      <c r="AS232" s="311"/>
      <c r="AT232" s="311"/>
      <c r="AU232" s="311"/>
      <c r="AV232" s="311"/>
      <c r="AW232" s="311"/>
      <c r="AX232" s="311"/>
      <c r="AY232" s="311"/>
      <c r="AZ232" s="311"/>
      <c r="BA232" s="311"/>
      <c r="BB232" s="311"/>
      <c r="BC232" s="311"/>
      <c r="BD232" s="311"/>
      <c r="BE232" s="311"/>
      <c r="BF232" s="311"/>
      <c r="BG232" s="311"/>
      <c r="BH232" s="311"/>
      <c r="BI232" s="311"/>
      <c r="BJ232" s="311"/>
      <c r="BK232" s="311"/>
      <c r="BL232" s="311"/>
      <c r="BM232" s="311"/>
      <c r="BN232" s="311"/>
      <c r="BO232" s="311"/>
      <c r="BP232" s="311"/>
      <c r="BQ232" s="311"/>
      <c r="BR232" s="311"/>
      <c r="BS232" s="311"/>
      <c r="BT232" s="311"/>
      <c r="BU232" s="311"/>
    </row>
    <row r="233" spans="1:73" ht="15" customHeight="1">
      <c r="A233" s="370"/>
      <c r="B233" s="311"/>
      <c r="C233" s="311"/>
      <c r="D233" s="371" t="s">
        <v>215</v>
      </c>
      <c r="E233" s="372"/>
      <c r="F233" s="311"/>
      <c r="G233" s="373">
        <v>66.41600000000001</v>
      </c>
      <c r="H233" s="327"/>
      <c r="I233" s="311"/>
      <c r="J233" s="311"/>
      <c r="K233" s="311"/>
      <c r="L233" s="311"/>
      <c r="M233" s="311"/>
      <c r="N233" s="374"/>
      <c r="O233" s="346"/>
      <c r="P233" s="346"/>
      <c r="Q233" s="346"/>
      <c r="R233" s="346"/>
      <c r="S233" s="346"/>
      <c r="T233" s="346"/>
      <c r="U233" s="346"/>
      <c r="V233" s="346"/>
      <c r="W233" s="346"/>
      <c r="X233" s="346"/>
      <c r="Y233" s="311"/>
      <c r="Z233" s="311"/>
      <c r="AA233" s="311"/>
      <c r="AB233" s="311"/>
      <c r="AC233" s="311"/>
      <c r="AD233" s="311"/>
      <c r="AE233" s="311"/>
      <c r="AF233" s="311"/>
      <c r="AG233" s="311"/>
      <c r="AH233" s="311"/>
      <c r="AI233" s="311"/>
      <c r="AJ233" s="311"/>
      <c r="AK233" s="311"/>
      <c r="AL233" s="311"/>
      <c r="AM233" s="311"/>
      <c r="AN233" s="311"/>
      <c r="AO233" s="311"/>
      <c r="AP233" s="311"/>
      <c r="AQ233" s="311"/>
      <c r="AR233" s="311"/>
      <c r="AS233" s="311"/>
      <c r="AT233" s="311"/>
      <c r="AU233" s="311"/>
      <c r="AV233" s="311"/>
      <c r="AW233" s="311"/>
      <c r="AX233" s="311"/>
      <c r="AY233" s="311"/>
      <c r="AZ233" s="311"/>
      <c r="BA233" s="311"/>
      <c r="BB233" s="311"/>
      <c r="BC233" s="311"/>
      <c r="BD233" s="311"/>
      <c r="BE233" s="311"/>
      <c r="BF233" s="311"/>
      <c r="BG233" s="311"/>
      <c r="BH233" s="311"/>
      <c r="BI233" s="311"/>
      <c r="BJ233" s="311"/>
      <c r="BK233" s="311"/>
      <c r="BL233" s="311"/>
      <c r="BM233" s="311"/>
      <c r="BN233" s="311"/>
      <c r="BO233" s="311"/>
      <c r="BP233" s="311"/>
      <c r="BQ233" s="311"/>
      <c r="BR233" s="311"/>
      <c r="BS233" s="311"/>
      <c r="BT233" s="311"/>
      <c r="BU233" s="311"/>
    </row>
    <row r="234" spans="1:73" ht="15" customHeight="1">
      <c r="A234" s="370"/>
      <c r="B234" s="311"/>
      <c r="C234" s="311"/>
      <c r="D234" s="371" t="s">
        <v>214</v>
      </c>
      <c r="E234" s="372"/>
      <c r="F234" s="311"/>
      <c r="G234" s="373">
        <v>8.092</v>
      </c>
      <c r="H234" s="327"/>
      <c r="I234" s="311"/>
      <c r="J234" s="311"/>
      <c r="K234" s="311"/>
      <c r="L234" s="311"/>
      <c r="M234" s="311"/>
      <c r="N234" s="374"/>
      <c r="O234" s="346"/>
      <c r="P234" s="346"/>
      <c r="Q234" s="346"/>
      <c r="R234" s="346"/>
      <c r="S234" s="346"/>
      <c r="T234" s="346"/>
      <c r="U234" s="346"/>
      <c r="V234" s="346"/>
      <c r="W234" s="346"/>
      <c r="X234" s="346"/>
      <c r="Y234" s="311"/>
      <c r="Z234" s="311"/>
      <c r="AA234" s="311"/>
      <c r="AB234" s="311"/>
      <c r="AC234" s="311"/>
      <c r="AD234" s="311"/>
      <c r="AE234" s="311"/>
      <c r="AF234" s="311"/>
      <c r="AG234" s="311"/>
      <c r="AH234" s="311"/>
      <c r="AI234" s="311"/>
      <c r="AJ234" s="311"/>
      <c r="AK234" s="311"/>
      <c r="AL234" s="311"/>
      <c r="AM234" s="311"/>
      <c r="AN234" s="311"/>
      <c r="AO234" s="311"/>
      <c r="AP234" s="311"/>
      <c r="AQ234" s="311"/>
      <c r="AR234" s="311"/>
      <c r="AS234" s="311"/>
      <c r="AT234" s="311"/>
      <c r="AU234" s="311"/>
      <c r="AV234" s="311"/>
      <c r="AW234" s="311"/>
      <c r="AX234" s="311"/>
      <c r="AY234" s="311"/>
      <c r="AZ234" s="311"/>
      <c r="BA234" s="311"/>
      <c r="BB234" s="311"/>
      <c r="BC234" s="311"/>
      <c r="BD234" s="311"/>
      <c r="BE234" s="311"/>
      <c r="BF234" s="311"/>
      <c r="BG234" s="311"/>
      <c r="BH234" s="311"/>
      <c r="BI234" s="311"/>
      <c r="BJ234" s="311"/>
      <c r="BK234" s="311"/>
      <c r="BL234" s="311"/>
      <c r="BM234" s="311"/>
      <c r="BN234" s="311"/>
      <c r="BO234" s="311"/>
      <c r="BP234" s="311"/>
      <c r="BQ234" s="311"/>
      <c r="BR234" s="311"/>
      <c r="BS234" s="311"/>
      <c r="BT234" s="311"/>
      <c r="BU234" s="311"/>
    </row>
    <row r="235" spans="1:73" ht="15" customHeight="1">
      <c r="A235" s="370"/>
      <c r="B235" s="311"/>
      <c r="C235" s="311"/>
      <c r="D235" s="371" t="s">
        <v>213</v>
      </c>
      <c r="E235" s="372"/>
      <c r="F235" s="311"/>
      <c r="G235" s="373">
        <v>15.625000000000002</v>
      </c>
      <c r="H235" s="327"/>
      <c r="I235" s="311"/>
      <c r="J235" s="311"/>
      <c r="K235" s="311"/>
      <c r="L235" s="311"/>
      <c r="M235" s="311"/>
      <c r="N235" s="374"/>
      <c r="O235" s="346"/>
      <c r="P235" s="346"/>
      <c r="Q235" s="346"/>
      <c r="R235" s="346"/>
      <c r="S235" s="346"/>
      <c r="T235" s="346"/>
      <c r="U235" s="346"/>
      <c r="V235" s="346"/>
      <c r="W235" s="346"/>
      <c r="X235" s="346"/>
      <c r="Y235" s="311"/>
      <c r="Z235" s="311"/>
      <c r="AA235" s="311"/>
      <c r="AB235" s="311"/>
      <c r="AC235" s="311"/>
      <c r="AD235" s="311"/>
      <c r="AE235" s="311"/>
      <c r="AF235" s="311"/>
      <c r="AG235" s="311"/>
      <c r="AH235" s="311"/>
      <c r="AI235" s="311"/>
      <c r="AJ235" s="311"/>
      <c r="AK235" s="311"/>
      <c r="AL235" s="311"/>
      <c r="AM235" s="311"/>
      <c r="AN235" s="311"/>
      <c r="AO235" s="311"/>
      <c r="AP235" s="311"/>
      <c r="AQ235" s="311"/>
      <c r="AR235" s="311"/>
      <c r="AS235" s="311"/>
      <c r="AT235" s="311"/>
      <c r="AU235" s="311"/>
      <c r="AV235" s="311"/>
      <c r="AW235" s="311"/>
      <c r="AX235" s="311"/>
      <c r="AY235" s="311"/>
      <c r="AZ235" s="311"/>
      <c r="BA235" s="311"/>
      <c r="BB235" s="311"/>
      <c r="BC235" s="311"/>
      <c r="BD235" s="311"/>
      <c r="BE235" s="311"/>
      <c r="BF235" s="311"/>
      <c r="BG235" s="311"/>
      <c r="BH235" s="311"/>
      <c r="BI235" s="311"/>
      <c r="BJ235" s="311"/>
      <c r="BK235" s="311"/>
      <c r="BL235" s="311"/>
      <c r="BM235" s="311"/>
      <c r="BN235" s="311"/>
      <c r="BO235" s="311"/>
      <c r="BP235" s="311"/>
      <c r="BQ235" s="311"/>
      <c r="BR235" s="311"/>
      <c r="BS235" s="311"/>
      <c r="BT235" s="311"/>
      <c r="BU235" s="311"/>
    </row>
    <row r="236" spans="1:73" ht="15" customHeight="1">
      <c r="A236" s="370"/>
      <c r="B236" s="311"/>
      <c r="C236" s="311"/>
      <c r="D236" s="371" t="s">
        <v>212</v>
      </c>
      <c r="E236" s="372"/>
      <c r="F236" s="311"/>
      <c r="G236" s="373">
        <v>17.766000000000002</v>
      </c>
      <c r="H236" s="327"/>
      <c r="I236" s="311"/>
      <c r="J236" s="311"/>
      <c r="K236" s="311"/>
      <c r="L236" s="311"/>
      <c r="M236" s="311"/>
      <c r="N236" s="374"/>
      <c r="O236" s="346"/>
      <c r="P236" s="346"/>
      <c r="Q236" s="346"/>
      <c r="R236" s="346"/>
      <c r="S236" s="346"/>
      <c r="T236" s="346"/>
      <c r="U236" s="346"/>
      <c r="V236" s="346"/>
      <c r="W236" s="346"/>
      <c r="X236" s="346"/>
      <c r="Y236" s="311"/>
      <c r="Z236" s="311"/>
      <c r="AA236" s="311"/>
      <c r="AB236" s="311"/>
      <c r="AC236" s="311"/>
      <c r="AD236" s="311"/>
      <c r="AE236" s="311"/>
      <c r="AF236" s="311"/>
      <c r="AG236" s="311"/>
      <c r="AH236" s="311"/>
      <c r="AI236" s="311"/>
      <c r="AJ236" s="311"/>
      <c r="AK236" s="311"/>
      <c r="AL236" s="311"/>
      <c r="AM236" s="311"/>
      <c r="AN236" s="311"/>
      <c r="AO236" s="311"/>
      <c r="AP236" s="311"/>
      <c r="AQ236" s="311"/>
      <c r="AR236" s="311"/>
      <c r="AS236" s="311"/>
      <c r="AT236" s="311"/>
      <c r="AU236" s="311"/>
      <c r="AV236" s="311"/>
      <c r="AW236" s="311"/>
      <c r="AX236" s="311"/>
      <c r="AY236" s="311"/>
      <c r="AZ236" s="311"/>
      <c r="BA236" s="311"/>
      <c r="BB236" s="311"/>
      <c r="BC236" s="311"/>
      <c r="BD236" s="311"/>
      <c r="BE236" s="311"/>
      <c r="BF236" s="311"/>
      <c r="BG236" s="311"/>
      <c r="BH236" s="311"/>
      <c r="BI236" s="311"/>
      <c r="BJ236" s="311"/>
      <c r="BK236" s="311"/>
      <c r="BL236" s="311"/>
      <c r="BM236" s="311"/>
      <c r="BN236" s="311"/>
      <c r="BO236" s="311"/>
      <c r="BP236" s="311"/>
      <c r="BQ236" s="311"/>
      <c r="BR236" s="311"/>
      <c r="BS236" s="311"/>
      <c r="BT236" s="311"/>
      <c r="BU236" s="311"/>
    </row>
    <row r="237" spans="1:73" ht="15" customHeight="1">
      <c r="A237" s="370"/>
      <c r="B237" s="311"/>
      <c r="C237" s="311"/>
      <c r="D237" s="371" t="s">
        <v>211</v>
      </c>
      <c r="E237" s="372"/>
      <c r="F237" s="311"/>
      <c r="G237" s="373">
        <v>14.346000000000002</v>
      </c>
      <c r="H237" s="327"/>
      <c r="I237" s="311"/>
      <c r="J237" s="311"/>
      <c r="K237" s="311"/>
      <c r="L237" s="311"/>
      <c r="M237" s="311"/>
      <c r="N237" s="374"/>
      <c r="O237" s="346"/>
      <c r="P237" s="346"/>
      <c r="Q237" s="346"/>
      <c r="R237" s="346"/>
      <c r="S237" s="346"/>
      <c r="T237" s="346"/>
      <c r="U237" s="346"/>
      <c r="V237" s="346"/>
      <c r="W237" s="346"/>
      <c r="X237" s="346"/>
      <c r="Y237" s="311"/>
      <c r="Z237" s="311"/>
      <c r="AA237" s="311"/>
      <c r="AB237" s="311"/>
      <c r="AC237" s="311"/>
      <c r="AD237" s="311"/>
      <c r="AE237" s="311"/>
      <c r="AF237" s="311"/>
      <c r="AG237" s="311"/>
      <c r="AH237" s="311"/>
      <c r="AI237" s="311"/>
      <c r="AJ237" s="311"/>
      <c r="AK237" s="311"/>
      <c r="AL237" s="311"/>
      <c r="AM237" s="311"/>
      <c r="AN237" s="311"/>
      <c r="AO237" s="311"/>
      <c r="AP237" s="311"/>
      <c r="AQ237" s="311"/>
      <c r="AR237" s="311"/>
      <c r="AS237" s="311"/>
      <c r="AT237" s="311"/>
      <c r="AU237" s="311"/>
      <c r="AV237" s="311"/>
      <c r="AW237" s="311"/>
      <c r="AX237" s="311"/>
      <c r="AY237" s="311"/>
      <c r="AZ237" s="311"/>
      <c r="BA237" s="311"/>
      <c r="BB237" s="311"/>
      <c r="BC237" s="311"/>
      <c r="BD237" s="311"/>
      <c r="BE237" s="311"/>
      <c r="BF237" s="311"/>
      <c r="BG237" s="311"/>
      <c r="BH237" s="311"/>
      <c r="BI237" s="311"/>
      <c r="BJ237" s="311"/>
      <c r="BK237" s="311"/>
      <c r="BL237" s="311"/>
      <c r="BM237" s="311"/>
      <c r="BN237" s="311"/>
      <c r="BO237" s="311"/>
      <c r="BP237" s="311"/>
      <c r="BQ237" s="311"/>
      <c r="BR237" s="311"/>
      <c r="BS237" s="311"/>
      <c r="BT237" s="311"/>
      <c r="BU237" s="311"/>
    </row>
    <row r="238" spans="1:73" ht="15" customHeight="1">
      <c r="A238" s="370"/>
      <c r="B238" s="311"/>
      <c r="C238" s="311"/>
      <c r="D238" s="371" t="s">
        <v>210</v>
      </c>
      <c r="E238" s="372"/>
      <c r="F238" s="311"/>
      <c r="G238" s="373">
        <v>11.190000000000001</v>
      </c>
      <c r="H238" s="327"/>
      <c r="I238" s="311"/>
      <c r="J238" s="311"/>
      <c r="K238" s="311"/>
      <c r="L238" s="311"/>
      <c r="M238" s="311"/>
      <c r="N238" s="374"/>
      <c r="O238" s="346"/>
      <c r="P238" s="346"/>
      <c r="Q238" s="346"/>
      <c r="R238" s="346"/>
      <c r="S238" s="346"/>
      <c r="T238" s="346"/>
      <c r="U238" s="346"/>
      <c r="V238" s="346"/>
      <c r="W238" s="346"/>
      <c r="X238" s="346"/>
      <c r="Y238" s="311"/>
      <c r="Z238" s="311"/>
      <c r="AA238" s="311"/>
      <c r="AB238" s="311"/>
      <c r="AC238" s="311"/>
      <c r="AD238" s="311"/>
      <c r="AE238" s="311"/>
      <c r="AF238" s="311"/>
      <c r="AG238" s="311"/>
      <c r="AH238" s="311"/>
      <c r="AI238" s="311"/>
      <c r="AJ238" s="311"/>
      <c r="AK238" s="311"/>
      <c r="AL238" s="311"/>
      <c r="AM238" s="311"/>
      <c r="AN238" s="311"/>
      <c r="AO238" s="311"/>
      <c r="AP238" s="311"/>
      <c r="AQ238" s="311"/>
      <c r="AR238" s="311"/>
      <c r="AS238" s="311"/>
      <c r="AT238" s="311"/>
      <c r="AU238" s="311"/>
      <c r="AV238" s="311"/>
      <c r="AW238" s="311"/>
      <c r="AX238" s="311"/>
      <c r="AY238" s="311"/>
      <c r="AZ238" s="311"/>
      <c r="BA238" s="311"/>
      <c r="BB238" s="311"/>
      <c r="BC238" s="311"/>
      <c r="BD238" s="311"/>
      <c r="BE238" s="311"/>
      <c r="BF238" s="311"/>
      <c r="BG238" s="311"/>
      <c r="BH238" s="311"/>
      <c r="BI238" s="311"/>
      <c r="BJ238" s="311"/>
      <c r="BK238" s="311"/>
      <c r="BL238" s="311"/>
      <c r="BM238" s="311"/>
      <c r="BN238" s="311"/>
      <c r="BO238" s="311"/>
      <c r="BP238" s="311"/>
      <c r="BQ238" s="311"/>
      <c r="BR238" s="311"/>
      <c r="BS238" s="311"/>
      <c r="BT238" s="311"/>
      <c r="BU238" s="311"/>
    </row>
    <row r="239" spans="1:73" ht="15" customHeight="1">
      <c r="A239" s="370"/>
      <c r="B239" s="311"/>
      <c r="C239" s="311"/>
      <c r="D239" s="371" t="s">
        <v>209</v>
      </c>
      <c r="E239" s="372"/>
      <c r="F239" s="311"/>
      <c r="G239" s="373">
        <v>18.844</v>
      </c>
      <c r="H239" s="327"/>
      <c r="I239" s="311"/>
      <c r="J239" s="311"/>
      <c r="K239" s="311"/>
      <c r="L239" s="311"/>
      <c r="M239" s="311"/>
      <c r="N239" s="374"/>
      <c r="O239" s="346"/>
      <c r="P239" s="346"/>
      <c r="Q239" s="346"/>
      <c r="R239" s="346"/>
      <c r="S239" s="346"/>
      <c r="T239" s="346"/>
      <c r="U239" s="346"/>
      <c r="V239" s="346"/>
      <c r="W239" s="346"/>
      <c r="X239" s="346"/>
      <c r="Y239" s="311"/>
      <c r="Z239" s="311"/>
      <c r="AA239" s="311"/>
      <c r="AB239" s="311"/>
      <c r="AC239" s="311"/>
      <c r="AD239" s="311"/>
      <c r="AE239" s="311"/>
      <c r="AF239" s="311"/>
      <c r="AG239" s="311"/>
      <c r="AH239" s="311"/>
      <c r="AI239" s="311"/>
      <c r="AJ239" s="311"/>
      <c r="AK239" s="311"/>
      <c r="AL239" s="311"/>
      <c r="AM239" s="311"/>
      <c r="AN239" s="311"/>
      <c r="AO239" s="311"/>
      <c r="AP239" s="311"/>
      <c r="AQ239" s="311"/>
      <c r="AR239" s="311"/>
      <c r="AS239" s="311"/>
      <c r="AT239" s="311"/>
      <c r="AU239" s="311"/>
      <c r="AV239" s="311"/>
      <c r="AW239" s="311"/>
      <c r="AX239" s="311"/>
      <c r="AY239" s="311"/>
      <c r="AZ239" s="311"/>
      <c r="BA239" s="311"/>
      <c r="BB239" s="311"/>
      <c r="BC239" s="311"/>
      <c r="BD239" s="311"/>
      <c r="BE239" s="311"/>
      <c r="BF239" s="311"/>
      <c r="BG239" s="311"/>
      <c r="BH239" s="311"/>
      <c r="BI239" s="311"/>
      <c r="BJ239" s="311"/>
      <c r="BK239" s="311"/>
      <c r="BL239" s="311"/>
      <c r="BM239" s="311"/>
      <c r="BN239" s="311"/>
      <c r="BO239" s="311"/>
      <c r="BP239" s="311"/>
      <c r="BQ239" s="311"/>
      <c r="BR239" s="311"/>
      <c r="BS239" s="311"/>
      <c r="BT239" s="311"/>
      <c r="BU239" s="311"/>
    </row>
    <row r="240" spans="1:73" ht="15" customHeight="1">
      <c r="A240" s="370"/>
      <c r="B240" s="311"/>
      <c r="C240" s="311"/>
      <c r="D240" s="371" t="s">
        <v>208</v>
      </c>
      <c r="E240" s="372"/>
      <c r="F240" s="311"/>
      <c r="G240" s="373">
        <v>45.53</v>
      </c>
      <c r="H240" s="327"/>
      <c r="I240" s="311"/>
      <c r="J240" s="311"/>
      <c r="K240" s="311"/>
      <c r="L240" s="311"/>
      <c r="M240" s="311"/>
      <c r="N240" s="374"/>
      <c r="O240" s="346"/>
      <c r="P240" s="346"/>
      <c r="Q240" s="346"/>
      <c r="R240" s="346"/>
      <c r="S240" s="346"/>
      <c r="T240" s="346"/>
      <c r="U240" s="346"/>
      <c r="V240" s="346"/>
      <c r="W240" s="346"/>
      <c r="X240" s="346"/>
      <c r="Y240" s="311"/>
      <c r="Z240" s="311"/>
      <c r="AA240" s="311"/>
      <c r="AB240" s="311"/>
      <c r="AC240" s="311"/>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1"/>
      <c r="AY240" s="311"/>
      <c r="AZ240" s="311"/>
      <c r="BA240" s="311"/>
      <c r="BB240" s="311"/>
      <c r="BC240" s="311"/>
      <c r="BD240" s="311"/>
      <c r="BE240" s="311"/>
      <c r="BF240" s="311"/>
      <c r="BG240" s="311"/>
      <c r="BH240" s="311"/>
      <c r="BI240" s="311"/>
      <c r="BJ240" s="311"/>
      <c r="BK240" s="311"/>
      <c r="BL240" s="311"/>
      <c r="BM240" s="311"/>
      <c r="BN240" s="311"/>
      <c r="BO240" s="311"/>
      <c r="BP240" s="311"/>
      <c r="BQ240" s="311"/>
      <c r="BR240" s="311"/>
      <c r="BS240" s="311"/>
      <c r="BT240" s="311"/>
      <c r="BU240" s="311"/>
    </row>
    <row r="241" spans="1:73" ht="15" customHeight="1">
      <c r="A241" s="370"/>
      <c r="B241" s="311"/>
      <c r="C241" s="311"/>
      <c r="D241" s="371" t="s">
        <v>207</v>
      </c>
      <c r="E241" s="372"/>
      <c r="F241" s="311"/>
      <c r="G241" s="373">
        <v>57.666000000000004</v>
      </c>
      <c r="H241" s="327"/>
      <c r="I241" s="311"/>
      <c r="J241" s="311"/>
      <c r="K241" s="311"/>
      <c r="L241" s="311"/>
      <c r="M241" s="311"/>
      <c r="N241" s="374"/>
      <c r="O241" s="346"/>
      <c r="P241" s="346"/>
      <c r="Q241" s="346"/>
      <c r="R241" s="346"/>
      <c r="S241" s="346"/>
      <c r="T241" s="346"/>
      <c r="U241" s="346"/>
      <c r="V241" s="346"/>
      <c r="W241" s="346"/>
      <c r="X241" s="346"/>
      <c r="Y241" s="311"/>
      <c r="Z241" s="311"/>
      <c r="AA241" s="311"/>
      <c r="AB241" s="311"/>
      <c r="AC241" s="311"/>
      <c r="AD241" s="311"/>
      <c r="AE241" s="311"/>
      <c r="AF241" s="311"/>
      <c r="AG241" s="311"/>
      <c r="AH241" s="311"/>
      <c r="AI241" s="311"/>
      <c r="AJ241" s="311"/>
      <c r="AK241" s="311"/>
      <c r="AL241" s="311"/>
      <c r="AM241" s="311"/>
      <c r="AN241" s="311"/>
      <c r="AO241" s="311"/>
      <c r="AP241" s="311"/>
      <c r="AQ241" s="311"/>
      <c r="AR241" s="311"/>
      <c r="AS241" s="311"/>
      <c r="AT241" s="311"/>
      <c r="AU241" s="311"/>
      <c r="AV241" s="311"/>
      <c r="AW241" s="311"/>
      <c r="AX241" s="311"/>
      <c r="AY241" s="311"/>
      <c r="AZ241" s="311"/>
      <c r="BA241" s="311"/>
      <c r="BB241" s="311"/>
      <c r="BC241" s="311"/>
      <c r="BD241" s="311"/>
      <c r="BE241" s="311"/>
      <c r="BF241" s="311"/>
      <c r="BG241" s="311"/>
      <c r="BH241" s="311"/>
      <c r="BI241" s="311"/>
      <c r="BJ241" s="311"/>
      <c r="BK241" s="311"/>
      <c r="BL241" s="311"/>
      <c r="BM241" s="311"/>
      <c r="BN241" s="311"/>
      <c r="BO241" s="311"/>
      <c r="BP241" s="311"/>
      <c r="BQ241" s="311"/>
      <c r="BR241" s="311"/>
      <c r="BS241" s="311"/>
      <c r="BT241" s="311"/>
      <c r="BU241" s="311"/>
    </row>
    <row r="242" spans="1:73" ht="15" customHeight="1">
      <c r="A242" s="370"/>
      <c r="B242" s="311"/>
      <c r="C242" s="311"/>
      <c r="D242" s="371" t="s">
        <v>206</v>
      </c>
      <c r="E242" s="372"/>
      <c r="F242" s="311"/>
      <c r="G242" s="373">
        <v>36.092000000000006</v>
      </c>
      <c r="H242" s="327"/>
      <c r="I242" s="311"/>
      <c r="J242" s="311"/>
      <c r="K242" s="311"/>
      <c r="L242" s="311"/>
      <c r="M242" s="311"/>
      <c r="N242" s="374"/>
      <c r="O242" s="346"/>
      <c r="P242" s="346"/>
      <c r="Q242" s="346"/>
      <c r="R242" s="346"/>
      <c r="S242" s="346"/>
      <c r="T242" s="346"/>
      <c r="U242" s="346"/>
      <c r="V242" s="346"/>
      <c r="W242" s="346"/>
      <c r="X242" s="346"/>
      <c r="Y242" s="311"/>
      <c r="Z242" s="311"/>
      <c r="AA242" s="311"/>
      <c r="AB242" s="311"/>
      <c r="AC242" s="311"/>
      <c r="AD242" s="311"/>
      <c r="AE242" s="311"/>
      <c r="AF242" s="311"/>
      <c r="AG242" s="311"/>
      <c r="AH242" s="311"/>
      <c r="AI242" s="311"/>
      <c r="AJ242" s="311"/>
      <c r="AK242" s="311"/>
      <c r="AL242" s="311"/>
      <c r="AM242" s="311"/>
      <c r="AN242" s="311"/>
      <c r="AO242" s="311"/>
      <c r="AP242" s="311"/>
      <c r="AQ242" s="311"/>
      <c r="AR242" s="311"/>
      <c r="AS242" s="311"/>
      <c r="AT242" s="311"/>
      <c r="AU242" s="311"/>
      <c r="AV242" s="311"/>
      <c r="AW242" s="311"/>
      <c r="AX242" s="311"/>
      <c r="AY242" s="311"/>
      <c r="AZ242" s="311"/>
      <c r="BA242" s="311"/>
      <c r="BB242" s="311"/>
      <c r="BC242" s="311"/>
      <c r="BD242" s="311"/>
      <c r="BE242" s="311"/>
      <c r="BF242" s="311"/>
      <c r="BG242" s="311"/>
      <c r="BH242" s="311"/>
      <c r="BI242" s="311"/>
      <c r="BJ242" s="311"/>
      <c r="BK242" s="311"/>
      <c r="BL242" s="311"/>
      <c r="BM242" s="311"/>
      <c r="BN242" s="311"/>
      <c r="BO242" s="311"/>
      <c r="BP242" s="311"/>
      <c r="BQ242" s="311"/>
      <c r="BR242" s="311"/>
      <c r="BS242" s="311"/>
      <c r="BT242" s="311"/>
      <c r="BU242" s="311"/>
    </row>
    <row r="243" spans="1:73" ht="15" customHeight="1">
      <c r="A243" s="370"/>
      <c r="B243" s="311"/>
      <c r="C243" s="311"/>
      <c r="D243" s="371" t="s">
        <v>205</v>
      </c>
      <c r="E243" s="372"/>
      <c r="F243" s="311"/>
      <c r="G243" s="373">
        <v>2.016</v>
      </c>
      <c r="H243" s="327"/>
      <c r="I243" s="311"/>
      <c r="J243" s="311"/>
      <c r="K243" s="311"/>
      <c r="L243" s="311"/>
      <c r="M243" s="311"/>
      <c r="N243" s="374"/>
      <c r="O243" s="346"/>
      <c r="P243" s="346"/>
      <c r="Q243" s="346"/>
      <c r="R243" s="346"/>
      <c r="S243" s="346"/>
      <c r="T243" s="346"/>
      <c r="U243" s="346"/>
      <c r="V243" s="346"/>
      <c r="W243" s="346"/>
      <c r="X243" s="346"/>
      <c r="Y243" s="311"/>
      <c r="Z243" s="311"/>
      <c r="AA243" s="311"/>
      <c r="AB243" s="311"/>
      <c r="AC243" s="311"/>
      <c r="AD243" s="311"/>
      <c r="AE243" s="311"/>
      <c r="AF243" s="311"/>
      <c r="AG243" s="311"/>
      <c r="AH243" s="311"/>
      <c r="AI243" s="311"/>
      <c r="AJ243" s="311"/>
      <c r="AK243" s="311"/>
      <c r="AL243" s="311"/>
      <c r="AM243" s="311"/>
      <c r="AN243" s="311"/>
      <c r="AO243" s="311"/>
      <c r="AP243" s="311"/>
      <c r="AQ243" s="311"/>
      <c r="AR243" s="311"/>
      <c r="AS243" s="311"/>
      <c r="AT243" s="311"/>
      <c r="AU243" s="311"/>
      <c r="AV243" s="311"/>
      <c r="AW243" s="311"/>
      <c r="AX243" s="311"/>
      <c r="AY243" s="311"/>
      <c r="AZ243" s="311"/>
      <c r="BA243" s="311"/>
      <c r="BB243" s="311"/>
      <c r="BC243" s="311"/>
      <c r="BD243" s="311"/>
      <c r="BE243" s="311"/>
      <c r="BF243" s="311"/>
      <c r="BG243" s="311"/>
      <c r="BH243" s="311"/>
      <c r="BI243" s="311"/>
      <c r="BJ243" s="311"/>
      <c r="BK243" s="311"/>
      <c r="BL243" s="311"/>
      <c r="BM243" s="311"/>
      <c r="BN243" s="311"/>
      <c r="BO243" s="311"/>
      <c r="BP243" s="311"/>
      <c r="BQ243" s="311"/>
      <c r="BR243" s="311"/>
      <c r="BS243" s="311"/>
      <c r="BT243" s="311"/>
      <c r="BU243" s="311"/>
    </row>
    <row r="244" spans="1:73" ht="15" customHeight="1">
      <c r="A244" s="365" t="s">
        <v>220</v>
      </c>
      <c r="B244" s="366" t="s">
        <v>7</v>
      </c>
      <c r="C244" s="366" t="s">
        <v>219</v>
      </c>
      <c r="D244" s="304" t="s">
        <v>218</v>
      </c>
      <c r="E244" s="304"/>
      <c r="F244" s="366" t="s">
        <v>89</v>
      </c>
      <c r="G244" s="367">
        <f>'[2]Stavební rozpočet'!G220</f>
        <v>434.309</v>
      </c>
      <c r="H244" s="328">
        <v>0</v>
      </c>
      <c r="I244" s="367">
        <f>G244*AO244</f>
        <v>0</v>
      </c>
      <c r="J244" s="367">
        <f>G244*AP244</f>
        <v>0</v>
      </c>
      <c r="K244" s="367">
        <f>G244*H244</f>
        <v>0</v>
      </c>
      <c r="L244" s="367">
        <f>'[2]Stavební rozpočet'!L220</f>
        <v>0.00067</v>
      </c>
      <c r="M244" s="367">
        <f>G244*L244</f>
        <v>0.29098703000000004</v>
      </c>
      <c r="N244" s="368" t="s">
        <v>36</v>
      </c>
      <c r="O244" s="346"/>
      <c r="P244" s="346"/>
      <c r="Q244" s="346"/>
      <c r="R244" s="346"/>
      <c r="S244" s="346"/>
      <c r="T244" s="346"/>
      <c r="U244" s="346"/>
      <c r="V244" s="346"/>
      <c r="W244" s="346"/>
      <c r="X244" s="346"/>
      <c r="Y244" s="311"/>
      <c r="Z244" s="367">
        <f>IF(AQ244="5",BJ244,0)</f>
        <v>0</v>
      </c>
      <c r="AA244" s="311"/>
      <c r="AB244" s="367">
        <f>IF(AQ244="1",BH244,0)</f>
        <v>0</v>
      </c>
      <c r="AC244" s="367">
        <f>IF(AQ244="1",BI244,0)</f>
        <v>0</v>
      </c>
      <c r="AD244" s="367">
        <f>IF(AQ244="7",BH244,0)</f>
        <v>0</v>
      </c>
      <c r="AE244" s="367">
        <f>IF(AQ244="7",BI244,0)</f>
        <v>0</v>
      </c>
      <c r="AF244" s="367">
        <f>IF(AQ244="2",BH244,0)</f>
        <v>0</v>
      </c>
      <c r="AG244" s="367">
        <f>IF(AQ244="2",BI244,0)</f>
        <v>0</v>
      </c>
      <c r="AH244" s="367">
        <f>IF(AQ244="0",BJ244,0)</f>
        <v>0</v>
      </c>
      <c r="AI244" s="351" t="s">
        <v>7</v>
      </c>
      <c r="AJ244" s="367">
        <f>IF(AN244=0,K244,0)</f>
        <v>0</v>
      </c>
      <c r="AK244" s="367">
        <f>IF(AN244=15,K244,0)</f>
        <v>0</v>
      </c>
      <c r="AL244" s="367">
        <f>IF(AN244=21,K244,0)</f>
        <v>0</v>
      </c>
      <c r="AM244" s="311"/>
      <c r="AN244" s="367">
        <v>21</v>
      </c>
      <c r="AO244" s="367">
        <f>H244*0.174229315308849</f>
        <v>0</v>
      </c>
      <c r="AP244" s="367">
        <f>H244*(1-0.174229315308849)</f>
        <v>0</v>
      </c>
      <c r="AQ244" s="369" t="s">
        <v>178</v>
      </c>
      <c r="AR244" s="311"/>
      <c r="AS244" s="311"/>
      <c r="AT244" s="311"/>
      <c r="AU244" s="311"/>
      <c r="AV244" s="367">
        <f>AW244+AX244</f>
        <v>0</v>
      </c>
      <c r="AW244" s="367">
        <f>G244*AO244</f>
        <v>0</v>
      </c>
      <c r="AX244" s="367">
        <f>G244*AP244</f>
        <v>0</v>
      </c>
      <c r="AY244" s="369" t="s">
        <v>201</v>
      </c>
      <c r="AZ244" s="369" t="s">
        <v>176</v>
      </c>
      <c r="BA244" s="351" t="s">
        <v>3</v>
      </c>
      <c r="BB244" s="311"/>
      <c r="BC244" s="367">
        <f>AW244+AX244</f>
        <v>0</v>
      </c>
      <c r="BD244" s="367">
        <f>H244/(100-BE244)*100</f>
        <v>0</v>
      </c>
      <c r="BE244" s="367">
        <v>0</v>
      </c>
      <c r="BF244" s="367">
        <f>M244</f>
        <v>0.29098703000000004</v>
      </c>
      <c r="BG244" s="311"/>
      <c r="BH244" s="367">
        <f>G244*AO244</f>
        <v>0</v>
      </c>
      <c r="BI244" s="367">
        <f>G244*AP244</f>
        <v>0</v>
      </c>
      <c r="BJ244" s="367">
        <f>G244*H244</f>
        <v>0</v>
      </c>
      <c r="BK244" s="367"/>
      <c r="BL244" s="367">
        <v>784</v>
      </c>
      <c r="BM244" s="311"/>
      <c r="BN244" s="311"/>
      <c r="BO244" s="311"/>
      <c r="BP244" s="311"/>
      <c r="BQ244" s="311"/>
      <c r="BR244" s="311"/>
      <c r="BS244" s="311"/>
      <c r="BT244" s="311"/>
      <c r="BU244" s="311"/>
    </row>
    <row r="245" spans="1:73" ht="15" customHeight="1">
      <c r="A245" s="370"/>
      <c r="B245" s="311"/>
      <c r="C245" s="311"/>
      <c r="D245" s="371" t="s">
        <v>217</v>
      </c>
      <c r="E245" s="372"/>
      <c r="F245" s="311"/>
      <c r="G245" s="373">
        <v>64.456</v>
      </c>
      <c r="H245" s="327"/>
      <c r="I245" s="311"/>
      <c r="J245" s="311"/>
      <c r="K245" s="311"/>
      <c r="L245" s="311"/>
      <c r="M245" s="311"/>
      <c r="N245" s="374"/>
      <c r="O245" s="346"/>
      <c r="P245" s="346"/>
      <c r="Q245" s="346"/>
      <c r="R245" s="346"/>
      <c r="S245" s="346"/>
      <c r="T245" s="346"/>
      <c r="U245" s="346"/>
      <c r="V245" s="346"/>
      <c r="W245" s="346"/>
      <c r="X245" s="346"/>
      <c r="Y245" s="311"/>
      <c r="Z245" s="311"/>
      <c r="AA245" s="311"/>
      <c r="AB245" s="311"/>
      <c r="AC245" s="311"/>
      <c r="AD245" s="311"/>
      <c r="AE245" s="311"/>
      <c r="AF245" s="311"/>
      <c r="AG245" s="311"/>
      <c r="AH245" s="311"/>
      <c r="AI245" s="311"/>
      <c r="AJ245" s="311"/>
      <c r="AK245" s="311"/>
      <c r="AL245" s="311"/>
      <c r="AM245" s="311"/>
      <c r="AN245" s="311"/>
      <c r="AO245" s="311"/>
      <c r="AP245" s="311"/>
      <c r="AQ245" s="311"/>
      <c r="AR245" s="311"/>
      <c r="AS245" s="311"/>
      <c r="AT245" s="311"/>
      <c r="AU245" s="311"/>
      <c r="AV245" s="311"/>
      <c r="AW245" s="311"/>
      <c r="AX245" s="311"/>
      <c r="AY245" s="311"/>
      <c r="AZ245" s="311"/>
      <c r="BA245" s="311"/>
      <c r="BB245" s="311"/>
      <c r="BC245" s="311"/>
      <c r="BD245" s="311"/>
      <c r="BE245" s="311"/>
      <c r="BF245" s="311"/>
      <c r="BG245" s="311"/>
      <c r="BH245" s="311"/>
      <c r="BI245" s="311"/>
      <c r="BJ245" s="311"/>
      <c r="BK245" s="311"/>
      <c r="BL245" s="311"/>
      <c r="BM245" s="311"/>
      <c r="BN245" s="311"/>
      <c r="BO245" s="311"/>
      <c r="BP245" s="311"/>
      <c r="BQ245" s="311"/>
      <c r="BR245" s="311"/>
      <c r="BS245" s="311"/>
      <c r="BT245" s="311"/>
      <c r="BU245" s="311"/>
    </row>
    <row r="246" spans="1:73" ht="15" customHeight="1">
      <c r="A246" s="370"/>
      <c r="B246" s="311"/>
      <c r="C246" s="311"/>
      <c r="D246" s="371" t="s">
        <v>216</v>
      </c>
      <c r="E246" s="372"/>
      <c r="F246" s="311"/>
      <c r="G246" s="373">
        <v>76.27000000000001</v>
      </c>
      <c r="H246" s="311"/>
      <c r="I246" s="311"/>
      <c r="J246" s="311"/>
      <c r="K246" s="311"/>
      <c r="L246" s="311"/>
      <c r="M246" s="311"/>
      <c r="N246" s="374"/>
      <c r="O246" s="346"/>
      <c r="P246" s="346"/>
      <c r="Q246" s="346"/>
      <c r="R246" s="346"/>
      <c r="S246" s="346"/>
      <c r="T246" s="346"/>
      <c r="U246" s="346"/>
      <c r="V246" s="346"/>
      <c r="W246" s="346"/>
      <c r="X246" s="346"/>
      <c r="Y246" s="311"/>
      <c r="Z246" s="311"/>
      <c r="AA246" s="311"/>
      <c r="AB246" s="311"/>
      <c r="AC246" s="311"/>
      <c r="AD246" s="311"/>
      <c r="AE246" s="311"/>
      <c r="AF246" s="311"/>
      <c r="AG246" s="311"/>
      <c r="AH246" s="311"/>
      <c r="AI246" s="311"/>
      <c r="AJ246" s="311"/>
      <c r="AK246" s="311"/>
      <c r="AL246" s="311"/>
      <c r="AM246" s="311"/>
      <c r="AN246" s="311"/>
      <c r="AO246" s="311"/>
      <c r="AP246" s="311"/>
      <c r="AQ246" s="311"/>
      <c r="AR246" s="311"/>
      <c r="AS246" s="311"/>
      <c r="AT246" s="311"/>
      <c r="AU246" s="311"/>
      <c r="AV246" s="311"/>
      <c r="AW246" s="311"/>
      <c r="AX246" s="311"/>
      <c r="AY246" s="311"/>
      <c r="AZ246" s="311"/>
      <c r="BA246" s="311"/>
      <c r="BB246" s="311"/>
      <c r="BC246" s="311"/>
      <c r="BD246" s="311"/>
      <c r="BE246" s="311"/>
      <c r="BF246" s="311"/>
      <c r="BG246" s="311"/>
      <c r="BH246" s="311"/>
      <c r="BI246" s="311"/>
      <c r="BJ246" s="311"/>
      <c r="BK246" s="311"/>
      <c r="BL246" s="311"/>
      <c r="BM246" s="311"/>
      <c r="BN246" s="311"/>
      <c r="BO246" s="311"/>
      <c r="BP246" s="311"/>
      <c r="BQ246" s="311"/>
      <c r="BR246" s="311"/>
      <c r="BS246" s="311"/>
      <c r="BT246" s="311"/>
      <c r="BU246" s="311"/>
    </row>
    <row r="247" spans="1:73" ht="15" customHeight="1">
      <c r="A247" s="370"/>
      <c r="B247" s="311"/>
      <c r="C247" s="311"/>
      <c r="D247" s="371" t="s">
        <v>215</v>
      </c>
      <c r="E247" s="372"/>
      <c r="F247" s="311"/>
      <c r="G247" s="373">
        <v>66.41600000000001</v>
      </c>
      <c r="H247" s="311"/>
      <c r="I247" s="311"/>
      <c r="J247" s="311"/>
      <c r="K247" s="311"/>
      <c r="L247" s="311"/>
      <c r="M247" s="311"/>
      <c r="N247" s="374"/>
      <c r="O247" s="346"/>
      <c r="P247" s="346"/>
      <c r="Q247" s="346"/>
      <c r="R247" s="346"/>
      <c r="S247" s="346"/>
      <c r="T247" s="346"/>
      <c r="U247" s="346"/>
      <c r="V247" s="346"/>
      <c r="W247" s="346"/>
      <c r="X247" s="346"/>
      <c r="Y247" s="311"/>
      <c r="Z247" s="311"/>
      <c r="AA247" s="311"/>
      <c r="AB247" s="311"/>
      <c r="AC247" s="311"/>
      <c r="AD247" s="311"/>
      <c r="AE247" s="311"/>
      <c r="AF247" s="311"/>
      <c r="AG247" s="311"/>
      <c r="AH247" s="311"/>
      <c r="AI247" s="311"/>
      <c r="AJ247" s="311"/>
      <c r="AK247" s="311"/>
      <c r="AL247" s="311"/>
      <c r="AM247" s="311"/>
      <c r="AN247" s="311"/>
      <c r="AO247" s="311"/>
      <c r="AP247" s="311"/>
      <c r="AQ247" s="311"/>
      <c r="AR247" s="311"/>
      <c r="AS247" s="311"/>
      <c r="AT247" s="311"/>
      <c r="AU247" s="311"/>
      <c r="AV247" s="311"/>
      <c r="AW247" s="311"/>
      <c r="AX247" s="311"/>
      <c r="AY247" s="311"/>
      <c r="AZ247" s="311"/>
      <c r="BA247" s="311"/>
      <c r="BB247" s="311"/>
      <c r="BC247" s="311"/>
      <c r="BD247" s="311"/>
      <c r="BE247" s="311"/>
      <c r="BF247" s="311"/>
      <c r="BG247" s="311"/>
      <c r="BH247" s="311"/>
      <c r="BI247" s="311"/>
      <c r="BJ247" s="311"/>
      <c r="BK247" s="311"/>
      <c r="BL247" s="311"/>
      <c r="BM247" s="311"/>
      <c r="BN247" s="311"/>
      <c r="BO247" s="311"/>
      <c r="BP247" s="311"/>
      <c r="BQ247" s="311"/>
      <c r="BR247" s="311"/>
      <c r="BS247" s="311"/>
      <c r="BT247" s="311"/>
      <c r="BU247" s="311"/>
    </row>
    <row r="248" spans="1:73" ht="15" customHeight="1">
      <c r="A248" s="370"/>
      <c r="B248" s="311"/>
      <c r="C248" s="311"/>
      <c r="D248" s="371" t="s">
        <v>214</v>
      </c>
      <c r="E248" s="372"/>
      <c r="F248" s="311"/>
      <c r="G248" s="373">
        <v>8.092</v>
      </c>
      <c r="H248" s="311"/>
      <c r="I248" s="311"/>
      <c r="J248" s="311"/>
      <c r="K248" s="311"/>
      <c r="L248" s="311"/>
      <c r="M248" s="311"/>
      <c r="N248" s="374"/>
      <c r="O248" s="346"/>
      <c r="P248" s="346"/>
      <c r="Q248" s="346"/>
      <c r="R248" s="346"/>
      <c r="S248" s="346"/>
      <c r="T248" s="346"/>
      <c r="U248" s="346"/>
      <c r="V248" s="346"/>
      <c r="W248" s="346"/>
      <c r="X248" s="346"/>
      <c r="Y248" s="311"/>
      <c r="Z248" s="311"/>
      <c r="AA248" s="311"/>
      <c r="AB248" s="311"/>
      <c r="AC248" s="311"/>
      <c r="AD248" s="311"/>
      <c r="AE248" s="311"/>
      <c r="AF248" s="311"/>
      <c r="AG248" s="311"/>
      <c r="AH248" s="311"/>
      <c r="AI248" s="311"/>
      <c r="AJ248" s="311"/>
      <c r="AK248" s="311"/>
      <c r="AL248" s="311"/>
      <c r="AM248" s="311"/>
      <c r="AN248" s="311"/>
      <c r="AO248" s="311"/>
      <c r="AP248" s="311"/>
      <c r="AQ248" s="311"/>
      <c r="AR248" s="311"/>
      <c r="AS248" s="311"/>
      <c r="AT248" s="311"/>
      <c r="AU248" s="311"/>
      <c r="AV248" s="311"/>
      <c r="AW248" s="311"/>
      <c r="AX248" s="311"/>
      <c r="AY248" s="311"/>
      <c r="AZ248" s="311"/>
      <c r="BA248" s="311"/>
      <c r="BB248" s="311"/>
      <c r="BC248" s="311"/>
      <c r="BD248" s="311"/>
      <c r="BE248" s="311"/>
      <c r="BF248" s="311"/>
      <c r="BG248" s="311"/>
      <c r="BH248" s="311"/>
      <c r="BI248" s="311"/>
      <c r="BJ248" s="311"/>
      <c r="BK248" s="311"/>
      <c r="BL248" s="311"/>
      <c r="BM248" s="311"/>
      <c r="BN248" s="311"/>
      <c r="BO248" s="311"/>
      <c r="BP248" s="311"/>
      <c r="BQ248" s="311"/>
      <c r="BR248" s="311"/>
      <c r="BS248" s="311"/>
      <c r="BT248" s="311"/>
      <c r="BU248" s="311"/>
    </row>
    <row r="249" spans="1:73" ht="15" customHeight="1">
      <c r="A249" s="370"/>
      <c r="B249" s="311"/>
      <c r="C249" s="311"/>
      <c r="D249" s="371" t="s">
        <v>213</v>
      </c>
      <c r="E249" s="372"/>
      <c r="F249" s="311"/>
      <c r="G249" s="373">
        <v>15.625000000000002</v>
      </c>
      <c r="H249" s="311"/>
      <c r="I249" s="311"/>
      <c r="J249" s="311"/>
      <c r="K249" s="311"/>
      <c r="L249" s="311"/>
      <c r="M249" s="311"/>
      <c r="N249" s="374"/>
      <c r="O249" s="346"/>
      <c r="P249" s="346"/>
      <c r="Q249" s="346"/>
      <c r="R249" s="346"/>
      <c r="S249" s="346"/>
      <c r="T249" s="346"/>
      <c r="U249" s="346"/>
      <c r="V249" s="346"/>
      <c r="W249" s="346"/>
      <c r="X249" s="346"/>
      <c r="Y249" s="311"/>
      <c r="Z249" s="311"/>
      <c r="AA249" s="311"/>
      <c r="AB249" s="311"/>
      <c r="AC249" s="311"/>
      <c r="AD249" s="311"/>
      <c r="AE249" s="311"/>
      <c r="AF249" s="311"/>
      <c r="AG249" s="311"/>
      <c r="AH249" s="311"/>
      <c r="AI249" s="311"/>
      <c r="AJ249" s="311"/>
      <c r="AK249" s="311"/>
      <c r="AL249" s="311"/>
      <c r="AM249" s="311"/>
      <c r="AN249" s="311"/>
      <c r="AO249" s="311"/>
      <c r="AP249" s="311"/>
      <c r="AQ249" s="311"/>
      <c r="AR249" s="311"/>
      <c r="AS249" s="311"/>
      <c r="AT249" s="311"/>
      <c r="AU249" s="311"/>
      <c r="AV249" s="311"/>
      <c r="AW249" s="311"/>
      <c r="AX249" s="311"/>
      <c r="AY249" s="311"/>
      <c r="AZ249" s="311"/>
      <c r="BA249" s="311"/>
      <c r="BB249" s="311"/>
      <c r="BC249" s="311"/>
      <c r="BD249" s="311"/>
      <c r="BE249" s="311"/>
      <c r="BF249" s="311"/>
      <c r="BG249" s="311"/>
      <c r="BH249" s="311"/>
      <c r="BI249" s="311"/>
      <c r="BJ249" s="311"/>
      <c r="BK249" s="311"/>
      <c r="BL249" s="311"/>
      <c r="BM249" s="311"/>
      <c r="BN249" s="311"/>
      <c r="BO249" s="311"/>
      <c r="BP249" s="311"/>
      <c r="BQ249" s="311"/>
      <c r="BR249" s="311"/>
      <c r="BS249" s="311"/>
      <c r="BT249" s="311"/>
      <c r="BU249" s="311"/>
    </row>
    <row r="250" spans="1:73" ht="15" customHeight="1">
      <c r="A250" s="370"/>
      <c r="B250" s="311"/>
      <c r="C250" s="311"/>
      <c r="D250" s="371" t="s">
        <v>212</v>
      </c>
      <c r="E250" s="372"/>
      <c r="F250" s="311"/>
      <c r="G250" s="373">
        <v>17.766000000000002</v>
      </c>
      <c r="H250" s="311"/>
      <c r="I250" s="311"/>
      <c r="J250" s="311"/>
      <c r="K250" s="311"/>
      <c r="L250" s="311"/>
      <c r="M250" s="311"/>
      <c r="N250" s="374"/>
      <c r="O250" s="346"/>
      <c r="P250" s="346"/>
      <c r="Q250" s="346"/>
      <c r="R250" s="346"/>
      <c r="S250" s="346"/>
      <c r="T250" s="346"/>
      <c r="U250" s="346"/>
      <c r="V250" s="346"/>
      <c r="W250" s="346"/>
      <c r="X250" s="346"/>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1"/>
      <c r="AY250" s="311"/>
      <c r="AZ250" s="311"/>
      <c r="BA250" s="311"/>
      <c r="BB250" s="311"/>
      <c r="BC250" s="311"/>
      <c r="BD250" s="311"/>
      <c r="BE250" s="311"/>
      <c r="BF250" s="311"/>
      <c r="BG250" s="311"/>
      <c r="BH250" s="311"/>
      <c r="BI250" s="311"/>
      <c r="BJ250" s="311"/>
      <c r="BK250" s="311"/>
      <c r="BL250" s="311"/>
      <c r="BM250" s="311"/>
      <c r="BN250" s="311"/>
      <c r="BO250" s="311"/>
      <c r="BP250" s="311"/>
      <c r="BQ250" s="311"/>
      <c r="BR250" s="311"/>
      <c r="BS250" s="311"/>
      <c r="BT250" s="311"/>
      <c r="BU250" s="311"/>
    </row>
    <row r="251" spans="1:73" ht="15" customHeight="1">
      <c r="A251" s="370"/>
      <c r="B251" s="311"/>
      <c r="C251" s="311"/>
      <c r="D251" s="371" t="s">
        <v>211</v>
      </c>
      <c r="E251" s="372"/>
      <c r="F251" s="311"/>
      <c r="G251" s="373">
        <v>14.346000000000002</v>
      </c>
      <c r="H251" s="311"/>
      <c r="I251" s="311"/>
      <c r="J251" s="311"/>
      <c r="K251" s="311"/>
      <c r="L251" s="311"/>
      <c r="M251" s="311"/>
      <c r="N251" s="374"/>
      <c r="O251" s="346"/>
      <c r="P251" s="346"/>
      <c r="Q251" s="346"/>
      <c r="R251" s="346"/>
      <c r="S251" s="346"/>
      <c r="T251" s="346"/>
      <c r="U251" s="346"/>
      <c r="V251" s="346"/>
      <c r="W251" s="346"/>
      <c r="X251" s="346"/>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1"/>
      <c r="AY251" s="311"/>
      <c r="AZ251" s="311"/>
      <c r="BA251" s="311"/>
      <c r="BB251" s="311"/>
      <c r="BC251" s="311"/>
      <c r="BD251" s="311"/>
      <c r="BE251" s="311"/>
      <c r="BF251" s="311"/>
      <c r="BG251" s="311"/>
      <c r="BH251" s="311"/>
      <c r="BI251" s="311"/>
      <c r="BJ251" s="311"/>
      <c r="BK251" s="311"/>
      <c r="BL251" s="311"/>
      <c r="BM251" s="311"/>
      <c r="BN251" s="311"/>
      <c r="BO251" s="311"/>
      <c r="BP251" s="311"/>
      <c r="BQ251" s="311"/>
      <c r="BR251" s="311"/>
      <c r="BS251" s="311"/>
      <c r="BT251" s="311"/>
      <c r="BU251" s="311"/>
    </row>
    <row r="252" spans="1:73" ht="15" customHeight="1">
      <c r="A252" s="370"/>
      <c r="B252" s="311"/>
      <c r="C252" s="311"/>
      <c r="D252" s="371" t="s">
        <v>210</v>
      </c>
      <c r="E252" s="372"/>
      <c r="F252" s="311"/>
      <c r="G252" s="373">
        <v>11.190000000000001</v>
      </c>
      <c r="H252" s="311"/>
      <c r="I252" s="311"/>
      <c r="J252" s="311"/>
      <c r="K252" s="311"/>
      <c r="L252" s="311"/>
      <c r="M252" s="311"/>
      <c r="N252" s="374"/>
      <c r="O252" s="346"/>
      <c r="P252" s="346"/>
      <c r="Q252" s="346"/>
      <c r="R252" s="346"/>
      <c r="S252" s="346"/>
      <c r="T252" s="346"/>
      <c r="U252" s="346"/>
      <c r="V252" s="346"/>
      <c r="W252" s="346"/>
      <c r="X252" s="346"/>
      <c r="Y252" s="311"/>
      <c r="Z252" s="311"/>
      <c r="AA252" s="311"/>
      <c r="AB252" s="311"/>
      <c r="AC252" s="311"/>
      <c r="AD252" s="311"/>
      <c r="AE252" s="311"/>
      <c r="AF252" s="311"/>
      <c r="AG252" s="311"/>
      <c r="AH252" s="311"/>
      <c r="AI252" s="311"/>
      <c r="AJ252" s="311"/>
      <c r="AK252" s="311"/>
      <c r="AL252" s="311"/>
      <c r="AM252" s="311"/>
      <c r="AN252" s="311"/>
      <c r="AO252" s="311"/>
      <c r="AP252" s="311"/>
      <c r="AQ252" s="311"/>
      <c r="AR252" s="311"/>
      <c r="AS252" s="311"/>
      <c r="AT252" s="311"/>
      <c r="AU252" s="311"/>
      <c r="AV252" s="311"/>
      <c r="AW252" s="311"/>
      <c r="AX252" s="311"/>
      <c r="AY252" s="311"/>
      <c r="AZ252" s="311"/>
      <c r="BA252" s="311"/>
      <c r="BB252" s="311"/>
      <c r="BC252" s="311"/>
      <c r="BD252" s="311"/>
      <c r="BE252" s="311"/>
      <c r="BF252" s="311"/>
      <c r="BG252" s="311"/>
      <c r="BH252" s="311"/>
      <c r="BI252" s="311"/>
      <c r="BJ252" s="311"/>
      <c r="BK252" s="311"/>
      <c r="BL252" s="311"/>
      <c r="BM252" s="311"/>
      <c r="BN252" s="311"/>
      <c r="BO252" s="311"/>
      <c r="BP252" s="311"/>
      <c r="BQ252" s="311"/>
      <c r="BR252" s="311"/>
      <c r="BS252" s="311"/>
      <c r="BT252" s="311"/>
      <c r="BU252" s="311"/>
    </row>
    <row r="253" spans="1:73" ht="15" customHeight="1">
      <c r="A253" s="370"/>
      <c r="B253" s="311"/>
      <c r="C253" s="311"/>
      <c r="D253" s="371" t="s">
        <v>209</v>
      </c>
      <c r="E253" s="372"/>
      <c r="F253" s="311"/>
      <c r="G253" s="373">
        <v>18.844</v>
      </c>
      <c r="H253" s="311"/>
      <c r="I253" s="311"/>
      <c r="J253" s="311"/>
      <c r="K253" s="311"/>
      <c r="L253" s="311"/>
      <c r="M253" s="311"/>
      <c r="N253" s="374"/>
      <c r="O253" s="346"/>
      <c r="P253" s="346"/>
      <c r="Q253" s="346"/>
      <c r="R253" s="346"/>
      <c r="S253" s="346"/>
      <c r="T253" s="346"/>
      <c r="U253" s="346"/>
      <c r="V253" s="346"/>
      <c r="W253" s="346"/>
      <c r="X253" s="346"/>
      <c r="Y253" s="311"/>
      <c r="Z253" s="311"/>
      <c r="AA253" s="311"/>
      <c r="AB253" s="311"/>
      <c r="AC253" s="311"/>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1"/>
      <c r="AY253" s="311"/>
      <c r="AZ253" s="311"/>
      <c r="BA253" s="311"/>
      <c r="BB253" s="311"/>
      <c r="BC253" s="311"/>
      <c r="BD253" s="311"/>
      <c r="BE253" s="311"/>
      <c r="BF253" s="311"/>
      <c r="BG253" s="311"/>
      <c r="BH253" s="311"/>
      <c r="BI253" s="311"/>
      <c r="BJ253" s="311"/>
      <c r="BK253" s="311"/>
      <c r="BL253" s="311"/>
      <c r="BM253" s="311"/>
      <c r="BN253" s="311"/>
      <c r="BO253" s="311"/>
      <c r="BP253" s="311"/>
      <c r="BQ253" s="311"/>
      <c r="BR253" s="311"/>
      <c r="BS253" s="311"/>
      <c r="BT253" s="311"/>
      <c r="BU253" s="311"/>
    </row>
    <row r="254" spans="1:73" ht="15" customHeight="1">
      <c r="A254" s="370"/>
      <c r="B254" s="311"/>
      <c r="C254" s="311"/>
      <c r="D254" s="371" t="s">
        <v>208</v>
      </c>
      <c r="E254" s="372"/>
      <c r="F254" s="311"/>
      <c r="G254" s="373">
        <v>45.53</v>
      </c>
      <c r="H254" s="311"/>
      <c r="I254" s="311"/>
      <c r="J254" s="311"/>
      <c r="K254" s="311"/>
      <c r="L254" s="311"/>
      <c r="M254" s="311"/>
      <c r="N254" s="374"/>
      <c r="O254" s="346"/>
      <c r="P254" s="346"/>
      <c r="Q254" s="346"/>
      <c r="R254" s="346"/>
      <c r="S254" s="346"/>
      <c r="T254" s="346"/>
      <c r="U254" s="346"/>
      <c r="V254" s="346"/>
      <c r="W254" s="346"/>
      <c r="X254" s="346"/>
      <c r="Y254" s="311"/>
      <c r="Z254" s="311"/>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c r="AU254" s="311"/>
      <c r="AV254" s="311"/>
      <c r="AW254" s="311"/>
      <c r="AX254" s="311"/>
      <c r="AY254" s="311"/>
      <c r="AZ254" s="311"/>
      <c r="BA254" s="311"/>
      <c r="BB254" s="311"/>
      <c r="BC254" s="311"/>
      <c r="BD254" s="311"/>
      <c r="BE254" s="311"/>
      <c r="BF254" s="311"/>
      <c r="BG254" s="311"/>
      <c r="BH254" s="311"/>
      <c r="BI254" s="311"/>
      <c r="BJ254" s="311"/>
      <c r="BK254" s="311"/>
      <c r="BL254" s="311"/>
      <c r="BM254" s="311"/>
      <c r="BN254" s="311"/>
      <c r="BO254" s="311"/>
      <c r="BP254" s="311"/>
      <c r="BQ254" s="311"/>
      <c r="BR254" s="311"/>
      <c r="BS254" s="311"/>
      <c r="BT254" s="311"/>
      <c r="BU254" s="311"/>
    </row>
    <row r="255" spans="1:73" ht="15" customHeight="1">
      <c r="A255" s="370"/>
      <c r="B255" s="311"/>
      <c r="C255" s="311"/>
      <c r="D255" s="371" t="s">
        <v>207</v>
      </c>
      <c r="E255" s="372"/>
      <c r="F255" s="311"/>
      <c r="G255" s="373">
        <v>57.666000000000004</v>
      </c>
      <c r="H255" s="311"/>
      <c r="I255" s="311"/>
      <c r="J255" s="311"/>
      <c r="K255" s="311"/>
      <c r="L255" s="311"/>
      <c r="M255" s="311"/>
      <c r="N255" s="374"/>
      <c r="O255" s="346"/>
      <c r="P255" s="346"/>
      <c r="Q255" s="346"/>
      <c r="R255" s="346"/>
      <c r="S255" s="346"/>
      <c r="T255" s="346"/>
      <c r="U255" s="346"/>
      <c r="V255" s="346"/>
      <c r="W255" s="346"/>
      <c r="X255" s="346"/>
      <c r="Y255" s="311"/>
      <c r="Z255" s="311"/>
      <c r="AA255" s="311"/>
      <c r="AB255" s="311"/>
      <c r="AC255" s="311"/>
      <c r="AD255" s="311"/>
      <c r="AE255" s="311"/>
      <c r="AF255" s="311"/>
      <c r="AG255" s="311"/>
      <c r="AH255" s="311"/>
      <c r="AI255" s="311"/>
      <c r="AJ255" s="311"/>
      <c r="AK255" s="311"/>
      <c r="AL255" s="311"/>
      <c r="AM255" s="311"/>
      <c r="AN255" s="311"/>
      <c r="AO255" s="311"/>
      <c r="AP255" s="311"/>
      <c r="AQ255" s="311"/>
      <c r="AR255" s="311"/>
      <c r="AS255" s="311"/>
      <c r="AT255" s="311"/>
      <c r="AU255" s="311"/>
      <c r="AV255" s="311"/>
      <c r="AW255" s="311"/>
      <c r="AX255" s="311"/>
      <c r="AY255" s="311"/>
      <c r="AZ255" s="311"/>
      <c r="BA255" s="311"/>
      <c r="BB255" s="311"/>
      <c r="BC255" s="311"/>
      <c r="BD255" s="311"/>
      <c r="BE255" s="311"/>
      <c r="BF255" s="311"/>
      <c r="BG255" s="311"/>
      <c r="BH255" s="311"/>
      <c r="BI255" s="311"/>
      <c r="BJ255" s="311"/>
      <c r="BK255" s="311"/>
      <c r="BL255" s="311"/>
      <c r="BM255" s="311"/>
      <c r="BN255" s="311"/>
      <c r="BO255" s="311"/>
      <c r="BP255" s="311"/>
      <c r="BQ255" s="311"/>
      <c r="BR255" s="311"/>
      <c r="BS255" s="311"/>
      <c r="BT255" s="311"/>
      <c r="BU255" s="311"/>
    </row>
    <row r="256" spans="1:73" ht="15" customHeight="1">
      <c r="A256" s="370"/>
      <c r="B256" s="311"/>
      <c r="C256" s="311"/>
      <c r="D256" s="371" t="s">
        <v>206</v>
      </c>
      <c r="E256" s="372"/>
      <c r="F256" s="311"/>
      <c r="G256" s="373">
        <v>36.092000000000006</v>
      </c>
      <c r="H256" s="311"/>
      <c r="I256" s="311"/>
      <c r="J256" s="311"/>
      <c r="K256" s="311"/>
      <c r="L256" s="311"/>
      <c r="M256" s="311"/>
      <c r="N256" s="374"/>
      <c r="O256" s="346"/>
      <c r="P256" s="346"/>
      <c r="Q256" s="346"/>
      <c r="R256" s="346"/>
      <c r="S256" s="346"/>
      <c r="T256" s="346"/>
      <c r="U256" s="346"/>
      <c r="V256" s="346"/>
      <c r="W256" s="346"/>
      <c r="X256" s="346"/>
      <c r="Y256" s="311"/>
      <c r="Z256" s="311"/>
      <c r="AA256" s="311"/>
      <c r="AB256" s="311"/>
      <c r="AC256" s="311"/>
      <c r="AD256" s="311"/>
      <c r="AE256" s="311"/>
      <c r="AF256" s="311"/>
      <c r="AG256" s="311"/>
      <c r="AH256" s="311"/>
      <c r="AI256" s="311"/>
      <c r="AJ256" s="311"/>
      <c r="AK256" s="311"/>
      <c r="AL256" s="311"/>
      <c r="AM256" s="311"/>
      <c r="AN256" s="311"/>
      <c r="AO256" s="311"/>
      <c r="AP256" s="311"/>
      <c r="AQ256" s="311"/>
      <c r="AR256" s="311"/>
      <c r="AS256" s="311"/>
      <c r="AT256" s="311"/>
      <c r="AU256" s="311"/>
      <c r="AV256" s="311"/>
      <c r="AW256" s="311"/>
      <c r="AX256" s="311"/>
      <c r="AY256" s="311"/>
      <c r="AZ256" s="311"/>
      <c r="BA256" s="311"/>
      <c r="BB256" s="311"/>
      <c r="BC256" s="311"/>
      <c r="BD256" s="311"/>
      <c r="BE256" s="311"/>
      <c r="BF256" s="311"/>
      <c r="BG256" s="311"/>
      <c r="BH256" s="311"/>
      <c r="BI256" s="311"/>
      <c r="BJ256" s="311"/>
      <c r="BK256" s="311"/>
      <c r="BL256" s="311"/>
      <c r="BM256" s="311"/>
      <c r="BN256" s="311"/>
      <c r="BO256" s="311"/>
      <c r="BP256" s="311"/>
      <c r="BQ256" s="311"/>
      <c r="BR256" s="311"/>
      <c r="BS256" s="311"/>
      <c r="BT256" s="311"/>
      <c r="BU256" s="311"/>
    </row>
    <row r="257" spans="1:73" ht="15" customHeight="1">
      <c r="A257" s="370"/>
      <c r="B257" s="311"/>
      <c r="C257" s="311"/>
      <c r="D257" s="371" t="s">
        <v>205</v>
      </c>
      <c r="E257" s="372"/>
      <c r="F257" s="311"/>
      <c r="G257" s="373">
        <v>2.016</v>
      </c>
      <c r="H257" s="311"/>
      <c r="I257" s="311"/>
      <c r="J257" s="311"/>
      <c r="K257" s="311"/>
      <c r="L257" s="311"/>
      <c r="M257" s="311"/>
      <c r="N257" s="374"/>
      <c r="O257" s="346"/>
      <c r="P257" s="346"/>
      <c r="Q257" s="346"/>
      <c r="R257" s="346"/>
      <c r="S257" s="346"/>
      <c r="T257" s="346"/>
      <c r="U257" s="346"/>
      <c r="V257" s="346"/>
      <c r="W257" s="346"/>
      <c r="X257" s="346"/>
      <c r="Y257" s="311"/>
      <c r="Z257" s="311"/>
      <c r="AA257" s="311"/>
      <c r="AB257" s="311"/>
      <c r="AC257" s="311"/>
      <c r="AD257" s="311"/>
      <c r="AE257" s="311"/>
      <c r="AF257" s="311"/>
      <c r="AG257" s="311"/>
      <c r="AH257" s="311"/>
      <c r="AI257" s="311"/>
      <c r="AJ257" s="311"/>
      <c r="AK257" s="311"/>
      <c r="AL257" s="311"/>
      <c r="AM257" s="311"/>
      <c r="AN257" s="311"/>
      <c r="AO257" s="311"/>
      <c r="AP257" s="311"/>
      <c r="AQ257" s="311"/>
      <c r="AR257" s="311"/>
      <c r="AS257" s="311"/>
      <c r="AT257" s="311"/>
      <c r="AU257" s="311"/>
      <c r="AV257" s="311"/>
      <c r="AW257" s="311"/>
      <c r="AX257" s="311"/>
      <c r="AY257" s="311"/>
      <c r="AZ257" s="311"/>
      <c r="BA257" s="311"/>
      <c r="BB257" s="311"/>
      <c r="BC257" s="311"/>
      <c r="BD257" s="311"/>
      <c r="BE257" s="311"/>
      <c r="BF257" s="311"/>
      <c r="BG257" s="311"/>
      <c r="BH257" s="311"/>
      <c r="BI257" s="311"/>
      <c r="BJ257" s="311"/>
      <c r="BK257" s="311"/>
      <c r="BL257" s="311"/>
      <c r="BM257" s="311"/>
      <c r="BN257" s="311"/>
      <c r="BO257" s="311"/>
      <c r="BP257" s="311"/>
      <c r="BQ257" s="311"/>
      <c r="BR257" s="311"/>
      <c r="BS257" s="311"/>
      <c r="BT257" s="311"/>
      <c r="BU257" s="311"/>
    </row>
    <row r="258" spans="1:73" ht="15" customHeight="1">
      <c r="A258" s="365" t="s">
        <v>204</v>
      </c>
      <c r="B258" s="366" t="s">
        <v>7</v>
      </c>
      <c r="C258" s="366" t="s">
        <v>203</v>
      </c>
      <c r="D258" s="304" t="s">
        <v>202</v>
      </c>
      <c r="E258" s="304"/>
      <c r="F258" s="366" t="s">
        <v>89</v>
      </c>
      <c r="G258" s="367">
        <f>'[2]Stavební rozpočet'!G234</f>
        <v>25.548</v>
      </c>
      <c r="H258" s="328">
        <v>0</v>
      </c>
      <c r="I258" s="367">
        <f>G258*AO258</f>
        <v>0</v>
      </c>
      <c r="J258" s="367">
        <f>G258*AP258</f>
        <v>0</v>
      </c>
      <c r="K258" s="367">
        <f>G258*H258</f>
        <v>0</v>
      </c>
      <c r="L258" s="367">
        <f>'[2]Stavební rozpočet'!L234</f>
        <v>0.00042</v>
      </c>
      <c r="M258" s="367">
        <f>G258*L258</f>
        <v>0.010730159999999999</v>
      </c>
      <c r="N258" s="368" t="s">
        <v>36</v>
      </c>
      <c r="O258" s="346"/>
      <c r="P258" s="346"/>
      <c r="Q258" s="346"/>
      <c r="R258" s="346"/>
      <c r="S258" s="346"/>
      <c r="T258" s="346"/>
      <c r="U258" s="346"/>
      <c r="V258" s="346"/>
      <c r="W258" s="346"/>
      <c r="X258" s="346"/>
      <c r="Y258" s="311"/>
      <c r="Z258" s="367">
        <f>IF(AQ258="5",BJ258,0)</f>
        <v>0</v>
      </c>
      <c r="AA258" s="311"/>
      <c r="AB258" s="367">
        <f>IF(AQ258="1",BH258,0)</f>
        <v>0</v>
      </c>
      <c r="AC258" s="367">
        <f>IF(AQ258="1",BI258,0)</f>
        <v>0</v>
      </c>
      <c r="AD258" s="367">
        <f>IF(AQ258="7",BH258,0)</f>
        <v>0</v>
      </c>
      <c r="AE258" s="367">
        <f>IF(AQ258="7",BI258,0)</f>
        <v>0</v>
      </c>
      <c r="AF258" s="367">
        <f>IF(AQ258="2",BH258,0)</f>
        <v>0</v>
      </c>
      <c r="AG258" s="367">
        <f>IF(AQ258="2",BI258,0)</f>
        <v>0</v>
      </c>
      <c r="AH258" s="367">
        <f>IF(AQ258="0",BJ258,0)</f>
        <v>0</v>
      </c>
      <c r="AI258" s="351" t="s">
        <v>7</v>
      </c>
      <c r="AJ258" s="367">
        <f>IF(AN258=0,K258,0)</f>
        <v>0</v>
      </c>
      <c r="AK258" s="367">
        <f>IF(AN258=15,K258,0)</f>
        <v>0</v>
      </c>
      <c r="AL258" s="367">
        <f>IF(AN258=21,K258,0)</f>
        <v>0</v>
      </c>
      <c r="AM258" s="311"/>
      <c r="AN258" s="367">
        <v>21</v>
      </c>
      <c r="AO258" s="367">
        <f>H258*0.291500462399611</f>
        <v>0</v>
      </c>
      <c r="AP258" s="367">
        <f>H258*(1-0.291500462399611)</f>
        <v>0</v>
      </c>
      <c r="AQ258" s="369" t="s">
        <v>178</v>
      </c>
      <c r="AR258" s="311"/>
      <c r="AS258" s="311"/>
      <c r="AT258" s="311"/>
      <c r="AU258" s="311"/>
      <c r="AV258" s="367">
        <f>AW258+AX258</f>
        <v>0</v>
      </c>
      <c r="AW258" s="367">
        <f>G258*AO258</f>
        <v>0</v>
      </c>
      <c r="AX258" s="367">
        <f>G258*AP258</f>
        <v>0</v>
      </c>
      <c r="AY258" s="369" t="s">
        <v>201</v>
      </c>
      <c r="AZ258" s="369" t="s">
        <v>176</v>
      </c>
      <c r="BA258" s="351" t="s">
        <v>3</v>
      </c>
      <c r="BB258" s="311"/>
      <c r="BC258" s="367">
        <f>AW258+AX258</f>
        <v>0</v>
      </c>
      <c r="BD258" s="367">
        <f>H258/(100-BE258)*100</f>
        <v>0</v>
      </c>
      <c r="BE258" s="367">
        <v>0</v>
      </c>
      <c r="BF258" s="367">
        <f>M258</f>
        <v>0.010730159999999999</v>
      </c>
      <c r="BG258" s="311"/>
      <c r="BH258" s="367">
        <f>G258*AO258</f>
        <v>0</v>
      </c>
      <c r="BI258" s="367">
        <f>G258*AP258</f>
        <v>0</v>
      </c>
      <c r="BJ258" s="367">
        <f>G258*H258</f>
        <v>0</v>
      </c>
      <c r="BK258" s="367"/>
      <c r="BL258" s="367">
        <v>784</v>
      </c>
      <c r="BM258" s="311"/>
      <c r="BN258" s="311"/>
      <c r="BO258" s="311"/>
      <c r="BP258" s="311"/>
      <c r="BQ258" s="311"/>
      <c r="BR258" s="311"/>
      <c r="BS258" s="311"/>
      <c r="BT258" s="311"/>
      <c r="BU258" s="311"/>
    </row>
    <row r="259" spans="1:73" ht="15" customHeight="1">
      <c r="A259" s="370"/>
      <c r="B259" s="311"/>
      <c r="C259" s="311"/>
      <c r="D259" s="371" t="s">
        <v>200</v>
      </c>
      <c r="E259" s="372"/>
      <c r="F259" s="311"/>
      <c r="G259" s="373">
        <v>11.034</v>
      </c>
      <c r="H259" s="311"/>
      <c r="I259" s="311"/>
      <c r="J259" s="311"/>
      <c r="K259" s="311"/>
      <c r="L259" s="311"/>
      <c r="M259" s="311"/>
      <c r="N259" s="374"/>
      <c r="O259" s="346"/>
      <c r="P259" s="346"/>
      <c r="Q259" s="346"/>
      <c r="R259" s="346"/>
      <c r="S259" s="346"/>
      <c r="T259" s="346"/>
      <c r="U259" s="346"/>
      <c r="V259" s="346"/>
      <c r="W259" s="346"/>
      <c r="X259" s="346"/>
      <c r="Y259" s="311"/>
      <c r="Z259" s="311"/>
      <c r="AA259" s="311"/>
      <c r="AB259" s="311"/>
      <c r="AC259" s="311"/>
      <c r="AD259" s="311"/>
      <c r="AE259" s="311"/>
      <c r="AF259" s="311"/>
      <c r="AG259" s="311"/>
      <c r="AH259" s="311"/>
      <c r="AI259" s="311"/>
      <c r="AJ259" s="311"/>
      <c r="AK259" s="311"/>
      <c r="AL259" s="311"/>
      <c r="AM259" s="311"/>
      <c r="AN259" s="311"/>
      <c r="AO259" s="311"/>
      <c r="AP259" s="311"/>
      <c r="AQ259" s="311"/>
      <c r="AR259" s="311"/>
      <c r="AS259" s="311"/>
      <c r="AT259" s="311"/>
      <c r="AU259" s="311"/>
      <c r="AV259" s="311"/>
      <c r="AW259" s="311"/>
      <c r="AX259" s="311"/>
      <c r="AY259" s="311"/>
      <c r="AZ259" s="311"/>
      <c r="BA259" s="311"/>
      <c r="BB259" s="311"/>
      <c r="BC259" s="311"/>
      <c r="BD259" s="311"/>
      <c r="BE259" s="311"/>
      <c r="BF259" s="311"/>
      <c r="BG259" s="311"/>
      <c r="BH259" s="311"/>
      <c r="BI259" s="311"/>
      <c r="BJ259" s="311"/>
      <c r="BK259" s="311"/>
      <c r="BL259" s="311"/>
      <c r="BM259" s="311"/>
      <c r="BN259" s="311"/>
      <c r="BO259" s="311"/>
      <c r="BP259" s="311"/>
      <c r="BQ259" s="311"/>
      <c r="BR259" s="311"/>
      <c r="BS259" s="311"/>
      <c r="BT259" s="311"/>
      <c r="BU259" s="311"/>
    </row>
    <row r="260" spans="1:73" ht="15" customHeight="1">
      <c r="A260" s="370"/>
      <c r="B260" s="311"/>
      <c r="C260" s="311"/>
      <c r="D260" s="371" t="s">
        <v>199</v>
      </c>
      <c r="E260" s="372"/>
      <c r="F260" s="311"/>
      <c r="G260" s="373">
        <v>14.514000000000001</v>
      </c>
      <c r="H260" s="311"/>
      <c r="I260" s="311"/>
      <c r="J260" s="311"/>
      <c r="K260" s="311"/>
      <c r="L260" s="311"/>
      <c r="M260" s="311"/>
      <c r="N260" s="374"/>
      <c r="O260" s="346"/>
      <c r="P260" s="346"/>
      <c r="Q260" s="346"/>
      <c r="R260" s="346"/>
      <c r="S260" s="346"/>
      <c r="T260" s="346"/>
      <c r="U260" s="346"/>
      <c r="V260" s="346"/>
      <c r="W260" s="346"/>
      <c r="X260" s="346"/>
      <c r="Y260" s="311"/>
      <c r="Z260" s="311"/>
      <c r="AA260" s="311"/>
      <c r="AB260" s="311"/>
      <c r="AC260" s="311"/>
      <c r="AD260" s="311"/>
      <c r="AE260" s="311"/>
      <c r="AF260" s="311"/>
      <c r="AG260" s="311"/>
      <c r="AH260" s="311"/>
      <c r="AI260" s="311"/>
      <c r="AJ260" s="311"/>
      <c r="AK260" s="311"/>
      <c r="AL260" s="311"/>
      <c r="AM260" s="311"/>
      <c r="AN260" s="311"/>
      <c r="AO260" s="311"/>
      <c r="AP260" s="311"/>
      <c r="AQ260" s="311"/>
      <c r="AR260" s="311"/>
      <c r="AS260" s="311"/>
      <c r="AT260" s="311"/>
      <c r="AU260" s="311"/>
      <c r="AV260" s="311"/>
      <c r="AW260" s="311"/>
      <c r="AX260" s="311"/>
      <c r="AY260" s="311"/>
      <c r="AZ260" s="311"/>
      <c r="BA260" s="311"/>
      <c r="BB260" s="311"/>
      <c r="BC260" s="311"/>
      <c r="BD260" s="311"/>
      <c r="BE260" s="311"/>
      <c r="BF260" s="311"/>
      <c r="BG260" s="311"/>
      <c r="BH260" s="311"/>
      <c r="BI260" s="311"/>
      <c r="BJ260" s="311"/>
      <c r="BK260" s="311"/>
      <c r="BL260" s="311"/>
      <c r="BM260" s="311"/>
      <c r="BN260" s="311"/>
      <c r="BO260" s="311"/>
      <c r="BP260" s="311"/>
      <c r="BQ260" s="311"/>
      <c r="BR260" s="311"/>
      <c r="BS260" s="311"/>
      <c r="BT260" s="311"/>
      <c r="BU260" s="311"/>
    </row>
    <row r="261" spans="1:73" ht="15" customHeight="1">
      <c r="A261" s="360"/>
      <c r="B261" s="361" t="s">
        <v>7</v>
      </c>
      <c r="C261" s="361" t="s">
        <v>198</v>
      </c>
      <c r="D261" s="362" t="s">
        <v>197</v>
      </c>
      <c r="E261" s="362"/>
      <c r="F261" s="363" t="s">
        <v>12</v>
      </c>
      <c r="G261" s="363" t="s">
        <v>12</v>
      </c>
      <c r="H261" s="363" t="s">
        <v>12</v>
      </c>
      <c r="I261" s="347">
        <f>SUM(I262:I262)</f>
        <v>0</v>
      </c>
      <c r="J261" s="347">
        <f>SUM(J262:J262)</f>
        <v>0</v>
      </c>
      <c r="K261" s="347">
        <f>SUM(K262:K262)</f>
        <v>0</v>
      </c>
      <c r="L261" s="351"/>
      <c r="M261" s="347">
        <f>SUM(M262:M262)</f>
        <v>0</v>
      </c>
      <c r="N261" s="364"/>
      <c r="O261" s="346"/>
      <c r="P261" s="346"/>
      <c r="Q261" s="346"/>
      <c r="R261" s="346"/>
      <c r="S261" s="346"/>
      <c r="T261" s="346"/>
      <c r="U261" s="346"/>
      <c r="V261" s="346"/>
      <c r="W261" s="346"/>
      <c r="X261" s="346"/>
      <c r="Y261" s="311"/>
      <c r="Z261" s="311"/>
      <c r="AA261" s="311"/>
      <c r="AB261" s="311"/>
      <c r="AC261" s="311"/>
      <c r="AD261" s="311"/>
      <c r="AE261" s="311"/>
      <c r="AF261" s="311"/>
      <c r="AG261" s="311"/>
      <c r="AH261" s="311"/>
      <c r="AI261" s="351" t="s">
        <v>7</v>
      </c>
      <c r="AJ261" s="311"/>
      <c r="AK261" s="311"/>
      <c r="AL261" s="311"/>
      <c r="AM261" s="311"/>
      <c r="AN261" s="311"/>
      <c r="AO261" s="311"/>
      <c r="AP261" s="311"/>
      <c r="AQ261" s="311"/>
      <c r="AR261" s="311"/>
      <c r="AS261" s="347">
        <f>SUM(AJ262:AJ262)</f>
        <v>0</v>
      </c>
      <c r="AT261" s="347">
        <f>SUM(AK262:AK262)</f>
        <v>0</v>
      </c>
      <c r="AU261" s="347">
        <f>SUM(AL262:AL262)</f>
        <v>0</v>
      </c>
      <c r="AV261" s="311"/>
      <c r="AW261" s="311"/>
      <c r="AX261" s="311"/>
      <c r="AY261" s="311"/>
      <c r="AZ261" s="311"/>
      <c r="BA261" s="311"/>
      <c r="BB261" s="311"/>
      <c r="BC261" s="311"/>
      <c r="BD261" s="311"/>
      <c r="BE261" s="311"/>
      <c r="BF261" s="311"/>
      <c r="BG261" s="311"/>
      <c r="BH261" s="311"/>
      <c r="BI261" s="311"/>
      <c r="BJ261" s="311"/>
      <c r="BK261" s="311"/>
      <c r="BL261" s="311"/>
      <c r="BM261" s="311"/>
      <c r="BN261" s="311"/>
      <c r="BO261" s="311"/>
      <c r="BP261" s="311"/>
      <c r="BQ261" s="311"/>
      <c r="BR261" s="311"/>
      <c r="BS261" s="311"/>
      <c r="BT261" s="311"/>
      <c r="BU261" s="311"/>
    </row>
    <row r="262" spans="1:73" ht="15" customHeight="1">
      <c r="A262" s="365" t="s">
        <v>196</v>
      </c>
      <c r="B262" s="366" t="s">
        <v>7</v>
      </c>
      <c r="C262" s="366" t="s">
        <v>195</v>
      </c>
      <c r="D262" s="304" t="s">
        <v>194</v>
      </c>
      <c r="E262" s="304"/>
      <c r="F262" s="366" t="s">
        <v>89</v>
      </c>
      <c r="G262" s="367">
        <f>'[2]Stavební rozpočet'!G238</f>
        <v>137.3816</v>
      </c>
      <c r="H262" s="328">
        <v>0</v>
      </c>
      <c r="I262" s="367">
        <f>G262*AO262</f>
        <v>0</v>
      </c>
      <c r="J262" s="367">
        <f>G262*AP262</f>
        <v>0</v>
      </c>
      <c r="K262" s="367">
        <f>G262*H262</f>
        <v>0</v>
      </c>
      <c r="L262" s="367">
        <f>'[2]Stavební rozpočet'!L238</f>
        <v>0</v>
      </c>
      <c r="M262" s="367">
        <f>G262*L262</f>
        <v>0</v>
      </c>
      <c r="N262" s="368" t="s">
        <v>36</v>
      </c>
      <c r="O262" s="346"/>
      <c r="P262" s="346"/>
      <c r="Q262" s="346"/>
      <c r="R262" s="346"/>
      <c r="S262" s="346"/>
      <c r="T262" s="346"/>
      <c r="U262" s="346"/>
      <c r="V262" s="346"/>
      <c r="W262" s="346"/>
      <c r="X262" s="346"/>
      <c r="Y262" s="311"/>
      <c r="Z262" s="367">
        <f>IF(AQ262="5",BJ262,0)</f>
        <v>0</v>
      </c>
      <c r="AA262" s="311"/>
      <c r="AB262" s="367">
        <f>IF(AQ262="1",BH262,0)</f>
        <v>0</v>
      </c>
      <c r="AC262" s="367">
        <f>IF(AQ262="1",BI262,0)</f>
        <v>0</v>
      </c>
      <c r="AD262" s="367">
        <f>IF(AQ262="7",BH262,0)</f>
        <v>0</v>
      </c>
      <c r="AE262" s="367">
        <f>IF(AQ262="7",BI262,0)</f>
        <v>0</v>
      </c>
      <c r="AF262" s="367">
        <f>IF(AQ262="2",BH262,0)</f>
        <v>0</v>
      </c>
      <c r="AG262" s="367">
        <f>IF(AQ262="2",BI262,0)</f>
        <v>0</v>
      </c>
      <c r="AH262" s="367">
        <f>IF(AQ262="0",BJ262,0)</f>
        <v>0</v>
      </c>
      <c r="AI262" s="351" t="s">
        <v>7</v>
      </c>
      <c r="AJ262" s="367">
        <f>IF(AN262=0,K262,0)</f>
        <v>0</v>
      </c>
      <c r="AK262" s="367">
        <f>IF(AN262=15,K262,0)</f>
        <v>0</v>
      </c>
      <c r="AL262" s="367">
        <f>IF(AN262=21,K262,0)</f>
        <v>0</v>
      </c>
      <c r="AM262" s="311"/>
      <c r="AN262" s="367">
        <v>21</v>
      </c>
      <c r="AO262" s="367">
        <f>H262*0</f>
        <v>0</v>
      </c>
      <c r="AP262" s="367">
        <f>H262*(1-0)</f>
        <v>0</v>
      </c>
      <c r="AQ262" s="369" t="s">
        <v>178</v>
      </c>
      <c r="AR262" s="311"/>
      <c r="AS262" s="311"/>
      <c r="AT262" s="311"/>
      <c r="AU262" s="311"/>
      <c r="AV262" s="367">
        <f>AW262+AX262</f>
        <v>0</v>
      </c>
      <c r="AW262" s="367">
        <f>G262*AO262</f>
        <v>0</v>
      </c>
      <c r="AX262" s="367">
        <f>G262*AP262</f>
        <v>0</v>
      </c>
      <c r="AY262" s="369" t="s">
        <v>193</v>
      </c>
      <c r="AZ262" s="369" t="s">
        <v>176</v>
      </c>
      <c r="BA262" s="351" t="s">
        <v>3</v>
      </c>
      <c r="BB262" s="311"/>
      <c r="BC262" s="367">
        <f>AW262+AX262</f>
        <v>0</v>
      </c>
      <c r="BD262" s="367">
        <f>H262/(100-BE262)*100</f>
        <v>0</v>
      </c>
      <c r="BE262" s="367">
        <v>0</v>
      </c>
      <c r="BF262" s="367">
        <f>M262</f>
        <v>0</v>
      </c>
      <c r="BG262" s="311"/>
      <c r="BH262" s="367">
        <f>G262*AO262</f>
        <v>0</v>
      </c>
      <c r="BI262" s="367">
        <f>G262*AP262</f>
        <v>0</v>
      </c>
      <c r="BJ262" s="367">
        <f>G262*H262</f>
        <v>0</v>
      </c>
      <c r="BK262" s="367"/>
      <c r="BL262" s="367">
        <v>785</v>
      </c>
      <c r="BM262" s="311"/>
      <c r="BN262" s="311"/>
      <c r="BO262" s="311"/>
      <c r="BP262" s="311"/>
      <c r="BQ262" s="311"/>
      <c r="BR262" s="311"/>
      <c r="BS262" s="311"/>
      <c r="BT262" s="311"/>
      <c r="BU262" s="311"/>
    </row>
    <row r="263" spans="1:73" ht="15" customHeight="1">
      <c r="A263" s="370"/>
      <c r="B263" s="311"/>
      <c r="C263" s="311"/>
      <c r="D263" s="371" t="s">
        <v>192</v>
      </c>
      <c r="E263" s="372"/>
      <c r="F263" s="311"/>
      <c r="G263" s="373">
        <v>63.2792</v>
      </c>
      <c r="H263" s="327"/>
      <c r="I263" s="311"/>
      <c r="J263" s="311"/>
      <c r="K263" s="311"/>
      <c r="L263" s="311"/>
      <c r="M263" s="311"/>
      <c r="N263" s="374"/>
      <c r="O263" s="346"/>
      <c r="P263" s="346"/>
      <c r="Q263" s="346"/>
      <c r="R263" s="346"/>
      <c r="S263" s="346"/>
      <c r="T263" s="346"/>
      <c r="U263" s="346"/>
      <c r="V263" s="346"/>
      <c r="W263" s="346"/>
      <c r="X263" s="346"/>
      <c r="Y263" s="311"/>
      <c r="Z263" s="311"/>
      <c r="AA263" s="311"/>
      <c r="AB263" s="311"/>
      <c r="AC263" s="311"/>
      <c r="AD263" s="311"/>
      <c r="AE263" s="311"/>
      <c r="AF263" s="311"/>
      <c r="AG263" s="311"/>
      <c r="AH263" s="311"/>
      <c r="AI263" s="311"/>
      <c r="AJ263" s="311"/>
      <c r="AK263" s="311"/>
      <c r="AL263" s="311"/>
      <c r="AM263" s="311"/>
      <c r="AN263" s="311"/>
      <c r="AO263" s="311"/>
      <c r="AP263" s="311"/>
      <c r="AQ263" s="311"/>
      <c r="AR263" s="311"/>
      <c r="AS263" s="311"/>
      <c r="AT263" s="311"/>
      <c r="AU263" s="311"/>
      <c r="AV263" s="311"/>
      <c r="AW263" s="311"/>
      <c r="AX263" s="311"/>
      <c r="AY263" s="311"/>
      <c r="AZ263" s="311"/>
      <c r="BA263" s="311"/>
      <c r="BB263" s="311"/>
      <c r="BC263" s="311"/>
      <c r="BD263" s="311"/>
      <c r="BE263" s="311"/>
      <c r="BF263" s="311"/>
      <c r="BG263" s="311"/>
      <c r="BH263" s="311"/>
      <c r="BI263" s="311"/>
      <c r="BJ263" s="311"/>
      <c r="BK263" s="311"/>
      <c r="BL263" s="311"/>
      <c r="BM263" s="311"/>
      <c r="BN263" s="311"/>
      <c r="BO263" s="311"/>
      <c r="BP263" s="311"/>
      <c r="BQ263" s="311"/>
      <c r="BR263" s="311"/>
      <c r="BS263" s="311"/>
      <c r="BT263" s="311"/>
      <c r="BU263" s="311"/>
    </row>
    <row r="264" spans="1:73" ht="15" customHeight="1">
      <c r="A264" s="370"/>
      <c r="B264" s="311"/>
      <c r="C264" s="311"/>
      <c r="D264" s="371" t="s">
        <v>191</v>
      </c>
      <c r="E264" s="372"/>
      <c r="F264" s="311"/>
      <c r="G264" s="373">
        <v>26.547</v>
      </c>
      <c r="H264" s="327"/>
      <c r="I264" s="311"/>
      <c r="J264" s="311"/>
      <c r="K264" s="311"/>
      <c r="L264" s="311"/>
      <c r="M264" s="311"/>
      <c r="N264" s="374"/>
      <c r="O264" s="346"/>
      <c r="P264" s="346"/>
      <c r="Q264" s="346"/>
      <c r="R264" s="346"/>
      <c r="S264" s="346"/>
      <c r="T264" s="346"/>
      <c r="U264" s="346"/>
      <c r="V264" s="346"/>
      <c r="W264" s="346"/>
      <c r="X264" s="346"/>
      <c r="Y264" s="311"/>
      <c r="Z264" s="311"/>
      <c r="AA264" s="311"/>
      <c r="AB264" s="311"/>
      <c r="AC264" s="311"/>
      <c r="AD264" s="311"/>
      <c r="AE264" s="311"/>
      <c r="AF264" s="311"/>
      <c r="AG264" s="311"/>
      <c r="AH264" s="311"/>
      <c r="AI264" s="311"/>
      <c r="AJ264" s="311"/>
      <c r="AK264" s="311"/>
      <c r="AL264" s="311"/>
      <c r="AM264" s="311"/>
      <c r="AN264" s="311"/>
      <c r="AO264" s="311"/>
      <c r="AP264" s="311"/>
      <c r="AQ264" s="311"/>
      <c r="AR264" s="311"/>
      <c r="AS264" s="311"/>
      <c r="AT264" s="311"/>
      <c r="AU264" s="311"/>
      <c r="AV264" s="311"/>
      <c r="AW264" s="311"/>
      <c r="AX264" s="311"/>
      <c r="AY264" s="311"/>
      <c r="AZ264" s="311"/>
      <c r="BA264" s="311"/>
      <c r="BB264" s="311"/>
      <c r="BC264" s="311"/>
      <c r="BD264" s="311"/>
      <c r="BE264" s="311"/>
      <c r="BF264" s="311"/>
      <c r="BG264" s="311"/>
      <c r="BH264" s="311"/>
      <c r="BI264" s="311"/>
      <c r="BJ264" s="311"/>
      <c r="BK264" s="311"/>
      <c r="BL264" s="311"/>
      <c r="BM264" s="311"/>
      <c r="BN264" s="311"/>
      <c r="BO264" s="311"/>
      <c r="BP264" s="311"/>
      <c r="BQ264" s="311"/>
      <c r="BR264" s="311"/>
      <c r="BS264" s="311"/>
      <c r="BT264" s="311"/>
      <c r="BU264" s="311"/>
    </row>
    <row r="265" spans="1:73" ht="15" customHeight="1">
      <c r="A265" s="370"/>
      <c r="B265" s="311"/>
      <c r="C265" s="311"/>
      <c r="D265" s="371" t="s">
        <v>190</v>
      </c>
      <c r="E265" s="372"/>
      <c r="F265" s="311"/>
      <c r="G265" s="373">
        <v>13.0134</v>
      </c>
      <c r="H265" s="327"/>
      <c r="I265" s="311"/>
      <c r="J265" s="311"/>
      <c r="K265" s="311"/>
      <c r="L265" s="311"/>
      <c r="M265" s="311"/>
      <c r="N265" s="374"/>
      <c r="O265" s="346"/>
      <c r="P265" s="346"/>
      <c r="Q265" s="346"/>
      <c r="R265" s="346"/>
      <c r="S265" s="346"/>
      <c r="T265" s="346"/>
      <c r="U265" s="346"/>
      <c r="V265" s="346"/>
      <c r="W265" s="346"/>
      <c r="X265" s="346"/>
      <c r="Y265" s="311"/>
      <c r="Z265" s="311"/>
      <c r="AA265" s="311"/>
      <c r="AB265" s="311"/>
      <c r="AC265" s="311"/>
      <c r="AD265" s="311"/>
      <c r="AE265" s="311"/>
      <c r="AF265" s="311"/>
      <c r="AG265" s="311"/>
      <c r="AH265" s="311"/>
      <c r="AI265" s="311"/>
      <c r="AJ265" s="311"/>
      <c r="AK265" s="311"/>
      <c r="AL265" s="311"/>
      <c r="AM265" s="311"/>
      <c r="AN265" s="311"/>
      <c r="AO265" s="311"/>
      <c r="AP265" s="311"/>
      <c r="AQ265" s="311"/>
      <c r="AR265" s="311"/>
      <c r="AS265" s="311"/>
      <c r="AT265" s="311"/>
      <c r="AU265" s="311"/>
      <c r="AV265" s="311"/>
      <c r="AW265" s="311"/>
      <c r="AX265" s="311"/>
      <c r="AY265" s="311"/>
      <c r="AZ265" s="311"/>
      <c r="BA265" s="311"/>
      <c r="BB265" s="311"/>
      <c r="BC265" s="311"/>
      <c r="BD265" s="311"/>
      <c r="BE265" s="311"/>
      <c r="BF265" s="311"/>
      <c r="BG265" s="311"/>
      <c r="BH265" s="311"/>
      <c r="BI265" s="311"/>
      <c r="BJ265" s="311"/>
      <c r="BK265" s="311"/>
      <c r="BL265" s="311"/>
      <c r="BM265" s="311"/>
      <c r="BN265" s="311"/>
      <c r="BO265" s="311"/>
      <c r="BP265" s="311"/>
      <c r="BQ265" s="311"/>
      <c r="BR265" s="311"/>
      <c r="BS265" s="311"/>
      <c r="BT265" s="311"/>
      <c r="BU265" s="311"/>
    </row>
    <row r="266" spans="1:73" ht="15" customHeight="1">
      <c r="A266" s="370"/>
      <c r="B266" s="311"/>
      <c r="C266" s="311"/>
      <c r="D266" s="371" t="s">
        <v>189</v>
      </c>
      <c r="E266" s="372"/>
      <c r="F266" s="311"/>
      <c r="G266" s="373">
        <v>34.542</v>
      </c>
      <c r="H266" s="327"/>
      <c r="I266" s="311"/>
      <c r="J266" s="311"/>
      <c r="K266" s="311"/>
      <c r="L266" s="311"/>
      <c r="M266" s="311"/>
      <c r="N266" s="374"/>
      <c r="O266" s="346"/>
      <c r="P266" s="346"/>
      <c r="Q266" s="346"/>
      <c r="R266" s="346"/>
      <c r="S266" s="346"/>
      <c r="T266" s="346"/>
      <c r="U266" s="346"/>
      <c r="V266" s="346"/>
      <c r="W266" s="346"/>
      <c r="X266" s="346"/>
      <c r="Y266" s="311"/>
      <c r="Z266" s="311"/>
      <c r="AA266" s="311"/>
      <c r="AB266" s="311"/>
      <c r="AC266" s="311"/>
      <c r="AD266" s="311"/>
      <c r="AE266" s="311"/>
      <c r="AF266" s="311"/>
      <c r="AG266" s="311"/>
      <c r="AH266" s="311"/>
      <c r="AI266" s="311"/>
      <c r="AJ266" s="311"/>
      <c r="AK266" s="311"/>
      <c r="AL266" s="311"/>
      <c r="AM266" s="311"/>
      <c r="AN266" s="311"/>
      <c r="AO266" s="311"/>
      <c r="AP266" s="311"/>
      <c r="AQ266" s="311"/>
      <c r="AR266" s="311"/>
      <c r="AS266" s="311"/>
      <c r="AT266" s="311"/>
      <c r="AU266" s="311"/>
      <c r="AV266" s="311"/>
      <c r="AW266" s="311"/>
      <c r="AX266" s="311"/>
      <c r="AY266" s="311"/>
      <c r="AZ266" s="311"/>
      <c r="BA266" s="311"/>
      <c r="BB266" s="311"/>
      <c r="BC266" s="311"/>
      <c r="BD266" s="311"/>
      <c r="BE266" s="311"/>
      <c r="BF266" s="311"/>
      <c r="BG266" s="311"/>
      <c r="BH266" s="311"/>
      <c r="BI266" s="311"/>
      <c r="BJ266" s="311"/>
      <c r="BK266" s="311"/>
      <c r="BL266" s="311"/>
      <c r="BM266" s="311"/>
      <c r="BN266" s="311"/>
      <c r="BO266" s="311"/>
      <c r="BP266" s="311"/>
      <c r="BQ266" s="311"/>
      <c r="BR266" s="311"/>
      <c r="BS266" s="311"/>
      <c r="BT266" s="311"/>
      <c r="BU266" s="311"/>
    </row>
    <row r="267" spans="1:73" ht="15" customHeight="1">
      <c r="A267" s="360"/>
      <c r="B267" s="361" t="s">
        <v>7</v>
      </c>
      <c r="C267" s="361" t="s">
        <v>188</v>
      </c>
      <c r="D267" s="362" t="s">
        <v>187</v>
      </c>
      <c r="E267" s="362"/>
      <c r="F267" s="363" t="s">
        <v>12</v>
      </c>
      <c r="G267" s="363" t="s">
        <v>12</v>
      </c>
      <c r="H267" s="363" t="s">
        <v>12</v>
      </c>
      <c r="I267" s="347">
        <f>SUM(I268:I271)</f>
        <v>0</v>
      </c>
      <c r="J267" s="347">
        <f>SUM(J268:J271)</f>
        <v>0</v>
      </c>
      <c r="K267" s="347">
        <f>SUM(K268:K271)</f>
        <v>0</v>
      </c>
      <c r="L267" s="351"/>
      <c r="M267" s="347">
        <f>SUM(M268:M271)</f>
        <v>0.0025392</v>
      </c>
      <c r="N267" s="364"/>
      <c r="O267" s="346"/>
      <c r="P267" s="346"/>
      <c r="Q267" s="346"/>
      <c r="R267" s="346"/>
      <c r="S267" s="346"/>
      <c r="T267" s="346"/>
      <c r="U267" s="346"/>
      <c r="V267" s="346"/>
      <c r="W267" s="346"/>
      <c r="X267" s="346"/>
      <c r="Y267" s="311"/>
      <c r="Z267" s="311"/>
      <c r="AA267" s="311"/>
      <c r="AB267" s="311"/>
      <c r="AC267" s="311"/>
      <c r="AD267" s="311"/>
      <c r="AE267" s="311"/>
      <c r="AF267" s="311"/>
      <c r="AG267" s="311"/>
      <c r="AH267" s="311"/>
      <c r="AI267" s="351" t="s">
        <v>7</v>
      </c>
      <c r="AJ267" s="311"/>
      <c r="AK267" s="311"/>
      <c r="AL267" s="311"/>
      <c r="AM267" s="311"/>
      <c r="AN267" s="311"/>
      <c r="AO267" s="311"/>
      <c r="AP267" s="311"/>
      <c r="AQ267" s="311"/>
      <c r="AR267" s="311"/>
      <c r="AS267" s="347">
        <f>SUM(AJ268:AJ271)</f>
        <v>0</v>
      </c>
      <c r="AT267" s="347">
        <f>SUM(AK268:AK271)</f>
        <v>0</v>
      </c>
      <c r="AU267" s="347">
        <f>SUM(AL268:AL271)</f>
        <v>0</v>
      </c>
      <c r="AV267" s="311"/>
      <c r="AW267" s="311"/>
      <c r="AX267" s="311"/>
      <c r="AY267" s="311"/>
      <c r="AZ267" s="311"/>
      <c r="BA267" s="311"/>
      <c r="BB267" s="311"/>
      <c r="BC267" s="311"/>
      <c r="BD267" s="311"/>
      <c r="BE267" s="311"/>
      <c r="BF267" s="311"/>
      <c r="BG267" s="311"/>
      <c r="BH267" s="311"/>
      <c r="BI267" s="311"/>
      <c r="BJ267" s="311"/>
      <c r="BK267" s="311"/>
      <c r="BL267" s="311"/>
      <c r="BM267" s="311"/>
      <c r="BN267" s="311"/>
      <c r="BO267" s="311"/>
      <c r="BP267" s="311"/>
      <c r="BQ267" s="311"/>
      <c r="BR267" s="311"/>
      <c r="BS267" s="311"/>
      <c r="BT267" s="311"/>
      <c r="BU267" s="311"/>
    </row>
    <row r="268" spans="1:73" ht="15" customHeight="1">
      <c r="A268" s="365" t="s">
        <v>186</v>
      </c>
      <c r="B268" s="366" t="s">
        <v>7</v>
      </c>
      <c r="C268" s="366" t="s">
        <v>185</v>
      </c>
      <c r="D268" s="304" t="s">
        <v>184</v>
      </c>
      <c r="E268" s="304"/>
      <c r="F268" s="366" t="s">
        <v>89</v>
      </c>
      <c r="G268" s="367">
        <f>'[2]Stavební rozpočet'!G244</f>
        <v>0.24</v>
      </c>
      <c r="H268" s="367">
        <v>0</v>
      </c>
      <c r="I268" s="367">
        <f>G268*AO268</f>
        <v>0</v>
      </c>
      <c r="J268" s="367">
        <f>G268*AP268</f>
        <v>0</v>
      </c>
      <c r="K268" s="367">
        <f>G268*H268</f>
        <v>0</v>
      </c>
      <c r="L268" s="367">
        <f>'[2]Stavební rozpočet'!L244</f>
        <v>8E-05</v>
      </c>
      <c r="M268" s="367">
        <f>G268*L268</f>
        <v>1.9200000000000003E-05</v>
      </c>
      <c r="N268" s="368" t="s">
        <v>36</v>
      </c>
      <c r="O268" s="346"/>
      <c r="P268" s="346"/>
      <c r="Q268" s="346"/>
      <c r="R268" s="346"/>
      <c r="S268" s="346"/>
      <c r="T268" s="346"/>
      <c r="U268" s="346"/>
      <c r="V268" s="346"/>
      <c r="W268" s="346"/>
      <c r="X268" s="346"/>
      <c r="Y268" s="311"/>
      <c r="Z268" s="367">
        <f>IF(AQ268="5",BJ268,0)</f>
        <v>0</v>
      </c>
      <c r="AA268" s="311"/>
      <c r="AB268" s="367">
        <f>IF(AQ268="1",BH268,0)</f>
        <v>0</v>
      </c>
      <c r="AC268" s="367">
        <f>IF(AQ268="1",BI268,0)</f>
        <v>0</v>
      </c>
      <c r="AD268" s="367">
        <f>IF(AQ268="7",BH268,0)</f>
        <v>0</v>
      </c>
      <c r="AE268" s="367">
        <f>IF(AQ268="7",BI268,0)</f>
        <v>0</v>
      </c>
      <c r="AF268" s="367">
        <f>IF(AQ268="2",BH268,0)</f>
        <v>0</v>
      </c>
      <c r="AG268" s="367">
        <f>IF(AQ268="2",BI268,0)</f>
        <v>0</v>
      </c>
      <c r="AH268" s="367">
        <f>IF(AQ268="0",BJ268,0)</f>
        <v>0</v>
      </c>
      <c r="AI268" s="351" t="s">
        <v>7</v>
      </c>
      <c r="AJ268" s="367">
        <f>IF(AN268=0,K268,0)</f>
        <v>0</v>
      </c>
      <c r="AK268" s="367">
        <f>IF(AN268=15,K268,0)</f>
        <v>0</v>
      </c>
      <c r="AL268" s="367">
        <f>IF(AN268=21,K268,0)</f>
        <v>0</v>
      </c>
      <c r="AM268" s="311"/>
      <c r="AN268" s="367">
        <v>21</v>
      </c>
      <c r="AO268" s="367">
        <f>H268*0.0268417743625568</f>
        <v>0</v>
      </c>
      <c r="AP268" s="367">
        <f>H268*(1-0.0268417743625568)</f>
        <v>0</v>
      </c>
      <c r="AQ268" s="369" t="s">
        <v>178</v>
      </c>
      <c r="AR268" s="311"/>
      <c r="AS268" s="311"/>
      <c r="AT268" s="311"/>
      <c r="AU268" s="311"/>
      <c r="AV268" s="367">
        <f>AW268+AX268</f>
        <v>0</v>
      </c>
      <c r="AW268" s="367">
        <f>G268*AO268</f>
        <v>0</v>
      </c>
      <c r="AX268" s="367">
        <f>G268*AP268</f>
        <v>0</v>
      </c>
      <c r="AY268" s="369" t="s">
        <v>177</v>
      </c>
      <c r="AZ268" s="369" t="s">
        <v>176</v>
      </c>
      <c r="BA268" s="351" t="s">
        <v>3</v>
      </c>
      <c r="BB268" s="311"/>
      <c r="BC268" s="367">
        <f>AW268+AX268</f>
        <v>0</v>
      </c>
      <c r="BD268" s="367">
        <f>H268/(100-BE268)*100</f>
        <v>0</v>
      </c>
      <c r="BE268" s="367">
        <v>0</v>
      </c>
      <c r="BF268" s="367">
        <f>M268</f>
        <v>1.9200000000000003E-05</v>
      </c>
      <c r="BG268" s="311"/>
      <c r="BH268" s="367">
        <f>G268*AO268</f>
        <v>0</v>
      </c>
      <c r="BI268" s="367">
        <f>G268*AP268</f>
        <v>0</v>
      </c>
      <c r="BJ268" s="367">
        <f>G268*H268</f>
        <v>0</v>
      </c>
      <c r="BK268" s="367"/>
      <c r="BL268" s="367">
        <v>787</v>
      </c>
      <c r="BM268" s="311"/>
      <c r="BN268" s="311"/>
      <c r="BO268" s="311"/>
      <c r="BP268" s="311"/>
      <c r="BQ268" s="311"/>
      <c r="BR268" s="311"/>
      <c r="BS268" s="311"/>
      <c r="BT268" s="311"/>
      <c r="BU268" s="311"/>
    </row>
    <row r="269" spans="1:73" ht="13.5" customHeight="1">
      <c r="A269" s="370"/>
      <c r="B269" s="311"/>
      <c r="C269" s="311"/>
      <c r="D269" s="375" t="s">
        <v>183</v>
      </c>
      <c r="E269" s="375"/>
      <c r="F269" s="375"/>
      <c r="G269" s="375"/>
      <c r="H269" s="375"/>
      <c r="I269" s="375"/>
      <c r="J269" s="375"/>
      <c r="K269" s="375"/>
      <c r="L269" s="375"/>
      <c r="M269" s="375"/>
      <c r="N269" s="375"/>
      <c r="O269" s="346"/>
      <c r="P269" s="346"/>
      <c r="Q269" s="346"/>
      <c r="R269" s="346"/>
      <c r="S269" s="346"/>
      <c r="T269" s="346"/>
      <c r="U269" s="346"/>
      <c r="V269" s="346"/>
      <c r="W269" s="346"/>
      <c r="X269" s="346"/>
      <c r="Y269" s="311"/>
      <c r="Z269" s="311"/>
      <c r="AA269" s="311"/>
      <c r="AB269" s="311"/>
      <c r="AC269" s="311"/>
      <c r="AD269" s="311"/>
      <c r="AE269" s="311"/>
      <c r="AF269" s="311"/>
      <c r="AG269" s="311"/>
      <c r="AH269" s="311"/>
      <c r="AI269" s="311"/>
      <c r="AJ269" s="311"/>
      <c r="AK269" s="311"/>
      <c r="AL269" s="311"/>
      <c r="AM269" s="311"/>
      <c r="AN269" s="311"/>
      <c r="AO269" s="311"/>
      <c r="AP269" s="311"/>
      <c r="AQ269" s="311"/>
      <c r="AR269" s="311"/>
      <c r="AS269" s="311"/>
      <c r="AT269" s="311"/>
      <c r="AU269" s="311"/>
      <c r="AV269" s="311"/>
      <c r="AW269" s="311"/>
      <c r="AX269" s="311"/>
      <c r="AY269" s="311"/>
      <c r="AZ269" s="311"/>
      <c r="BA269" s="311"/>
      <c r="BB269" s="311"/>
      <c r="BC269" s="311"/>
      <c r="BD269" s="311"/>
      <c r="BE269" s="311"/>
      <c r="BF269" s="311"/>
      <c r="BG269" s="311"/>
      <c r="BH269" s="311"/>
      <c r="BI269" s="311"/>
      <c r="BJ269" s="311"/>
      <c r="BK269" s="311"/>
      <c r="BL269" s="311"/>
      <c r="BM269" s="311"/>
      <c r="BN269" s="311"/>
      <c r="BO269" s="311"/>
      <c r="BP269" s="311"/>
      <c r="BQ269" s="311"/>
      <c r="BR269" s="311"/>
      <c r="BS269" s="311"/>
      <c r="BT269" s="311"/>
      <c r="BU269" s="311"/>
    </row>
    <row r="270" spans="1:73" ht="15" customHeight="1">
      <c r="A270" s="370"/>
      <c r="B270" s="311"/>
      <c r="C270" s="311"/>
      <c r="D270" s="371" t="s">
        <v>182</v>
      </c>
      <c r="E270" s="372"/>
      <c r="F270" s="311"/>
      <c r="G270" s="373">
        <v>0.24000000000000002</v>
      </c>
      <c r="H270" s="327"/>
      <c r="I270" s="311"/>
      <c r="J270" s="311"/>
      <c r="K270" s="311"/>
      <c r="L270" s="311"/>
      <c r="M270" s="311"/>
      <c r="N270" s="374"/>
      <c r="O270" s="346"/>
      <c r="P270" s="346"/>
      <c r="Q270" s="346"/>
      <c r="R270" s="346"/>
      <c r="S270" s="346"/>
      <c r="T270" s="346"/>
      <c r="U270" s="346"/>
      <c r="V270" s="346"/>
      <c r="W270" s="346"/>
      <c r="X270" s="346"/>
      <c r="Y270" s="311"/>
      <c r="Z270" s="311"/>
      <c r="AA270" s="311"/>
      <c r="AB270" s="311"/>
      <c r="AC270" s="311"/>
      <c r="AD270" s="311"/>
      <c r="AE270" s="311"/>
      <c r="AF270" s="311"/>
      <c r="AG270" s="311"/>
      <c r="AH270" s="311"/>
      <c r="AI270" s="311"/>
      <c r="AJ270" s="311"/>
      <c r="AK270" s="311"/>
      <c r="AL270" s="311"/>
      <c r="AM270" s="311"/>
      <c r="AN270" s="311"/>
      <c r="AO270" s="311"/>
      <c r="AP270" s="311"/>
      <c r="AQ270" s="311"/>
      <c r="AR270" s="311"/>
      <c r="AS270" s="311"/>
      <c r="AT270" s="311"/>
      <c r="AU270" s="311"/>
      <c r="AV270" s="311"/>
      <c r="AW270" s="311"/>
      <c r="AX270" s="311"/>
      <c r="AY270" s="311"/>
      <c r="AZ270" s="311"/>
      <c r="BA270" s="311"/>
      <c r="BB270" s="311"/>
      <c r="BC270" s="311"/>
      <c r="BD270" s="311"/>
      <c r="BE270" s="311"/>
      <c r="BF270" s="311"/>
      <c r="BG270" s="311"/>
      <c r="BH270" s="311"/>
      <c r="BI270" s="311"/>
      <c r="BJ270" s="311"/>
      <c r="BK270" s="311"/>
      <c r="BL270" s="311"/>
      <c r="BM270" s="311"/>
      <c r="BN270" s="311"/>
      <c r="BO270" s="311"/>
      <c r="BP270" s="311"/>
      <c r="BQ270" s="311"/>
      <c r="BR270" s="311"/>
      <c r="BS270" s="311"/>
      <c r="BT270" s="311"/>
      <c r="BU270" s="311"/>
    </row>
    <row r="271" spans="1:73" ht="15" customHeight="1">
      <c r="A271" s="365" t="s">
        <v>181</v>
      </c>
      <c r="B271" s="366" t="s">
        <v>7</v>
      </c>
      <c r="C271" s="366" t="s">
        <v>180</v>
      </c>
      <c r="D271" s="304" t="s">
        <v>179</v>
      </c>
      <c r="E271" s="304"/>
      <c r="F271" s="366" t="s">
        <v>89</v>
      </c>
      <c r="G271" s="367">
        <f>'[2]Stavební rozpočet'!G246</f>
        <v>0.252</v>
      </c>
      <c r="H271" s="328">
        <v>0</v>
      </c>
      <c r="I271" s="367">
        <f>G271*AO271</f>
        <v>0</v>
      </c>
      <c r="J271" s="367">
        <f>G271*AP271</f>
        <v>0</v>
      </c>
      <c r="K271" s="367">
        <f>G271*H271</f>
        <v>0</v>
      </c>
      <c r="L271" s="367">
        <f>'[2]Stavební rozpočet'!L246</f>
        <v>0.01</v>
      </c>
      <c r="M271" s="367">
        <f>G271*L271</f>
        <v>0.00252</v>
      </c>
      <c r="N271" s="368" t="s">
        <v>36</v>
      </c>
      <c r="O271" s="346"/>
      <c r="P271" s="346"/>
      <c r="Q271" s="346"/>
      <c r="R271" s="346"/>
      <c r="S271" s="346"/>
      <c r="T271" s="346"/>
      <c r="U271" s="346"/>
      <c r="V271" s="346"/>
      <c r="W271" s="346"/>
      <c r="X271" s="346"/>
      <c r="Y271" s="311"/>
      <c r="Z271" s="367">
        <f>IF(AQ271="5",BJ271,0)</f>
        <v>0</v>
      </c>
      <c r="AA271" s="311"/>
      <c r="AB271" s="367">
        <f>IF(AQ271="1",BH271,0)</f>
        <v>0</v>
      </c>
      <c r="AC271" s="367">
        <f>IF(AQ271="1",BI271,0)</f>
        <v>0</v>
      </c>
      <c r="AD271" s="367">
        <f>IF(AQ271="7",BH271,0)</f>
        <v>0</v>
      </c>
      <c r="AE271" s="367">
        <f>IF(AQ271="7",BI271,0)</f>
        <v>0</v>
      </c>
      <c r="AF271" s="367">
        <f>IF(AQ271="2",BH271,0)</f>
        <v>0</v>
      </c>
      <c r="AG271" s="367">
        <f>IF(AQ271="2",BI271,0)</f>
        <v>0</v>
      </c>
      <c r="AH271" s="367">
        <f>IF(AQ271="0",BJ271,0)</f>
        <v>0</v>
      </c>
      <c r="AI271" s="351" t="s">
        <v>7</v>
      </c>
      <c r="AJ271" s="367">
        <f>IF(AN271=0,K271,0)</f>
        <v>0</v>
      </c>
      <c r="AK271" s="367">
        <f>IF(AN271=15,K271,0)</f>
        <v>0</v>
      </c>
      <c r="AL271" s="367">
        <f>IF(AN271=21,K271,0)</f>
        <v>0</v>
      </c>
      <c r="AM271" s="311"/>
      <c r="AN271" s="367">
        <v>21</v>
      </c>
      <c r="AO271" s="367">
        <f>H271*1</f>
        <v>0</v>
      </c>
      <c r="AP271" s="367">
        <f>H271*(1-1)</f>
        <v>0</v>
      </c>
      <c r="AQ271" s="369" t="s">
        <v>178</v>
      </c>
      <c r="AR271" s="311"/>
      <c r="AS271" s="311"/>
      <c r="AT271" s="311"/>
      <c r="AU271" s="311"/>
      <c r="AV271" s="367">
        <f>AW271+AX271</f>
        <v>0</v>
      </c>
      <c r="AW271" s="367">
        <f>G271*AO271</f>
        <v>0</v>
      </c>
      <c r="AX271" s="367">
        <f>G271*AP271</f>
        <v>0</v>
      </c>
      <c r="AY271" s="369" t="s">
        <v>177</v>
      </c>
      <c r="AZ271" s="369" t="s">
        <v>176</v>
      </c>
      <c r="BA271" s="351" t="s">
        <v>3</v>
      </c>
      <c r="BB271" s="311"/>
      <c r="BC271" s="367">
        <f>AW271+AX271</f>
        <v>0</v>
      </c>
      <c r="BD271" s="367">
        <f>H271/(100-BE271)*100</f>
        <v>0</v>
      </c>
      <c r="BE271" s="367">
        <v>0</v>
      </c>
      <c r="BF271" s="367">
        <f>M271</f>
        <v>0.00252</v>
      </c>
      <c r="BG271" s="311"/>
      <c r="BH271" s="367">
        <f>G271*AO271</f>
        <v>0</v>
      </c>
      <c r="BI271" s="367">
        <f>G271*AP271</f>
        <v>0</v>
      </c>
      <c r="BJ271" s="367">
        <f>G271*H271</f>
        <v>0</v>
      </c>
      <c r="BK271" s="367"/>
      <c r="BL271" s="367">
        <v>787</v>
      </c>
      <c r="BM271" s="311"/>
      <c r="BN271" s="311"/>
      <c r="BO271" s="311"/>
      <c r="BP271" s="311"/>
      <c r="BQ271" s="311"/>
      <c r="BR271" s="311"/>
      <c r="BS271" s="311"/>
      <c r="BT271" s="311"/>
      <c r="BU271" s="311"/>
    </row>
    <row r="272" spans="1:73" ht="15" customHeight="1">
      <c r="A272" s="370"/>
      <c r="B272" s="311"/>
      <c r="C272" s="311"/>
      <c r="D272" s="371" t="s">
        <v>175</v>
      </c>
      <c r="E272" s="372"/>
      <c r="F272" s="311"/>
      <c r="G272" s="373">
        <v>0.24000000000000002</v>
      </c>
      <c r="H272" s="327"/>
      <c r="I272" s="311"/>
      <c r="J272" s="311"/>
      <c r="K272" s="311"/>
      <c r="L272" s="311"/>
      <c r="M272" s="311"/>
      <c r="N272" s="374"/>
      <c r="O272" s="346"/>
      <c r="P272" s="346"/>
      <c r="Q272" s="346"/>
      <c r="R272" s="346"/>
      <c r="S272" s="346"/>
      <c r="T272" s="346"/>
      <c r="U272" s="346"/>
      <c r="V272" s="346"/>
      <c r="W272" s="346"/>
      <c r="X272" s="346"/>
      <c r="Y272" s="311"/>
      <c r="Z272" s="311"/>
      <c r="AA272" s="311"/>
      <c r="AB272" s="311"/>
      <c r="AC272" s="311"/>
      <c r="AD272" s="311"/>
      <c r="AE272" s="311"/>
      <c r="AF272" s="311"/>
      <c r="AG272" s="311"/>
      <c r="AH272" s="311"/>
      <c r="AI272" s="311"/>
      <c r="AJ272" s="311"/>
      <c r="AK272" s="311"/>
      <c r="AL272" s="311"/>
      <c r="AM272" s="311"/>
      <c r="AN272" s="311"/>
      <c r="AO272" s="311"/>
      <c r="AP272" s="311"/>
      <c r="AQ272" s="311"/>
      <c r="AR272" s="311"/>
      <c r="AS272" s="311"/>
      <c r="AT272" s="311"/>
      <c r="AU272" s="311"/>
      <c r="AV272" s="311"/>
      <c r="AW272" s="311"/>
      <c r="AX272" s="311"/>
      <c r="AY272" s="311"/>
      <c r="AZ272" s="311"/>
      <c r="BA272" s="311"/>
      <c r="BB272" s="311"/>
      <c r="BC272" s="311"/>
      <c r="BD272" s="311"/>
      <c r="BE272" s="311"/>
      <c r="BF272" s="311"/>
      <c r="BG272" s="311"/>
      <c r="BH272" s="311"/>
      <c r="BI272" s="311"/>
      <c r="BJ272" s="311"/>
      <c r="BK272" s="311"/>
      <c r="BL272" s="311"/>
      <c r="BM272" s="311"/>
      <c r="BN272" s="311"/>
      <c r="BO272" s="311"/>
      <c r="BP272" s="311"/>
      <c r="BQ272" s="311"/>
      <c r="BR272" s="311"/>
      <c r="BS272" s="311"/>
      <c r="BT272" s="311"/>
      <c r="BU272" s="311"/>
    </row>
    <row r="273" spans="1:73" ht="15" customHeight="1">
      <c r="A273" s="370"/>
      <c r="B273" s="311"/>
      <c r="C273" s="311"/>
      <c r="D273" s="371" t="s">
        <v>174</v>
      </c>
      <c r="E273" s="372"/>
      <c r="F273" s="311"/>
      <c r="G273" s="373">
        <v>0.012</v>
      </c>
      <c r="H273" s="327"/>
      <c r="I273" s="311"/>
      <c r="J273" s="311"/>
      <c r="K273" s="311"/>
      <c r="L273" s="311"/>
      <c r="M273" s="311"/>
      <c r="N273" s="374"/>
      <c r="O273" s="346"/>
      <c r="P273" s="346"/>
      <c r="Q273" s="346"/>
      <c r="R273" s="346"/>
      <c r="S273" s="346"/>
      <c r="T273" s="346"/>
      <c r="U273" s="346"/>
      <c r="V273" s="346"/>
      <c r="W273" s="346"/>
      <c r="X273" s="346"/>
      <c r="Y273" s="311"/>
      <c r="Z273" s="311"/>
      <c r="AA273" s="311"/>
      <c r="AB273" s="311"/>
      <c r="AC273" s="311"/>
      <c r="AD273" s="311"/>
      <c r="AE273" s="311"/>
      <c r="AF273" s="311"/>
      <c r="AG273" s="311"/>
      <c r="AH273" s="311"/>
      <c r="AI273" s="311"/>
      <c r="AJ273" s="311"/>
      <c r="AK273" s="311"/>
      <c r="AL273" s="311"/>
      <c r="AM273" s="311"/>
      <c r="AN273" s="311"/>
      <c r="AO273" s="311"/>
      <c r="AP273" s="311"/>
      <c r="AQ273" s="311"/>
      <c r="AR273" s="311"/>
      <c r="AS273" s="311"/>
      <c r="AT273" s="311"/>
      <c r="AU273" s="311"/>
      <c r="AV273" s="311"/>
      <c r="AW273" s="311"/>
      <c r="AX273" s="311"/>
      <c r="AY273" s="311"/>
      <c r="AZ273" s="311"/>
      <c r="BA273" s="311"/>
      <c r="BB273" s="311"/>
      <c r="BC273" s="311"/>
      <c r="BD273" s="311"/>
      <c r="BE273" s="311"/>
      <c r="BF273" s="311"/>
      <c r="BG273" s="311"/>
      <c r="BH273" s="311"/>
      <c r="BI273" s="311"/>
      <c r="BJ273" s="311"/>
      <c r="BK273" s="311"/>
      <c r="BL273" s="311"/>
      <c r="BM273" s="311"/>
      <c r="BN273" s="311"/>
      <c r="BO273" s="311"/>
      <c r="BP273" s="311"/>
      <c r="BQ273" s="311"/>
      <c r="BR273" s="311"/>
      <c r="BS273" s="311"/>
      <c r="BT273" s="311"/>
      <c r="BU273" s="311"/>
    </row>
    <row r="274" spans="1:73" ht="15" customHeight="1">
      <c r="A274" s="360"/>
      <c r="B274" s="361" t="s">
        <v>7</v>
      </c>
      <c r="C274" s="361" t="s">
        <v>96</v>
      </c>
      <c r="D274" s="362" t="s">
        <v>173</v>
      </c>
      <c r="E274" s="362"/>
      <c r="F274" s="363" t="s">
        <v>12</v>
      </c>
      <c r="G274" s="363" t="s">
        <v>12</v>
      </c>
      <c r="H274" s="363" t="s">
        <v>12</v>
      </c>
      <c r="I274" s="347">
        <f>SUM(I275:I281)</f>
        <v>0</v>
      </c>
      <c r="J274" s="347">
        <f>SUM(J275:J281)</f>
        <v>0</v>
      </c>
      <c r="K274" s="347">
        <f>SUM(K275:K281)</f>
        <v>0</v>
      </c>
      <c r="L274" s="351"/>
      <c r="M274" s="347">
        <f>SUM(M275:M281)</f>
        <v>1.0963588000000002</v>
      </c>
      <c r="N274" s="364"/>
      <c r="O274" s="346"/>
      <c r="P274" s="346"/>
      <c r="Q274" s="346"/>
      <c r="R274" s="346"/>
      <c r="S274" s="346"/>
      <c r="T274" s="346"/>
      <c r="U274" s="346"/>
      <c r="V274" s="346"/>
      <c r="W274" s="346"/>
      <c r="X274" s="346"/>
      <c r="Y274" s="311"/>
      <c r="Z274" s="311"/>
      <c r="AA274" s="311"/>
      <c r="AB274" s="311"/>
      <c r="AC274" s="311"/>
      <c r="AD274" s="311"/>
      <c r="AE274" s="311"/>
      <c r="AF274" s="311"/>
      <c r="AG274" s="311"/>
      <c r="AH274" s="311"/>
      <c r="AI274" s="351" t="s">
        <v>7</v>
      </c>
      <c r="AJ274" s="311"/>
      <c r="AK274" s="311"/>
      <c r="AL274" s="311"/>
      <c r="AM274" s="311"/>
      <c r="AN274" s="311"/>
      <c r="AO274" s="311"/>
      <c r="AP274" s="311"/>
      <c r="AQ274" s="311"/>
      <c r="AR274" s="311"/>
      <c r="AS274" s="347">
        <f>SUM(AJ275:AJ281)</f>
        <v>0</v>
      </c>
      <c r="AT274" s="347">
        <f>SUM(AK275:AK281)</f>
        <v>0</v>
      </c>
      <c r="AU274" s="347">
        <f>SUM(AL275:AL281)</f>
        <v>0</v>
      </c>
      <c r="AV274" s="311"/>
      <c r="AW274" s="311"/>
      <c r="AX274" s="311"/>
      <c r="AY274" s="311"/>
      <c r="AZ274" s="311"/>
      <c r="BA274" s="311"/>
      <c r="BB274" s="311"/>
      <c r="BC274" s="311"/>
      <c r="BD274" s="311"/>
      <c r="BE274" s="311"/>
      <c r="BF274" s="311"/>
      <c r="BG274" s="311"/>
      <c r="BH274" s="311"/>
      <c r="BI274" s="311"/>
      <c r="BJ274" s="311"/>
      <c r="BK274" s="311"/>
      <c r="BL274" s="311"/>
      <c r="BM274" s="311"/>
      <c r="BN274" s="311"/>
      <c r="BO274" s="311"/>
      <c r="BP274" s="311"/>
      <c r="BQ274" s="311"/>
      <c r="BR274" s="311"/>
      <c r="BS274" s="311"/>
      <c r="BT274" s="311"/>
      <c r="BU274" s="311"/>
    </row>
    <row r="275" spans="1:73" ht="15" customHeight="1">
      <c r="A275" s="365" t="s">
        <v>172</v>
      </c>
      <c r="B275" s="366" t="s">
        <v>7</v>
      </c>
      <c r="C275" s="366" t="s">
        <v>171</v>
      </c>
      <c r="D275" s="304" t="s">
        <v>170</v>
      </c>
      <c r="E275" s="304"/>
      <c r="F275" s="366" t="s">
        <v>89</v>
      </c>
      <c r="G275" s="367">
        <f>'[2]Stavební rozpočet'!G250</f>
        <v>202.28</v>
      </c>
      <c r="H275" s="328">
        <v>0</v>
      </c>
      <c r="I275" s="367">
        <f>G275*AO275</f>
        <v>0</v>
      </c>
      <c r="J275" s="367">
        <f>G275*AP275</f>
        <v>0</v>
      </c>
      <c r="K275" s="367">
        <f>G275*H275</f>
        <v>0</v>
      </c>
      <c r="L275" s="367">
        <f>'[2]Stavební rozpočet'!L250</f>
        <v>0.00121</v>
      </c>
      <c r="M275" s="367">
        <f>G275*L275</f>
        <v>0.2447588</v>
      </c>
      <c r="N275" s="368" t="s">
        <v>36</v>
      </c>
      <c r="O275" s="346"/>
      <c r="P275" s="346"/>
      <c r="Q275" s="346"/>
      <c r="R275" s="346"/>
      <c r="S275" s="346"/>
      <c r="T275" s="346"/>
      <c r="U275" s="346"/>
      <c r="V275" s="346"/>
      <c r="W275" s="346"/>
      <c r="X275" s="346"/>
      <c r="Y275" s="311"/>
      <c r="Z275" s="367">
        <f>IF(AQ275="5",BJ275,0)</f>
        <v>0</v>
      </c>
      <c r="AA275" s="311"/>
      <c r="AB275" s="367">
        <f>IF(AQ275="1",BH275,0)</f>
        <v>0</v>
      </c>
      <c r="AC275" s="367">
        <f>IF(AQ275="1",BI275,0)</f>
        <v>0</v>
      </c>
      <c r="AD275" s="367">
        <f>IF(AQ275="7",BH275,0)</f>
        <v>0</v>
      </c>
      <c r="AE275" s="367">
        <f>IF(AQ275="7",BI275,0)</f>
        <v>0</v>
      </c>
      <c r="AF275" s="367">
        <f>IF(AQ275="2",BH275,0)</f>
        <v>0</v>
      </c>
      <c r="AG275" s="367">
        <f>IF(AQ275="2",BI275,0)</f>
        <v>0</v>
      </c>
      <c r="AH275" s="367">
        <f>IF(AQ275="0",BJ275,0)</f>
        <v>0</v>
      </c>
      <c r="AI275" s="351" t="s">
        <v>7</v>
      </c>
      <c r="AJ275" s="367">
        <f>IF(AN275=0,K275,0)</f>
        <v>0</v>
      </c>
      <c r="AK275" s="367">
        <f>IF(AN275=15,K275,0)</f>
        <v>0</v>
      </c>
      <c r="AL275" s="367">
        <f>IF(AN275=21,K275,0)</f>
        <v>0</v>
      </c>
      <c r="AM275" s="311"/>
      <c r="AN275" s="367">
        <v>21</v>
      </c>
      <c r="AO275" s="367">
        <f>H275*0.37897031272151</f>
        <v>0</v>
      </c>
      <c r="AP275" s="367">
        <f>H275*(1-0.37897031272151)</f>
        <v>0</v>
      </c>
      <c r="AQ275" s="369" t="s">
        <v>2</v>
      </c>
      <c r="AR275" s="311"/>
      <c r="AS275" s="311"/>
      <c r="AT275" s="311"/>
      <c r="AU275" s="311"/>
      <c r="AV275" s="367">
        <f>AW275+AX275</f>
        <v>0</v>
      </c>
      <c r="AW275" s="367">
        <f>G275*AO275</f>
        <v>0</v>
      </c>
      <c r="AX275" s="367">
        <f>G275*AP275</f>
        <v>0</v>
      </c>
      <c r="AY275" s="369" t="s">
        <v>157</v>
      </c>
      <c r="AZ275" s="369" t="s">
        <v>33</v>
      </c>
      <c r="BA275" s="351" t="s">
        <v>3</v>
      </c>
      <c r="BB275" s="311"/>
      <c r="BC275" s="367">
        <f>AW275+AX275</f>
        <v>0</v>
      </c>
      <c r="BD275" s="367">
        <f>H275/(100-BE275)*100</f>
        <v>0</v>
      </c>
      <c r="BE275" s="367">
        <v>0</v>
      </c>
      <c r="BF275" s="367">
        <f>M275</f>
        <v>0.2447588</v>
      </c>
      <c r="BG275" s="311"/>
      <c r="BH275" s="367">
        <f>G275*AO275</f>
        <v>0</v>
      </c>
      <c r="BI275" s="367">
        <f>G275*AP275</f>
        <v>0</v>
      </c>
      <c r="BJ275" s="367">
        <f>G275*H275</f>
        <v>0</v>
      </c>
      <c r="BK275" s="367"/>
      <c r="BL275" s="367">
        <v>94</v>
      </c>
      <c r="BM275" s="311"/>
      <c r="BN275" s="311"/>
      <c r="BO275" s="311"/>
      <c r="BP275" s="311"/>
      <c r="BQ275" s="311"/>
      <c r="BR275" s="311"/>
      <c r="BS275" s="311"/>
      <c r="BT275" s="311"/>
      <c r="BU275" s="311"/>
    </row>
    <row r="276" spans="1:73" ht="15" customHeight="1">
      <c r="A276" s="370"/>
      <c r="B276" s="311"/>
      <c r="C276" s="311"/>
      <c r="D276" s="371" t="s">
        <v>169</v>
      </c>
      <c r="E276" s="372"/>
      <c r="F276" s="311"/>
      <c r="G276" s="373">
        <v>202.28000000000003</v>
      </c>
      <c r="H276" s="327"/>
      <c r="I276" s="311"/>
      <c r="J276" s="311"/>
      <c r="K276" s="311"/>
      <c r="L276" s="311"/>
      <c r="M276" s="311"/>
      <c r="N276" s="374"/>
      <c r="O276" s="346"/>
      <c r="P276" s="346"/>
      <c r="Q276" s="346"/>
      <c r="R276" s="346"/>
      <c r="S276" s="346"/>
      <c r="T276" s="346"/>
      <c r="U276" s="346"/>
      <c r="V276" s="346"/>
      <c r="W276" s="346"/>
      <c r="X276" s="346"/>
      <c r="Y276" s="311"/>
      <c r="Z276" s="311"/>
      <c r="AA276" s="311"/>
      <c r="AB276" s="311"/>
      <c r="AC276" s="311"/>
      <c r="AD276" s="311"/>
      <c r="AE276" s="311"/>
      <c r="AF276" s="311"/>
      <c r="AG276" s="311"/>
      <c r="AH276" s="311"/>
      <c r="AI276" s="311"/>
      <c r="AJ276" s="311"/>
      <c r="AK276" s="311"/>
      <c r="AL276" s="311"/>
      <c r="AM276" s="311"/>
      <c r="AN276" s="311"/>
      <c r="AO276" s="311"/>
      <c r="AP276" s="311"/>
      <c r="AQ276" s="311"/>
      <c r="AR276" s="311"/>
      <c r="AS276" s="311"/>
      <c r="AT276" s="311"/>
      <c r="AU276" s="311"/>
      <c r="AV276" s="311"/>
      <c r="AW276" s="311"/>
      <c r="AX276" s="311"/>
      <c r="AY276" s="311"/>
      <c r="AZ276" s="311"/>
      <c r="BA276" s="311"/>
      <c r="BB276" s="311"/>
      <c r="BC276" s="311"/>
      <c r="BD276" s="311"/>
      <c r="BE276" s="311"/>
      <c r="BF276" s="311"/>
      <c r="BG276" s="311"/>
      <c r="BH276" s="311"/>
      <c r="BI276" s="311"/>
      <c r="BJ276" s="311"/>
      <c r="BK276" s="311"/>
      <c r="BL276" s="311"/>
      <c r="BM276" s="311"/>
      <c r="BN276" s="311"/>
      <c r="BO276" s="311"/>
      <c r="BP276" s="311"/>
      <c r="BQ276" s="311"/>
      <c r="BR276" s="311"/>
      <c r="BS276" s="311"/>
      <c r="BT276" s="311"/>
      <c r="BU276" s="311"/>
    </row>
    <row r="277" spans="1:73" ht="15" customHeight="1">
      <c r="A277" s="365" t="s">
        <v>168</v>
      </c>
      <c r="B277" s="366" t="s">
        <v>7</v>
      </c>
      <c r="C277" s="366" t="s">
        <v>167</v>
      </c>
      <c r="D277" s="304" t="s">
        <v>166</v>
      </c>
      <c r="E277" s="304"/>
      <c r="F277" s="366" t="s">
        <v>89</v>
      </c>
      <c r="G277" s="367">
        <f>'[2]Stavební rozpočet'!G252</f>
        <v>40</v>
      </c>
      <c r="H277" s="328">
        <v>0</v>
      </c>
      <c r="I277" s="367">
        <f>G277*AO277</f>
        <v>0</v>
      </c>
      <c r="J277" s="367">
        <f>G277*AP277</f>
        <v>0</v>
      </c>
      <c r="K277" s="367">
        <f>G277*H277</f>
        <v>0</v>
      </c>
      <c r="L277" s="367">
        <f>'[2]Stavební rozpočet'!L252</f>
        <v>0.01838</v>
      </c>
      <c r="M277" s="367">
        <f>G277*L277</f>
        <v>0.7352000000000001</v>
      </c>
      <c r="N277" s="368" t="s">
        <v>36</v>
      </c>
      <c r="O277" s="346"/>
      <c r="P277" s="346"/>
      <c r="Q277" s="346"/>
      <c r="R277" s="346"/>
      <c r="S277" s="346"/>
      <c r="T277" s="346"/>
      <c r="U277" s="346"/>
      <c r="V277" s="346"/>
      <c r="W277" s="346"/>
      <c r="X277" s="346"/>
      <c r="Y277" s="311"/>
      <c r="Z277" s="367">
        <f>IF(AQ277="5",BJ277,0)</f>
        <v>0</v>
      </c>
      <c r="AA277" s="311"/>
      <c r="AB277" s="367">
        <f>IF(AQ277="1",BH277,0)</f>
        <v>0</v>
      </c>
      <c r="AC277" s="367">
        <f>IF(AQ277="1",BI277,0)</f>
        <v>0</v>
      </c>
      <c r="AD277" s="367">
        <f>IF(AQ277="7",BH277,0)</f>
        <v>0</v>
      </c>
      <c r="AE277" s="367">
        <f>IF(AQ277="7",BI277,0)</f>
        <v>0</v>
      </c>
      <c r="AF277" s="367">
        <f>IF(AQ277="2",BH277,0)</f>
        <v>0</v>
      </c>
      <c r="AG277" s="367">
        <f>IF(AQ277="2",BI277,0)</f>
        <v>0</v>
      </c>
      <c r="AH277" s="367">
        <f>IF(AQ277="0",BJ277,0)</f>
        <v>0</v>
      </c>
      <c r="AI277" s="351" t="s">
        <v>7</v>
      </c>
      <c r="AJ277" s="367">
        <f>IF(AN277=0,K277,0)</f>
        <v>0</v>
      </c>
      <c r="AK277" s="367">
        <f>IF(AN277=15,K277,0)</f>
        <v>0</v>
      </c>
      <c r="AL277" s="367">
        <f>IF(AN277=21,K277,0)</f>
        <v>0</v>
      </c>
      <c r="AM277" s="311"/>
      <c r="AN277" s="367">
        <v>21</v>
      </c>
      <c r="AO277" s="367">
        <f>H277*0.000753768844221105</f>
        <v>0</v>
      </c>
      <c r="AP277" s="367">
        <f>H277*(1-0.000753768844221105)</f>
        <v>0</v>
      </c>
      <c r="AQ277" s="369" t="s">
        <v>2</v>
      </c>
      <c r="AR277" s="311"/>
      <c r="AS277" s="311"/>
      <c r="AT277" s="311"/>
      <c r="AU277" s="311"/>
      <c r="AV277" s="367">
        <f>AW277+AX277</f>
        <v>0</v>
      </c>
      <c r="AW277" s="367">
        <f>G277*AO277</f>
        <v>0</v>
      </c>
      <c r="AX277" s="367">
        <f>G277*AP277</f>
        <v>0</v>
      </c>
      <c r="AY277" s="369" t="s">
        <v>157</v>
      </c>
      <c r="AZ277" s="369" t="s">
        <v>33</v>
      </c>
      <c r="BA277" s="351" t="s">
        <v>3</v>
      </c>
      <c r="BB277" s="311"/>
      <c r="BC277" s="367">
        <f>AW277+AX277</f>
        <v>0</v>
      </c>
      <c r="BD277" s="367">
        <f>H277/(100-BE277)*100</f>
        <v>0</v>
      </c>
      <c r="BE277" s="367">
        <v>0</v>
      </c>
      <c r="BF277" s="367">
        <f>M277</f>
        <v>0.7352000000000001</v>
      </c>
      <c r="BG277" s="311"/>
      <c r="BH277" s="367">
        <f>G277*AO277</f>
        <v>0</v>
      </c>
      <c r="BI277" s="367">
        <f>G277*AP277</f>
        <v>0</v>
      </c>
      <c r="BJ277" s="367">
        <f>G277*H277</f>
        <v>0</v>
      </c>
      <c r="BK277" s="367"/>
      <c r="BL277" s="367">
        <v>94</v>
      </c>
      <c r="BM277" s="311"/>
      <c r="BN277" s="311"/>
      <c r="BO277" s="311"/>
      <c r="BP277" s="311"/>
      <c r="BQ277" s="311"/>
      <c r="BR277" s="311"/>
      <c r="BS277" s="311"/>
      <c r="BT277" s="311"/>
      <c r="BU277" s="311"/>
    </row>
    <row r="278" spans="1:73" ht="15" customHeight="1">
      <c r="A278" s="370"/>
      <c r="B278" s="311"/>
      <c r="C278" s="311"/>
      <c r="D278" s="371" t="s">
        <v>165</v>
      </c>
      <c r="E278" s="372"/>
      <c r="F278" s="311"/>
      <c r="G278" s="373">
        <v>40</v>
      </c>
      <c r="H278" s="327"/>
      <c r="I278" s="311"/>
      <c r="J278" s="311"/>
      <c r="K278" s="311"/>
      <c r="L278" s="311"/>
      <c r="M278" s="311"/>
      <c r="N278" s="374"/>
      <c r="O278" s="346"/>
      <c r="P278" s="346"/>
      <c r="Q278" s="346"/>
      <c r="R278" s="346"/>
      <c r="S278" s="346"/>
      <c r="T278" s="346"/>
      <c r="U278" s="346"/>
      <c r="V278" s="346"/>
      <c r="W278" s="346"/>
      <c r="X278" s="346"/>
      <c r="Y278" s="311"/>
      <c r="Z278" s="311"/>
      <c r="AA278" s="311"/>
      <c r="AB278" s="311"/>
      <c r="AC278" s="311"/>
      <c r="AD278" s="311"/>
      <c r="AE278" s="311"/>
      <c r="AF278" s="311"/>
      <c r="AG278" s="311"/>
      <c r="AH278" s="311"/>
      <c r="AI278" s="311"/>
      <c r="AJ278" s="311"/>
      <c r="AK278" s="311"/>
      <c r="AL278" s="311"/>
      <c r="AM278" s="311"/>
      <c r="AN278" s="311"/>
      <c r="AO278" s="311"/>
      <c r="AP278" s="311"/>
      <c r="AQ278" s="311"/>
      <c r="AR278" s="311"/>
      <c r="AS278" s="311"/>
      <c r="AT278" s="311"/>
      <c r="AU278" s="311"/>
      <c r="AV278" s="311"/>
      <c r="AW278" s="311"/>
      <c r="AX278" s="311"/>
      <c r="AY278" s="311"/>
      <c r="AZ278" s="311"/>
      <c r="BA278" s="311"/>
      <c r="BB278" s="311"/>
      <c r="BC278" s="311"/>
      <c r="BD278" s="311"/>
      <c r="BE278" s="311"/>
      <c r="BF278" s="311"/>
      <c r="BG278" s="311"/>
      <c r="BH278" s="311"/>
      <c r="BI278" s="311"/>
      <c r="BJ278" s="311"/>
      <c r="BK278" s="311"/>
      <c r="BL278" s="311"/>
      <c r="BM278" s="311"/>
      <c r="BN278" s="311"/>
      <c r="BO278" s="311"/>
      <c r="BP278" s="311"/>
      <c r="BQ278" s="311"/>
      <c r="BR278" s="311"/>
      <c r="BS278" s="311"/>
      <c r="BT278" s="311"/>
      <c r="BU278" s="311"/>
    </row>
    <row r="279" spans="1:73" ht="15" customHeight="1">
      <c r="A279" s="365" t="s">
        <v>164</v>
      </c>
      <c r="B279" s="366" t="s">
        <v>7</v>
      </c>
      <c r="C279" s="366" t="s">
        <v>163</v>
      </c>
      <c r="D279" s="304" t="s">
        <v>162</v>
      </c>
      <c r="E279" s="304"/>
      <c r="F279" s="366" t="s">
        <v>89</v>
      </c>
      <c r="G279" s="367">
        <f>'[2]Stavební rozpočet'!G254</f>
        <v>120</v>
      </c>
      <c r="H279" s="328">
        <v>0</v>
      </c>
      <c r="I279" s="367">
        <f>G279*AO279</f>
        <v>0</v>
      </c>
      <c r="J279" s="367">
        <f>G279*AP279</f>
        <v>0</v>
      </c>
      <c r="K279" s="367">
        <f>G279*H279</f>
        <v>0</v>
      </c>
      <c r="L279" s="367">
        <f>'[2]Stavební rozpočet'!L254</f>
        <v>0.00097</v>
      </c>
      <c r="M279" s="367">
        <f>G279*L279</f>
        <v>0.1164</v>
      </c>
      <c r="N279" s="368" t="s">
        <v>36</v>
      </c>
      <c r="O279" s="346"/>
      <c r="P279" s="346"/>
      <c r="Q279" s="346"/>
      <c r="R279" s="346"/>
      <c r="S279" s="346"/>
      <c r="T279" s="346"/>
      <c r="U279" s="346"/>
      <c r="V279" s="346"/>
      <c r="W279" s="346"/>
      <c r="X279" s="346"/>
      <c r="Y279" s="311"/>
      <c r="Z279" s="367">
        <f>IF(AQ279="5",BJ279,0)</f>
        <v>0</v>
      </c>
      <c r="AA279" s="311"/>
      <c r="AB279" s="367">
        <f>IF(AQ279="1",BH279,0)</f>
        <v>0</v>
      </c>
      <c r="AC279" s="367">
        <f>IF(AQ279="1",BI279,0)</f>
        <v>0</v>
      </c>
      <c r="AD279" s="367">
        <f>IF(AQ279="7",BH279,0)</f>
        <v>0</v>
      </c>
      <c r="AE279" s="367">
        <f>IF(AQ279="7",BI279,0)</f>
        <v>0</v>
      </c>
      <c r="AF279" s="367">
        <f>IF(AQ279="2",BH279,0)</f>
        <v>0</v>
      </c>
      <c r="AG279" s="367">
        <f>IF(AQ279="2",BI279,0)</f>
        <v>0</v>
      </c>
      <c r="AH279" s="367">
        <f>IF(AQ279="0",BJ279,0)</f>
        <v>0</v>
      </c>
      <c r="AI279" s="351" t="s">
        <v>7</v>
      </c>
      <c r="AJ279" s="367">
        <f>IF(AN279=0,K279,0)</f>
        <v>0</v>
      </c>
      <c r="AK279" s="367">
        <f>IF(AN279=15,K279,0)</f>
        <v>0</v>
      </c>
      <c r="AL279" s="367">
        <f>IF(AN279=21,K279,0)</f>
        <v>0</v>
      </c>
      <c r="AM279" s="311"/>
      <c r="AN279" s="367">
        <v>21</v>
      </c>
      <c r="AO279" s="367">
        <f>H279*0.950260869565217</f>
        <v>0</v>
      </c>
      <c r="AP279" s="367">
        <f>H279*(1-0.950260869565217)</f>
        <v>0</v>
      </c>
      <c r="AQ279" s="369" t="s">
        <v>2</v>
      </c>
      <c r="AR279" s="311"/>
      <c r="AS279" s="311"/>
      <c r="AT279" s="311"/>
      <c r="AU279" s="311"/>
      <c r="AV279" s="367">
        <f>AW279+AX279</f>
        <v>0</v>
      </c>
      <c r="AW279" s="367">
        <f>G279*AO279</f>
        <v>0</v>
      </c>
      <c r="AX279" s="367">
        <f>G279*AP279</f>
        <v>0</v>
      </c>
      <c r="AY279" s="369" t="s">
        <v>157</v>
      </c>
      <c r="AZ279" s="369" t="s">
        <v>33</v>
      </c>
      <c r="BA279" s="351" t="s">
        <v>3</v>
      </c>
      <c r="BB279" s="311"/>
      <c r="BC279" s="367">
        <f>AW279+AX279</f>
        <v>0</v>
      </c>
      <c r="BD279" s="367">
        <f>H279/(100-BE279)*100</f>
        <v>0</v>
      </c>
      <c r="BE279" s="367">
        <v>0</v>
      </c>
      <c r="BF279" s="367">
        <f>M279</f>
        <v>0.1164</v>
      </c>
      <c r="BG279" s="311"/>
      <c r="BH279" s="367">
        <f>G279*AO279</f>
        <v>0</v>
      </c>
      <c r="BI279" s="367">
        <f>G279*AP279</f>
        <v>0</v>
      </c>
      <c r="BJ279" s="367">
        <f>G279*H279</f>
        <v>0</v>
      </c>
      <c r="BK279" s="367"/>
      <c r="BL279" s="367">
        <v>94</v>
      </c>
      <c r="BM279" s="311"/>
      <c r="BN279" s="311"/>
      <c r="BO279" s="311"/>
      <c r="BP279" s="311"/>
      <c r="BQ279" s="311"/>
      <c r="BR279" s="311"/>
      <c r="BS279" s="311"/>
      <c r="BT279" s="311"/>
      <c r="BU279" s="311"/>
    </row>
    <row r="280" spans="1:73" ht="15" customHeight="1">
      <c r="A280" s="370"/>
      <c r="B280" s="311"/>
      <c r="C280" s="311"/>
      <c r="D280" s="371" t="s">
        <v>161</v>
      </c>
      <c r="E280" s="372"/>
      <c r="F280" s="311"/>
      <c r="G280" s="373">
        <v>120.00000000000001</v>
      </c>
      <c r="H280" s="327"/>
      <c r="I280" s="311"/>
      <c r="J280" s="311"/>
      <c r="K280" s="311"/>
      <c r="L280" s="311"/>
      <c r="M280" s="311"/>
      <c r="N280" s="374"/>
      <c r="O280" s="346"/>
      <c r="P280" s="346"/>
      <c r="Q280" s="346"/>
      <c r="R280" s="346"/>
      <c r="S280" s="346"/>
      <c r="T280" s="346"/>
      <c r="U280" s="346"/>
      <c r="V280" s="346"/>
      <c r="W280" s="346"/>
      <c r="X280" s="346"/>
      <c r="Y280" s="311"/>
      <c r="Z280" s="311"/>
      <c r="AA280" s="311"/>
      <c r="AB280" s="311"/>
      <c r="AC280" s="311"/>
      <c r="AD280" s="311"/>
      <c r="AE280" s="311"/>
      <c r="AF280" s="311"/>
      <c r="AG280" s="311"/>
      <c r="AH280" s="311"/>
      <c r="AI280" s="311"/>
      <c r="AJ280" s="311"/>
      <c r="AK280" s="311"/>
      <c r="AL280" s="311"/>
      <c r="AM280" s="311"/>
      <c r="AN280" s="311"/>
      <c r="AO280" s="311"/>
      <c r="AP280" s="311"/>
      <c r="AQ280" s="311"/>
      <c r="AR280" s="311"/>
      <c r="AS280" s="311"/>
      <c r="AT280" s="311"/>
      <c r="AU280" s="311"/>
      <c r="AV280" s="311"/>
      <c r="AW280" s="311"/>
      <c r="AX280" s="311"/>
      <c r="AY280" s="311"/>
      <c r="AZ280" s="311"/>
      <c r="BA280" s="311"/>
      <c r="BB280" s="311"/>
      <c r="BC280" s="311"/>
      <c r="BD280" s="311"/>
      <c r="BE280" s="311"/>
      <c r="BF280" s="311"/>
      <c r="BG280" s="311"/>
      <c r="BH280" s="311"/>
      <c r="BI280" s="311"/>
      <c r="BJ280" s="311"/>
      <c r="BK280" s="311"/>
      <c r="BL280" s="311"/>
      <c r="BM280" s="311"/>
      <c r="BN280" s="311"/>
      <c r="BO280" s="311"/>
      <c r="BP280" s="311"/>
      <c r="BQ280" s="311"/>
      <c r="BR280" s="311"/>
      <c r="BS280" s="311"/>
      <c r="BT280" s="311"/>
      <c r="BU280" s="311"/>
    </row>
    <row r="281" spans="1:73" ht="15" customHeight="1">
      <c r="A281" s="365" t="s">
        <v>160</v>
      </c>
      <c r="B281" s="366" t="s">
        <v>7</v>
      </c>
      <c r="C281" s="366" t="s">
        <v>159</v>
      </c>
      <c r="D281" s="304" t="s">
        <v>158</v>
      </c>
      <c r="E281" s="304"/>
      <c r="F281" s="366" t="s">
        <v>89</v>
      </c>
      <c r="G281" s="367">
        <f>'[2]Stavební rozpočet'!G256</f>
        <v>40</v>
      </c>
      <c r="H281" s="328">
        <v>0</v>
      </c>
      <c r="I281" s="367">
        <f>G281*AO281</f>
        <v>0</v>
      </c>
      <c r="J281" s="367">
        <f>G281*AP281</f>
        <v>0</v>
      </c>
      <c r="K281" s="367">
        <f>G281*H281</f>
        <v>0</v>
      </c>
      <c r="L281" s="367">
        <f>'[2]Stavební rozpočet'!L256</f>
        <v>0</v>
      </c>
      <c r="M281" s="367">
        <f>G281*L281</f>
        <v>0</v>
      </c>
      <c r="N281" s="368" t="s">
        <v>36</v>
      </c>
      <c r="O281" s="346"/>
      <c r="P281" s="346"/>
      <c r="Q281" s="346"/>
      <c r="R281" s="346"/>
      <c r="S281" s="346"/>
      <c r="T281" s="346"/>
      <c r="U281" s="346"/>
      <c r="V281" s="346"/>
      <c r="W281" s="346"/>
      <c r="X281" s="346"/>
      <c r="Y281" s="311"/>
      <c r="Z281" s="367">
        <f>IF(AQ281="5",BJ281,0)</f>
        <v>0</v>
      </c>
      <c r="AA281" s="311"/>
      <c r="AB281" s="367">
        <f>IF(AQ281="1",BH281,0)</f>
        <v>0</v>
      </c>
      <c r="AC281" s="367">
        <f>IF(AQ281="1",BI281,0)</f>
        <v>0</v>
      </c>
      <c r="AD281" s="367">
        <f>IF(AQ281="7",BH281,0)</f>
        <v>0</v>
      </c>
      <c r="AE281" s="367">
        <f>IF(AQ281="7",BI281,0)</f>
        <v>0</v>
      </c>
      <c r="AF281" s="367">
        <f>IF(AQ281="2",BH281,0)</f>
        <v>0</v>
      </c>
      <c r="AG281" s="367">
        <f>IF(AQ281="2",BI281,0)</f>
        <v>0</v>
      </c>
      <c r="AH281" s="367">
        <f>IF(AQ281="0",BJ281,0)</f>
        <v>0</v>
      </c>
      <c r="AI281" s="351" t="s">
        <v>7</v>
      </c>
      <c r="AJ281" s="367">
        <f>IF(AN281=0,K281,0)</f>
        <v>0</v>
      </c>
      <c r="AK281" s="367">
        <f>IF(AN281=15,K281,0)</f>
        <v>0</v>
      </c>
      <c r="AL281" s="367">
        <f>IF(AN281=21,K281,0)</f>
        <v>0</v>
      </c>
      <c r="AM281" s="311"/>
      <c r="AN281" s="367">
        <v>21</v>
      </c>
      <c r="AO281" s="367">
        <f>H281*0</f>
        <v>0</v>
      </c>
      <c r="AP281" s="367">
        <f>H281*(1-0)</f>
        <v>0</v>
      </c>
      <c r="AQ281" s="369" t="s">
        <v>2</v>
      </c>
      <c r="AR281" s="311"/>
      <c r="AS281" s="311"/>
      <c r="AT281" s="311"/>
      <c r="AU281" s="311"/>
      <c r="AV281" s="367">
        <f>AW281+AX281</f>
        <v>0</v>
      </c>
      <c r="AW281" s="367">
        <f>G281*AO281</f>
        <v>0</v>
      </c>
      <c r="AX281" s="367">
        <f>G281*AP281</f>
        <v>0</v>
      </c>
      <c r="AY281" s="369" t="s">
        <v>157</v>
      </c>
      <c r="AZ281" s="369" t="s">
        <v>33</v>
      </c>
      <c r="BA281" s="351" t="s">
        <v>3</v>
      </c>
      <c r="BB281" s="311"/>
      <c r="BC281" s="367">
        <f>AW281+AX281</f>
        <v>0</v>
      </c>
      <c r="BD281" s="367">
        <f>H281/(100-BE281)*100</f>
        <v>0</v>
      </c>
      <c r="BE281" s="367">
        <v>0</v>
      </c>
      <c r="BF281" s="367">
        <f>M281</f>
        <v>0</v>
      </c>
      <c r="BG281" s="311"/>
      <c r="BH281" s="367">
        <f>G281*AO281</f>
        <v>0</v>
      </c>
      <c r="BI281" s="367">
        <f>G281*AP281</f>
        <v>0</v>
      </c>
      <c r="BJ281" s="367">
        <f>G281*H281</f>
        <v>0</v>
      </c>
      <c r="BK281" s="367"/>
      <c r="BL281" s="367">
        <v>94</v>
      </c>
      <c r="BM281" s="311"/>
      <c r="BN281" s="311"/>
      <c r="BO281" s="311"/>
      <c r="BP281" s="311"/>
      <c r="BQ281" s="311"/>
      <c r="BR281" s="311"/>
      <c r="BS281" s="311"/>
      <c r="BT281" s="311"/>
      <c r="BU281" s="311"/>
    </row>
    <row r="282" spans="1:73" ht="15" customHeight="1">
      <c r="A282" s="370"/>
      <c r="B282" s="311"/>
      <c r="C282" s="311"/>
      <c r="D282" s="371" t="s">
        <v>156</v>
      </c>
      <c r="E282" s="372"/>
      <c r="F282" s="311"/>
      <c r="G282" s="373">
        <v>40</v>
      </c>
      <c r="H282" s="327"/>
      <c r="I282" s="311"/>
      <c r="J282" s="311"/>
      <c r="K282" s="311"/>
      <c r="L282" s="311"/>
      <c r="M282" s="311"/>
      <c r="N282" s="374"/>
      <c r="O282" s="346"/>
      <c r="P282" s="346"/>
      <c r="Q282" s="346"/>
      <c r="R282" s="346"/>
      <c r="S282" s="346"/>
      <c r="T282" s="346"/>
      <c r="U282" s="346"/>
      <c r="V282" s="346"/>
      <c r="W282" s="346"/>
      <c r="X282" s="346"/>
      <c r="Y282" s="311"/>
      <c r="Z282" s="311"/>
      <c r="AA282" s="311"/>
      <c r="AB282" s="311"/>
      <c r="AC282" s="311"/>
      <c r="AD282" s="311"/>
      <c r="AE282" s="311"/>
      <c r="AF282" s="311"/>
      <c r="AG282" s="311"/>
      <c r="AH282" s="311"/>
      <c r="AI282" s="311"/>
      <c r="AJ282" s="311"/>
      <c r="AK282" s="311"/>
      <c r="AL282" s="311"/>
      <c r="AM282" s="311"/>
      <c r="AN282" s="311"/>
      <c r="AO282" s="311"/>
      <c r="AP282" s="311"/>
      <c r="AQ282" s="311"/>
      <c r="AR282" s="311"/>
      <c r="AS282" s="311"/>
      <c r="AT282" s="311"/>
      <c r="AU282" s="311"/>
      <c r="AV282" s="311"/>
      <c r="AW282" s="311"/>
      <c r="AX282" s="311"/>
      <c r="AY282" s="311"/>
      <c r="AZ282" s="311"/>
      <c r="BA282" s="311"/>
      <c r="BB282" s="311"/>
      <c r="BC282" s="311"/>
      <c r="BD282" s="311"/>
      <c r="BE282" s="311"/>
      <c r="BF282" s="311"/>
      <c r="BG282" s="311"/>
      <c r="BH282" s="311"/>
      <c r="BI282" s="311"/>
      <c r="BJ282" s="311"/>
      <c r="BK282" s="311"/>
      <c r="BL282" s="311"/>
      <c r="BM282" s="311"/>
      <c r="BN282" s="311"/>
      <c r="BO282" s="311"/>
      <c r="BP282" s="311"/>
      <c r="BQ282" s="311"/>
      <c r="BR282" s="311"/>
      <c r="BS282" s="311"/>
      <c r="BT282" s="311"/>
      <c r="BU282" s="311"/>
    </row>
    <row r="283" spans="1:73" ht="15" customHeight="1">
      <c r="A283" s="360"/>
      <c r="B283" s="361" t="s">
        <v>7</v>
      </c>
      <c r="C283" s="361" t="s">
        <v>92</v>
      </c>
      <c r="D283" s="362" t="s">
        <v>155</v>
      </c>
      <c r="E283" s="362"/>
      <c r="F283" s="363" t="s">
        <v>12</v>
      </c>
      <c r="G283" s="363" t="s">
        <v>12</v>
      </c>
      <c r="H283" s="363" t="s">
        <v>12</v>
      </c>
      <c r="I283" s="347">
        <f>SUM(I284:I289)</f>
        <v>0</v>
      </c>
      <c r="J283" s="347">
        <f>SUM(J284:J289)</f>
        <v>0</v>
      </c>
      <c r="K283" s="347">
        <f>SUM(K284:K289)</f>
        <v>0</v>
      </c>
      <c r="L283" s="351"/>
      <c r="M283" s="347">
        <f>SUM(M284:M289)</f>
        <v>0.042</v>
      </c>
      <c r="N283" s="364"/>
      <c r="O283" s="346"/>
      <c r="P283" s="346"/>
      <c r="Q283" s="346"/>
      <c r="R283" s="346"/>
      <c r="S283" s="346"/>
      <c r="T283" s="346"/>
      <c r="U283" s="346"/>
      <c r="V283" s="346"/>
      <c r="W283" s="346"/>
      <c r="X283" s="346"/>
      <c r="Y283" s="311"/>
      <c r="Z283" s="311"/>
      <c r="AA283" s="311"/>
      <c r="AB283" s="311"/>
      <c r="AC283" s="311"/>
      <c r="AD283" s="311"/>
      <c r="AE283" s="311"/>
      <c r="AF283" s="311"/>
      <c r="AG283" s="311"/>
      <c r="AH283" s="311"/>
      <c r="AI283" s="351" t="s">
        <v>7</v>
      </c>
      <c r="AJ283" s="311"/>
      <c r="AK283" s="311"/>
      <c r="AL283" s="311"/>
      <c r="AM283" s="311"/>
      <c r="AN283" s="311"/>
      <c r="AO283" s="311"/>
      <c r="AP283" s="311"/>
      <c r="AQ283" s="311"/>
      <c r="AR283" s="311"/>
      <c r="AS283" s="347">
        <f>SUM(AJ284:AJ289)</f>
        <v>0</v>
      </c>
      <c r="AT283" s="347">
        <f>SUM(AK284:AK289)</f>
        <v>0</v>
      </c>
      <c r="AU283" s="347">
        <f>SUM(AL284:AL289)</f>
        <v>0</v>
      </c>
      <c r="AV283" s="311"/>
      <c r="AW283" s="311"/>
      <c r="AX283" s="311"/>
      <c r="AY283" s="311"/>
      <c r="AZ283" s="311"/>
      <c r="BA283" s="311"/>
      <c r="BB283" s="311"/>
      <c r="BC283" s="311"/>
      <c r="BD283" s="311"/>
      <c r="BE283" s="311"/>
      <c r="BF283" s="311"/>
      <c r="BG283" s="311"/>
      <c r="BH283" s="311"/>
      <c r="BI283" s="311"/>
      <c r="BJ283" s="311"/>
      <c r="BK283" s="311"/>
      <c r="BL283" s="311"/>
      <c r="BM283" s="311"/>
      <c r="BN283" s="311"/>
      <c r="BO283" s="311"/>
      <c r="BP283" s="311"/>
      <c r="BQ283" s="311"/>
      <c r="BR283" s="311"/>
      <c r="BS283" s="311"/>
      <c r="BT283" s="311"/>
      <c r="BU283" s="311"/>
    </row>
    <row r="284" spans="1:73" ht="15" customHeight="1">
      <c r="A284" s="365" t="s">
        <v>154</v>
      </c>
      <c r="B284" s="366" t="s">
        <v>7</v>
      </c>
      <c r="C284" s="366" t="s">
        <v>153</v>
      </c>
      <c r="D284" s="304" t="s">
        <v>152</v>
      </c>
      <c r="E284" s="304"/>
      <c r="F284" s="366" t="s">
        <v>143</v>
      </c>
      <c r="G284" s="367">
        <f>'[2]Stavební rozpočet'!G259</f>
        <v>2</v>
      </c>
      <c r="H284" s="328">
        <v>0</v>
      </c>
      <c r="I284" s="367">
        <f>G284*AO284</f>
        <v>0</v>
      </c>
      <c r="J284" s="367">
        <f>G284*AP284</f>
        <v>0</v>
      </c>
      <c r="K284" s="367">
        <f>G284*H284</f>
        <v>0</v>
      </c>
      <c r="L284" s="367">
        <f>'[2]Stavební rozpočet'!L259</f>
        <v>0.02</v>
      </c>
      <c r="M284" s="367">
        <f>G284*L284</f>
        <v>0.04</v>
      </c>
      <c r="N284" s="368"/>
      <c r="O284" s="346"/>
      <c r="P284" s="346"/>
      <c r="Q284" s="346"/>
      <c r="R284" s="346"/>
      <c r="S284" s="346"/>
      <c r="T284" s="346"/>
      <c r="U284" s="346"/>
      <c r="V284" s="346"/>
      <c r="W284" s="346"/>
      <c r="X284" s="346"/>
      <c r="Y284" s="311"/>
      <c r="Z284" s="367">
        <f>IF(AQ284="5",BJ284,0)</f>
        <v>0</v>
      </c>
      <c r="AA284" s="311"/>
      <c r="AB284" s="367">
        <f>IF(AQ284="1",BH284,0)</f>
        <v>0</v>
      </c>
      <c r="AC284" s="367">
        <f>IF(AQ284="1",BI284,0)</f>
        <v>0</v>
      </c>
      <c r="AD284" s="367">
        <f>IF(AQ284="7",BH284,0)</f>
        <v>0</v>
      </c>
      <c r="AE284" s="367">
        <f>IF(AQ284="7",BI284,0)</f>
        <v>0</v>
      </c>
      <c r="AF284" s="367">
        <f>IF(AQ284="2",BH284,0)</f>
        <v>0</v>
      </c>
      <c r="AG284" s="367">
        <f>IF(AQ284="2",BI284,0)</f>
        <v>0</v>
      </c>
      <c r="AH284" s="367">
        <f>IF(AQ284="0",BJ284,0)</f>
        <v>0</v>
      </c>
      <c r="AI284" s="351" t="s">
        <v>7</v>
      </c>
      <c r="AJ284" s="367">
        <f>IF(AN284=0,K284,0)</f>
        <v>0</v>
      </c>
      <c r="AK284" s="367">
        <f>IF(AN284=15,K284,0)</f>
        <v>0</v>
      </c>
      <c r="AL284" s="367">
        <f>IF(AN284=21,K284,0)</f>
        <v>0</v>
      </c>
      <c r="AM284" s="311"/>
      <c r="AN284" s="367">
        <v>21</v>
      </c>
      <c r="AO284" s="367">
        <f>H284*0</f>
        <v>0</v>
      </c>
      <c r="AP284" s="367">
        <f>H284*(1-0)</f>
        <v>0</v>
      </c>
      <c r="AQ284" s="369" t="s">
        <v>2</v>
      </c>
      <c r="AR284" s="311"/>
      <c r="AS284" s="311"/>
      <c r="AT284" s="311"/>
      <c r="AU284" s="311"/>
      <c r="AV284" s="367">
        <f>AW284+AX284</f>
        <v>0</v>
      </c>
      <c r="AW284" s="367">
        <f>G284*AO284</f>
        <v>0</v>
      </c>
      <c r="AX284" s="367">
        <f>G284*AP284</f>
        <v>0</v>
      </c>
      <c r="AY284" s="369" t="s">
        <v>142</v>
      </c>
      <c r="AZ284" s="369" t="s">
        <v>33</v>
      </c>
      <c r="BA284" s="351" t="s">
        <v>3</v>
      </c>
      <c r="BB284" s="311"/>
      <c r="BC284" s="367">
        <f>AW284+AX284</f>
        <v>0</v>
      </c>
      <c r="BD284" s="367">
        <f>H284/(100-BE284)*100</f>
        <v>0</v>
      </c>
      <c r="BE284" s="367">
        <v>0</v>
      </c>
      <c r="BF284" s="367">
        <f>M284</f>
        <v>0.04</v>
      </c>
      <c r="BG284" s="311"/>
      <c r="BH284" s="367">
        <f>G284*AO284</f>
        <v>0</v>
      </c>
      <c r="BI284" s="367">
        <f>G284*AP284</f>
        <v>0</v>
      </c>
      <c r="BJ284" s="367">
        <f>G284*H284</f>
        <v>0</v>
      </c>
      <c r="BK284" s="367"/>
      <c r="BL284" s="367">
        <v>95</v>
      </c>
      <c r="BM284" s="311"/>
      <c r="BN284" s="311"/>
      <c r="BO284" s="311"/>
      <c r="BP284" s="311"/>
      <c r="BQ284" s="311"/>
      <c r="BR284" s="311"/>
      <c r="BS284" s="311"/>
      <c r="BT284" s="311"/>
      <c r="BU284" s="311"/>
    </row>
    <row r="285" spans="1:73" ht="15" customHeight="1">
      <c r="A285" s="370"/>
      <c r="B285" s="311"/>
      <c r="C285" s="311"/>
      <c r="D285" s="371" t="s">
        <v>151</v>
      </c>
      <c r="E285" s="372"/>
      <c r="F285" s="311"/>
      <c r="G285" s="373">
        <v>2</v>
      </c>
      <c r="H285" s="327"/>
      <c r="I285" s="311"/>
      <c r="J285" s="311"/>
      <c r="K285" s="311"/>
      <c r="L285" s="311"/>
      <c r="M285" s="311"/>
      <c r="N285" s="374"/>
      <c r="O285" s="346"/>
      <c r="P285" s="346"/>
      <c r="Q285" s="346"/>
      <c r="R285" s="346"/>
      <c r="S285" s="346"/>
      <c r="T285" s="346"/>
      <c r="U285" s="346"/>
      <c r="V285" s="346"/>
      <c r="W285" s="346"/>
      <c r="X285" s="346"/>
      <c r="Y285" s="311"/>
      <c r="Z285" s="311"/>
      <c r="AA285" s="311"/>
      <c r="AB285" s="311"/>
      <c r="AC285" s="311"/>
      <c r="AD285" s="311"/>
      <c r="AE285" s="311"/>
      <c r="AF285" s="311"/>
      <c r="AG285" s="311"/>
      <c r="AH285" s="311"/>
      <c r="AI285" s="311"/>
      <c r="AJ285" s="311"/>
      <c r="AK285" s="311"/>
      <c r="AL285" s="311"/>
      <c r="AM285" s="311"/>
      <c r="AN285" s="311"/>
      <c r="AO285" s="311"/>
      <c r="AP285" s="311"/>
      <c r="AQ285" s="311"/>
      <c r="AR285" s="311"/>
      <c r="AS285" s="311"/>
      <c r="AT285" s="311"/>
      <c r="AU285" s="311"/>
      <c r="AV285" s="311"/>
      <c r="AW285" s="311"/>
      <c r="AX285" s="311"/>
      <c r="AY285" s="311"/>
      <c r="AZ285" s="311"/>
      <c r="BA285" s="311"/>
      <c r="BB285" s="311"/>
      <c r="BC285" s="311"/>
      <c r="BD285" s="311"/>
      <c r="BE285" s="311"/>
      <c r="BF285" s="311"/>
      <c r="BG285" s="311"/>
      <c r="BH285" s="311"/>
      <c r="BI285" s="311"/>
      <c r="BJ285" s="311"/>
      <c r="BK285" s="311"/>
      <c r="BL285" s="311"/>
      <c r="BM285" s="311"/>
      <c r="BN285" s="311"/>
      <c r="BO285" s="311"/>
      <c r="BP285" s="311"/>
      <c r="BQ285" s="311"/>
      <c r="BR285" s="311"/>
      <c r="BS285" s="311"/>
      <c r="BT285" s="311"/>
      <c r="BU285" s="311"/>
    </row>
    <row r="286" spans="1:73" ht="15" customHeight="1">
      <c r="A286" s="365" t="s">
        <v>150</v>
      </c>
      <c r="B286" s="366" t="s">
        <v>7</v>
      </c>
      <c r="C286" s="366" t="s">
        <v>149</v>
      </c>
      <c r="D286" s="304" t="s">
        <v>148</v>
      </c>
      <c r="E286" s="304"/>
      <c r="F286" s="366" t="s">
        <v>143</v>
      </c>
      <c r="G286" s="367">
        <f>'[2]Stavební rozpočet'!G261</f>
        <v>1</v>
      </c>
      <c r="H286" s="328">
        <v>0</v>
      </c>
      <c r="I286" s="367">
        <f>G286*AO286</f>
        <v>0</v>
      </c>
      <c r="J286" s="367">
        <f>G286*AP286</f>
        <v>0</v>
      </c>
      <c r="K286" s="367">
        <f>G286*H286</f>
        <v>0</v>
      </c>
      <c r="L286" s="367">
        <f>'[2]Stavební rozpočet'!L261</f>
        <v>0.002</v>
      </c>
      <c r="M286" s="367">
        <f>G286*L286</f>
        <v>0.002</v>
      </c>
      <c r="N286" s="368"/>
      <c r="O286" s="346"/>
      <c r="P286" s="346"/>
      <c r="Q286" s="346"/>
      <c r="R286" s="346"/>
      <c r="S286" s="346"/>
      <c r="T286" s="346"/>
      <c r="U286" s="346"/>
      <c r="V286" s="346"/>
      <c r="W286" s="346"/>
      <c r="X286" s="346"/>
      <c r="Y286" s="311"/>
      <c r="Z286" s="367">
        <f>IF(AQ286="5",BJ286,0)</f>
        <v>0</v>
      </c>
      <c r="AA286" s="311"/>
      <c r="AB286" s="367">
        <f>IF(AQ286="1",BH286,0)</f>
        <v>0</v>
      </c>
      <c r="AC286" s="367">
        <f>IF(AQ286="1",BI286,0)</f>
        <v>0</v>
      </c>
      <c r="AD286" s="367">
        <f>IF(AQ286="7",BH286,0)</f>
        <v>0</v>
      </c>
      <c r="AE286" s="367">
        <f>IF(AQ286="7",BI286,0)</f>
        <v>0</v>
      </c>
      <c r="AF286" s="367">
        <f>IF(AQ286="2",BH286,0)</f>
        <v>0</v>
      </c>
      <c r="AG286" s="367">
        <f>IF(AQ286="2",BI286,0)</f>
        <v>0</v>
      </c>
      <c r="AH286" s="367">
        <f>IF(AQ286="0",BJ286,0)</f>
        <v>0</v>
      </c>
      <c r="AI286" s="351" t="s">
        <v>7</v>
      </c>
      <c r="AJ286" s="367">
        <f>IF(AN286=0,K286,0)</f>
        <v>0</v>
      </c>
      <c r="AK286" s="367">
        <f>IF(AN286=15,K286,0)</f>
        <v>0</v>
      </c>
      <c r="AL286" s="367">
        <f>IF(AN286=21,K286,0)</f>
        <v>0</v>
      </c>
      <c r="AM286" s="311"/>
      <c r="AN286" s="367">
        <v>21</v>
      </c>
      <c r="AO286" s="367">
        <f>H286*0</f>
        <v>0</v>
      </c>
      <c r="AP286" s="367">
        <f>H286*(1-0)</f>
        <v>0</v>
      </c>
      <c r="AQ286" s="369" t="s">
        <v>2</v>
      </c>
      <c r="AR286" s="311"/>
      <c r="AS286" s="311"/>
      <c r="AT286" s="311"/>
      <c r="AU286" s="311"/>
      <c r="AV286" s="367">
        <f>AW286+AX286</f>
        <v>0</v>
      </c>
      <c r="AW286" s="367">
        <f>G286*AO286</f>
        <v>0</v>
      </c>
      <c r="AX286" s="367">
        <f>G286*AP286</f>
        <v>0</v>
      </c>
      <c r="AY286" s="369" t="s">
        <v>142</v>
      </c>
      <c r="AZ286" s="369" t="s">
        <v>33</v>
      </c>
      <c r="BA286" s="351" t="s">
        <v>3</v>
      </c>
      <c r="BB286" s="311"/>
      <c r="BC286" s="367">
        <f>AW286+AX286</f>
        <v>0</v>
      </c>
      <c r="BD286" s="367">
        <f>H286/(100-BE286)*100</f>
        <v>0</v>
      </c>
      <c r="BE286" s="367">
        <v>0</v>
      </c>
      <c r="BF286" s="367">
        <f>M286</f>
        <v>0.002</v>
      </c>
      <c r="BG286" s="311"/>
      <c r="BH286" s="367">
        <f>G286*AO286</f>
        <v>0</v>
      </c>
      <c r="BI286" s="367">
        <f>G286*AP286</f>
        <v>0</v>
      </c>
      <c r="BJ286" s="367">
        <f>G286*H286</f>
        <v>0</v>
      </c>
      <c r="BK286" s="367"/>
      <c r="BL286" s="367">
        <v>95</v>
      </c>
      <c r="BM286" s="311"/>
      <c r="BN286" s="311"/>
      <c r="BO286" s="311"/>
      <c r="BP286" s="311"/>
      <c r="BQ286" s="311"/>
      <c r="BR286" s="311"/>
      <c r="BS286" s="311"/>
      <c r="BT286" s="311"/>
      <c r="BU286" s="311"/>
    </row>
    <row r="287" spans="1:73" ht="13.5" customHeight="1">
      <c r="A287" s="370"/>
      <c r="B287" s="311"/>
      <c r="C287" s="311"/>
      <c r="D287" s="375" t="s">
        <v>147</v>
      </c>
      <c r="E287" s="375"/>
      <c r="F287" s="375"/>
      <c r="G287" s="375"/>
      <c r="H287" s="375"/>
      <c r="I287" s="375"/>
      <c r="J287" s="375"/>
      <c r="K287" s="375"/>
      <c r="L287" s="375"/>
      <c r="M287" s="375"/>
      <c r="N287" s="375"/>
      <c r="O287" s="346"/>
      <c r="P287" s="346"/>
      <c r="Q287" s="346"/>
      <c r="R287" s="346"/>
      <c r="S287" s="346"/>
      <c r="T287" s="346"/>
      <c r="U287" s="346"/>
      <c r="V287" s="346"/>
      <c r="W287" s="346"/>
      <c r="X287" s="346"/>
      <c r="Y287" s="311"/>
      <c r="Z287" s="311"/>
      <c r="AA287" s="311"/>
      <c r="AB287" s="311"/>
      <c r="AC287" s="311"/>
      <c r="AD287" s="311"/>
      <c r="AE287" s="311"/>
      <c r="AF287" s="311"/>
      <c r="AG287" s="311"/>
      <c r="AH287" s="311"/>
      <c r="AI287" s="311"/>
      <c r="AJ287" s="311"/>
      <c r="AK287" s="311"/>
      <c r="AL287" s="311"/>
      <c r="AM287" s="311"/>
      <c r="AN287" s="311"/>
      <c r="AO287" s="311"/>
      <c r="AP287" s="311"/>
      <c r="AQ287" s="311"/>
      <c r="AR287" s="311"/>
      <c r="AS287" s="311"/>
      <c r="AT287" s="311"/>
      <c r="AU287" s="311"/>
      <c r="AV287" s="311"/>
      <c r="AW287" s="311"/>
      <c r="AX287" s="311"/>
      <c r="AY287" s="311"/>
      <c r="AZ287" s="311"/>
      <c r="BA287" s="311"/>
      <c r="BB287" s="311"/>
      <c r="BC287" s="311"/>
      <c r="BD287" s="311"/>
      <c r="BE287" s="311"/>
      <c r="BF287" s="311"/>
      <c r="BG287" s="311"/>
      <c r="BH287" s="311"/>
      <c r="BI287" s="311"/>
      <c r="BJ287" s="311"/>
      <c r="BK287" s="311"/>
      <c r="BL287" s="311"/>
      <c r="BM287" s="311"/>
      <c r="BN287" s="311"/>
      <c r="BO287" s="311"/>
      <c r="BP287" s="311"/>
      <c r="BQ287" s="311"/>
      <c r="BR287" s="311"/>
      <c r="BS287" s="311"/>
      <c r="BT287" s="311"/>
      <c r="BU287" s="311"/>
    </row>
    <row r="288" spans="1:73" ht="15" customHeight="1">
      <c r="A288" s="370"/>
      <c r="B288" s="311"/>
      <c r="C288" s="311"/>
      <c r="D288" s="371" t="s">
        <v>2</v>
      </c>
      <c r="E288" s="372"/>
      <c r="F288" s="311"/>
      <c r="G288" s="373">
        <v>1</v>
      </c>
      <c r="H288" s="311"/>
      <c r="I288" s="311"/>
      <c r="J288" s="311"/>
      <c r="K288" s="311"/>
      <c r="L288" s="311"/>
      <c r="M288" s="311"/>
      <c r="N288" s="374"/>
      <c r="O288" s="346"/>
      <c r="P288" s="346"/>
      <c r="Q288" s="346"/>
      <c r="R288" s="346"/>
      <c r="S288" s="346"/>
      <c r="T288" s="346"/>
      <c r="U288" s="346"/>
      <c r="V288" s="346"/>
      <c r="W288" s="346"/>
      <c r="X288" s="346"/>
      <c r="Y288" s="311"/>
      <c r="Z288" s="311"/>
      <c r="AA288" s="311"/>
      <c r="AB288" s="311"/>
      <c r="AC288" s="311"/>
      <c r="AD288" s="311"/>
      <c r="AE288" s="311"/>
      <c r="AF288" s="311"/>
      <c r="AG288" s="311"/>
      <c r="AH288" s="311"/>
      <c r="AI288" s="311"/>
      <c r="AJ288" s="311"/>
      <c r="AK288" s="311"/>
      <c r="AL288" s="311"/>
      <c r="AM288" s="311"/>
      <c r="AN288" s="311"/>
      <c r="AO288" s="311"/>
      <c r="AP288" s="311"/>
      <c r="AQ288" s="311"/>
      <c r="AR288" s="311"/>
      <c r="AS288" s="311"/>
      <c r="AT288" s="311"/>
      <c r="AU288" s="311"/>
      <c r="AV288" s="311"/>
      <c r="AW288" s="311"/>
      <c r="AX288" s="311"/>
      <c r="AY288" s="311"/>
      <c r="AZ288" s="311"/>
      <c r="BA288" s="311"/>
      <c r="BB288" s="311"/>
      <c r="BC288" s="311"/>
      <c r="BD288" s="311"/>
      <c r="BE288" s="311"/>
      <c r="BF288" s="311"/>
      <c r="BG288" s="311"/>
      <c r="BH288" s="311"/>
      <c r="BI288" s="311"/>
      <c r="BJ288" s="311"/>
      <c r="BK288" s="311"/>
      <c r="BL288" s="311"/>
      <c r="BM288" s="311"/>
      <c r="BN288" s="311"/>
      <c r="BO288" s="311"/>
      <c r="BP288" s="311"/>
      <c r="BQ288" s="311"/>
      <c r="BR288" s="311"/>
      <c r="BS288" s="311"/>
      <c r="BT288" s="311"/>
      <c r="BU288" s="311"/>
    </row>
    <row r="289" spans="1:73" ht="15" customHeight="1">
      <c r="A289" s="365" t="s">
        <v>146</v>
      </c>
      <c r="B289" s="366" t="s">
        <v>7</v>
      </c>
      <c r="C289" s="366" t="s">
        <v>145</v>
      </c>
      <c r="D289" s="304" t="s">
        <v>144</v>
      </c>
      <c r="E289" s="304"/>
      <c r="F289" s="366" t="s">
        <v>143</v>
      </c>
      <c r="G289" s="367">
        <f>'[2]Stavební rozpočet'!G263</f>
        <v>1</v>
      </c>
      <c r="H289" s="328">
        <v>0</v>
      </c>
      <c r="I289" s="367">
        <f>G289*AO289</f>
        <v>0</v>
      </c>
      <c r="J289" s="367">
        <f>G289*AP289</f>
        <v>0</v>
      </c>
      <c r="K289" s="367">
        <f>G289*H289</f>
        <v>0</v>
      </c>
      <c r="L289" s="367">
        <f>'[2]Stavební rozpočet'!L263</f>
        <v>0</v>
      </c>
      <c r="M289" s="367">
        <f>G289*L289</f>
        <v>0</v>
      </c>
      <c r="N289" s="368"/>
      <c r="O289" s="346"/>
      <c r="P289" s="346"/>
      <c r="Q289" s="346"/>
      <c r="R289" s="346"/>
      <c r="S289" s="346"/>
      <c r="T289" s="346"/>
      <c r="U289" s="346"/>
      <c r="V289" s="346"/>
      <c r="W289" s="346"/>
      <c r="X289" s="346"/>
      <c r="Y289" s="311"/>
      <c r="Z289" s="367">
        <f>IF(AQ289="5",BJ289,0)</f>
        <v>0</v>
      </c>
      <c r="AA289" s="311"/>
      <c r="AB289" s="367">
        <f>IF(AQ289="1",BH289,0)</f>
        <v>0</v>
      </c>
      <c r="AC289" s="367">
        <f>IF(AQ289="1",BI289,0)</f>
        <v>0</v>
      </c>
      <c r="AD289" s="367">
        <f>IF(AQ289="7",BH289,0)</f>
        <v>0</v>
      </c>
      <c r="AE289" s="367">
        <f>IF(AQ289="7",BI289,0)</f>
        <v>0</v>
      </c>
      <c r="AF289" s="367">
        <f>IF(AQ289="2",BH289,0)</f>
        <v>0</v>
      </c>
      <c r="AG289" s="367">
        <f>IF(AQ289="2",BI289,0)</f>
        <v>0</v>
      </c>
      <c r="AH289" s="367">
        <f>IF(AQ289="0",BJ289,0)</f>
        <v>0</v>
      </c>
      <c r="AI289" s="351" t="s">
        <v>7</v>
      </c>
      <c r="AJ289" s="367">
        <f>IF(AN289=0,K289,0)</f>
        <v>0</v>
      </c>
      <c r="AK289" s="367">
        <f>IF(AN289=15,K289,0)</f>
        <v>0</v>
      </c>
      <c r="AL289" s="367">
        <f>IF(AN289=21,K289,0)</f>
        <v>0</v>
      </c>
      <c r="AM289" s="311"/>
      <c r="AN289" s="367">
        <v>21</v>
      </c>
      <c r="AO289" s="367">
        <f>H289*0</f>
        <v>0</v>
      </c>
      <c r="AP289" s="367">
        <f>H289*(1-0)</f>
        <v>0</v>
      </c>
      <c r="AQ289" s="369" t="s">
        <v>2</v>
      </c>
      <c r="AR289" s="311"/>
      <c r="AS289" s="311"/>
      <c r="AT289" s="311"/>
      <c r="AU289" s="311"/>
      <c r="AV289" s="367">
        <f>AW289+AX289</f>
        <v>0</v>
      </c>
      <c r="AW289" s="367">
        <f>G289*AO289</f>
        <v>0</v>
      </c>
      <c r="AX289" s="367">
        <f>G289*AP289</f>
        <v>0</v>
      </c>
      <c r="AY289" s="369" t="s">
        <v>142</v>
      </c>
      <c r="AZ289" s="369" t="s">
        <v>33</v>
      </c>
      <c r="BA289" s="351" t="s">
        <v>3</v>
      </c>
      <c r="BB289" s="311"/>
      <c r="BC289" s="367">
        <f>AW289+AX289</f>
        <v>0</v>
      </c>
      <c r="BD289" s="367">
        <f>H289/(100-BE289)*100</f>
        <v>0</v>
      </c>
      <c r="BE289" s="367">
        <v>0</v>
      </c>
      <c r="BF289" s="367">
        <f>M289</f>
        <v>0</v>
      </c>
      <c r="BG289" s="311"/>
      <c r="BH289" s="367">
        <f>G289*AO289</f>
        <v>0</v>
      </c>
      <c r="BI289" s="367">
        <f>G289*AP289</f>
        <v>0</v>
      </c>
      <c r="BJ289" s="367">
        <f>G289*H289</f>
        <v>0</v>
      </c>
      <c r="BK289" s="367"/>
      <c r="BL289" s="367">
        <v>95</v>
      </c>
      <c r="BM289" s="311"/>
      <c r="BN289" s="311"/>
      <c r="BO289" s="311"/>
      <c r="BP289" s="311"/>
      <c r="BQ289" s="311"/>
      <c r="BR289" s="311"/>
      <c r="BS289" s="311"/>
      <c r="BT289" s="311"/>
      <c r="BU289" s="311"/>
    </row>
    <row r="290" spans="1:73" ht="13.5" customHeight="1">
      <c r="A290" s="370"/>
      <c r="B290" s="311"/>
      <c r="C290" s="311"/>
      <c r="D290" s="375" t="s">
        <v>141</v>
      </c>
      <c r="E290" s="375"/>
      <c r="F290" s="375"/>
      <c r="G290" s="375"/>
      <c r="H290" s="375"/>
      <c r="I290" s="375"/>
      <c r="J290" s="375"/>
      <c r="K290" s="375"/>
      <c r="L290" s="375"/>
      <c r="M290" s="375"/>
      <c r="N290" s="375"/>
      <c r="O290" s="346"/>
      <c r="P290" s="346"/>
      <c r="Q290" s="346"/>
      <c r="R290" s="346"/>
      <c r="S290" s="346"/>
      <c r="T290" s="346"/>
      <c r="U290" s="346"/>
      <c r="V290" s="346"/>
      <c r="W290" s="346"/>
      <c r="X290" s="346"/>
      <c r="Y290" s="311"/>
      <c r="Z290" s="311"/>
      <c r="AA290" s="311"/>
      <c r="AB290" s="311"/>
      <c r="AC290" s="311"/>
      <c r="AD290" s="311"/>
      <c r="AE290" s="311"/>
      <c r="AF290" s="311"/>
      <c r="AG290" s="311"/>
      <c r="AH290" s="311"/>
      <c r="AI290" s="311"/>
      <c r="AJ290" s="311"/>
      <c r="AK290" s="311"/>
      <c r="AL290" s="311"/>
      <c r="AM290" s="311"/>
      <c r="AN290" s="311"/>
      <c r="AO290" s="311"/>
      <c r="AP290" s="311"/>
      <c r="AQ290" s="311"/>
      <c r="AR290" s="311"/>
      <c r="AS290" s="311"/>
      <c r="AT290" s="311"/>
      <c r="AU290" s="311"/>
      <c r="AV290" s="311"/>
      <c r="AW290" s="311"/>
      <c r="AX290" s="311"/>
      <c r="AY290" s="311"/>
      <c r="AZ290" s="311"/>
      <c r="BA290" s="311"/>
      <c r="BB290" s="311"/>
      <c r="BC290" s="311"/>
      <c r="BD290" s="311"/>
      <c r="BE290" s="311"/>
      <c r="BF290" s="311"/>
      <c r="BG290" s="311"/>
      <c r="BH290" s="311"/>
      <c r="BI290" s="311"/>
      <c r="BJ290" s="311"/>
      <c r="BK290" s="311"/>
      <c r="BL290" s="311"/>
      <c r="BM290" s="311"/>
      <c r="BN290" s="311"/>
      <c r="BO290" s="311"/>
      <c r="BP290" s="311"/>
      <c r="BQ290" s="311"/>
      <c r="BR290" s="311"/>
      <c r="BS290" s="311"/>
      <c r="BT290" s="311"/>
      <c r="BU290" s="311"/>
    </row>
    <row r="291" spans="1:73" ht="15" customHeight="1">
      <c r="A291" s="370"/>
      <c r="B291" s="311"/>
      <c r="C291" s="311"/>
      <c r="D291" s="371" t="s">
        <v>2</v>
      </c>
      <c r="E291" s="372"/>
      <c r="F291" s="311"/>
      <c r="G291" s="373">
        <v>1</v>
      </c>
      <c r="H291" s="311"/>
      <c r="I291" s="311"/>
      <c r="J291" s="311"/>
      <c r="K291" s="311"/>
      <c r="L291" s="311"/>
      <c r="M291" s="311"/>
      <c r="N291" s="374"/>
      <c r="O291" s="346"/>
      <c r="P291" s="346"/>
      <c r="Q291" s="346"/>
      <c r="R291" s="346"/>
      <c r="S291" s="346"/>
      <c r="T291" s="346"/>
      <c r="U291" s="346"/>
      <c r="V291" s="346"/>
      <c r="W291" s="346"/>
      <c r="X291" s="346"/>
      <c r="Y291" s="311"/>
      <c r="Z291" s="311"/>
      <c r="AA291" s="311"/>
      <c r="AB291" s="311"/>
      <c r="AC291" s="311"/>
      <c r="AD291" s="311"/>
      <c r="AE291" s="311"/>
      <c r="AF291" s="311"/>
      <c r="AG291" s="311"/>
      <c r="AH291" s="311"/>
      <c r="AI291" s="311"/>
      <c r="AJ291" s="311"/>
      <c r="AK291" s="311"/>
      <c r="AL291" s="311"/>
      <c r="AM291" s="311"/>
      <c r="AN291" s="311"/>
      <c r="AO291" s="311"/>
      <c r="AP291" s="311"/>
      <c r="AQ291" s="311"/>
      <c r="AR291" s="311"/>
      <c r="AS291" s="311"/>
      <c r="AT291" s="311"/>
      <c r="AU291" s="311"/>
      <c r="AV291" s="311"/>
      <c r="AW291" s="311"/>
      <c r="AX291" s="311"/>
      <c r="AY291" s="311"/>
      <c r="AZ291" s="311"/>
      <c r="BA291" s="311"/>
      <c r="BB291" s="311"/>
      <c r="BC291" s="311"/>
      <c r="BD291" s="311"/>
      <c r="BE291" s="311"/>
      <c r="BF291" s="311"/>
      <c r="BG291" s="311"/>
      <c r="BH291" s="311"/>
      <c r="BI291" s="311"/>
      <c r="BJ291" s="311"/>
      <c r="BK291" s="311"/>
      <c r="BL291" s="311"/>
      <c r="BM291" s="311"/>
      <c r="BN291" s="311"/>
      <c r="BO291" s="311"/>
      <c r="BP291" s="311"/>
      <c r="BQ291" s="311"/>
      <c r="BR291" s="311"/>
      <c r="BS291" s="311"/>
      <c r="BT291" s="311"/>
      <c r="BU291" s="311"/>
    </row>
    <row r="292" spans="1:73" ht="15" customHeight="1">
      <c r="A292" s="360"/>
      <c r="B292" s="361" t="s">
        <v>7</v>
      </c>
      <c r="C292" s="361" t="s">
        <v>87</v>
      </c>
      <c r="D292" s="362" t="s">
        <v>140</v>
      </c>
      <c r="E292" s="362"/>
      <c r="F292" s="363" t="s">
        <v>12</v>
      </c>
      <c r="G292" s="363" t="s">
        <v>12</v>
      </c>
      <c r="H292" s="363" t="s">
        <v>12</v>
      </c>
      <c r="I292" s="347">
        <f>SUM(I293:I310)</f>
        <v>0</v>
      </c>
      <c r="J292" s="347">
        <f>SUM(J293:J310)</f>
        <v>0</v>
      </c>
      <c r="K292" s="347">
        <f>SUM(K293:K310)</f>
        <v>0</v>
      </c>
      <c r="L292" s="351"/>
      <c r="M292" s="347">
        <f>SUM(M293:M310)</f>
        <v>22.31185005</v>
      </c>
      <c r="N292" s="364"/>
      <c r="O292" s="346"/>
      <c r="P292" s="346"/>
      <c r="Q292" s="346"/>
      <c r="R292" s="346"/>
      <c r="S292" s="346"/>
      <c r="T292" s="346"/>
      <c r="U292" s="346"/>
      <c r="V292" s="346"/>
      <c r="W292" s="346"/>
      <c r="X292" s="346"/>
      <c r="Y292" s="311"/>
      <c r="Z292" s="311"/>
      <c r="AA292" s="311"/>
      <c r="AB292" s="311"/>
      <c r="AC292" s="311"/>
      <c r="AD292" s="311"/>
      <c r="AE292" s="311"/>
      <c r="AF292" s="311"/>
      <c r="AG292" s="311"/>
      <c r="AH292" s="311"/>
      <c r="AI292" s="351" t="s">
        <v>7</v>
      </c>
      <c r="AJ292" s="311"/>
      <c r="AK292" s="311"/>
      <c r="AL292" s="311"/>
      <c r="AM292" s="311"/>
      <c r="AN292" s="311"/>
      <c r="AO292" s="311"/>
      <c r="AP292" s="311"/>
      <c r="AQ292" s="311"/>
      <c r="AR292" s="311"/>
      <c r="AS292" s="347">
        <f>SUM(AJ293:AJ310)</f>
        <v>0</v>
      </c>
      <c r="AT292" s="347">
        <f>SUM(AK293:AK310)</f>
        <v>0</v>
      </c>
      <c r="AU292" s="347">
        <f>SUM(AL293:AL310)</f>
        <v>0</v>
      </c>
      <c r="AV292" s="311"/>
      <c r="AW292" s="311"/>
      <c r="AX292" s="311"/>
      <c r="AY292" s="311"/>
      <c r="AZ292" s="311"/>
      <c r="BA292" s="311"/>
      <c r="BB292" s="311"/>
      <c r="BC292" s="311"/>
      <c r="BD292" s="311"/>
      <c r="BE292" s="311"/>
      <c r="BF292" s="311"/>
      <c r="BG292" s="311"/>
      <c r="BH292" s="311"/>
      <c r="BI292" s="311"/>
      <c r="BJ292" s="311"/>
      <c r="BK292" s="311"/>
      <c r="BL292" s="311"/>
      <c r="BM292" s="311"/>
      <c r="BN292" s="311"/>
      <c r="BO292" s="311"/>
      <c r="BP292" s="311"/>
      <c r="BQ292" s="311"/>
      <c r="BR292" s="311"/>
      <c r="BS292" s="311"/>
      <c r="BT292" s="311"/>
      <c r="BU292" s="311"/>
    </row>
    <row r="293" spans="1:73" ht="15" customHeight="1">
      <c r="A293" s="365" t="s">
        <v>139</v>
      </c>
      <c r="B293" s="366" t="s">
        <v>7</v>
      </c>
      <c r="C293" s="366" t="s">
        <v>138</v>
      </c>
      <c r="D293" s="304" t="s">
        <v>137</v>
      </c>
      <c r="E293" s="304"/>
      <c r="F293" s="366" t="s">
        <v>73</v>
      </c>
      <c r="G293" s="367">
        <f>'[2]Stavební rozpočet'!G266</f>
        <v>165</v>
      </c>
      <c r="H293" s="328">
        <v>0</v>
      </c>
      <c r="I293" s="367">
        <f>G293*AO293</f>
        <v>0</v>
      </c>
      <c r="J293" s="367">
        <f>G293*AP293</f>
        <v>0</v>
      </c>
      <c r="K293" s="367">
        <f>G293*H293</f>
        <v>0</v>
      </c>
      <c r="L293" s="367">
        <f>'[2]Stavební rozpočet'!L266</f>
        <v>0.005</v>
      </c>
      <c r="M293" s="367">
        <f>G293*L293</f>
        <v>0.8250000000000001</v>
      </c>
      <c r="N293" s="368" t="s">
        <v>36</v>
      </c>
      <c r="O293" s="346"/>
      <c r="P293" s="346"/>
      <c r="Q293" s="346"/>
      <c r="R293" s="346"/>
      <c r="S293" s="346"/>
      <c r="T293" s="346"/>
      <c r="U293" s="346"/>
      <c r="V293" s="346"/>
      <c r="W293" s="346"/>
      <c r="X293" s="346"/>
      <c r="Y293" s="311"/>
      <c r="Z293" s="367">
        <f>IF(AQ293="5",BJ293,0)</f>
        <v>0</v>
      </c>
      <c r="AA293" s="311"/>
      <c r="AB293" s="367">
        <f>IF(AQ293="1",BH293,0)</f>
        <v>0</v>
      </c>
      <c r="AC293" s="367">
        <f>IF(AQ293="1",BI293,0)</f>
        <v>0</v>
      </c>
      <c r="AD293" s="367">
        <f>IF(AQ293="7",BH293,0)</f>
        <v>0</v>
      </c>
      <c r="AE293" s="367">
        <f>IF(AQ293="7",BI293,0)</f>
        <v>0</v>
      </c>
      <c r="AF293" s="367">
        <f>IF(AQ293="2",BH293,0)</f>
        <v>0</v>
      </c>
      <c r="AG293" s="367">
        <f>IF(AQ293="2",BI293,0)</f>
        <v>0</v>
      </c>
      <c r="AH293" s="367">
        <f>IF(AQ293="0",BJ293,0)</f>
        <v>0</v>
      </c>
      <c r="AI293" s="351" t="s">
        <v>7</v>
      </c>
      <c r="AJ293" s="367">
        <f>IF(AN293=0,K293,0)</f>
        <v>0</v>
      </c>
      <c r="AK293" s="367">
        <f>IF(AN293=15,K293,0)</f>
        <v>0</v>
      </c>
      <c r="AL293" s="367">
        <f>IF(AN293=21,K293,0)</f>
        <v>0</v>
      </c>
      <c r="AM293" s="311"/>
      <c r="AN293" s="367">
        <v>21</v>
      </c>
      <c r="AO293" s="367">
        <f>H293*0</f>
        <v>0</v>
      </c>
      <c r="AP293" s="367">
        <f>H293*(1-0)</f>
        <v>0</v>
      </c>
      <c r="AQ293" s="369" t="s">
        <v>2</v>
      </c>
      <c r="AR293" s="311"/>
      <c r="AS293" s="311"/>
      <c r="AT293" s="311"/>
      <c r="AU293" s="311"/>
      <c r="AV293" s="367">
        <f>AW293+AX293</f>
        <v>0</v>
      </c>
      <c r="AW293" s="367">
        <f>G293*AO293</f>
        <v>0</v>
      </c>
      <c r="AX293" s="367">
        <f>G293*AP293</f>
        <v>0</v>
      </c>
      <c r="AY293" s="369" t="s">
        <v>103</v>
      </c>
      <c r="AZ293" s="369" t="s">
        <v>33</v>
      </c>
      <c r="BA293" s="351" t="s">
        <v>3</v>
      </c>
      <c r="BB293" s="311"/>
      <c r="BC293" s="367">
        <f>AW293+AX293</f>
        <v>0</v>
      </c>
      <c r="BD293" s="367">
        <f>H293/(100-BE293)*100</f>
        <v>0</v>
      </c>
      <c r="BE293" s="367">
        <v>0</v>
      </c>
      <c r="BF293" s="367">
        <f>M293</f>
        <v>0.8250000000000001</v>
      </c>
      <c r="BG293" s="311"/>
      <c r="BH293" s="367">
        <f>G293*AO293</f>
        <v>0</v>
      </c>
      <c r="BI293" s="367">
        <f>G293*AP293</f>
        <v>0</v>
      </c>
      <c r="BJ293" s="367">
        <f>G293*H293</f>
        <v>0</v>
      </c>
      <c r="BK293" s="367"/>
      <c r="BL293" s="367">
        <v>96</v>
      </c>
      <c r="BM293" s="311"/>
      <c r="BN293" s="311"/>
      <c r="BO293" s="311"/>
      <c r="BP293" s="311"/>
      <c r="BQ293" s="311"/>
      <c r="BR293" s="311"/>
      <c r="BS293" s="311"/>
      <c r="BT293" s="311"/>
      <c r="BU293" s="311"/>
    </row>
    <row r="294" spans="1:73" ht="15" customHeight="1">
      <c r="A294" s="370"/>
      <c r="B294" s="311"/>
      <c r="C294" s="311"/>
      <c r="D294" s="371" t="s">
        <v>136</v>
      </c>
      <c r="E294" s="372"/>
      <c r="F294" s="311"/>
      <c r="G294" s="373">
        <v>165</v>
      </c>
      <c r="H294" s="327"/>
      <c r="I294" s="311"/>
      <c r="J294" s="311"/>
      <c r="K294" s="311"/>
      <c r="L294" s="311"/>
      <c r="M294" s="311"/>
      <c r="N294" s="374"/>
      <c r="O294" s="346"/>
      <c r="P294" s="346"/>
      <c r="Q294" s="346"/>
      <c r="R294" s="346"/>
      <c r="S294" s="346"/>
      <c r="T294" s="346"/>
      <c r="U294" s="346"/>
      <c r="V294" s="346"/>
      <c r="W294" s="346"/>
      <c r="X294" s="346"/>
      <c r="Y294" s="311"/>
      <c r="Z294" s="311"/>
      <c r="AA294" s="311"/>
      <c r="AB294" s="311"/>
      <c r="AC294" s="311"/>
      <c r="AD294" s="311"/>
      <c r="AE294" s="311"/>
      <c r="AF294" s="311"/>
      <c r="AG294" s="311"/>
      <c r="AH294" s="311"/>
      <c r="AI294" s="311"/>
      <c r="AJ294" s="311"/>
      <c r="AK294" s="311"/>
      <c r="AL294" s="311"/>
      <c r="AM294" s="311"/>
      <c r="AN294" s="311"/>
      <c r="AO294" s="311"/>
      <c r="AP294" s="311"/>
      <c r="AQ294" s="311"/>
      <c r="AR294" s="311"/>
      <c r="AS294" s="311"/>
      <c r="AT294" s="311"/>
      <c r="AU294" s="311"/>
      <c r="AV294" s="311"/>
      <c r="AW294" s="311"/>
      <c r="AX294" s="311"/>
      <c r="AY294" s="311"/>
      <c r="AZ294" s="311"/>
      <c r="BA294" s="311"/>
      <c r="BB294" s="311"/>
      <c r="BC294" s="311"/>
      <c r="BD294" s="311"/>
      <c r="BE294" s="311"/>
      <c r="BF294" s="311"/>
      <c r="BG294" s="311"/>
      <c r="BH294" s="311"/>
      <c r="BI294" s="311"/>
      <c r="BJ294" s="311"/>
      <c r="BK294" s="311"/>
      <c r="BL294" s="311"/>
      <c r="BM294" s="311"/>
      <c r="BN294" s="311"/>
      <c r="BO294" s="311"/>
      <c r="BP294" s="311"/>
      <c r="BQ294" s="311"/>
      <c r="BR294" s="311"/>
      <c r="BS294" s="311"/>
      <c r="BT294" s="311"/>
      <c r="BU294" s="311"/>
    </row>
    <row r="295" spans="1:73" ht="15" customHeight="1">
      <c r="A295" s="365" t="s">
        <v>135</v>
      </c>
      <c r="B295" s="366" t="s">
        <v>7</v>
      </c>
      <c r="C295" s="366" t="s">
        <v>134</v>
      </c>
      <c r="D295" s="304" t="s">
        <v>133</v>
      </c>
      <c r="E295" s="304"/>
      <c r="F295" s="366" t="s">
        <v>79</v>
      </c>
      <c r="G295" s="367">
        <f>'[2]Stavební rozpočet'!G268</f>
        <v>8.766</v>
      </c>
      <c r="H295" s="328">
        <v>0</v>
      </c>
      <c r="I295" s="367">
        <f>G295*AO295</f>
        <v>0</v>
      </c>
      <c r="J295" s="367">
        <f>G295*AP295</f>
        <v>0</v>
      </c>
      <c r="K295" s="367">
        <f>G295*H295</f>
        <v>0</v>
      </c>
      <c r="L295" s="367">
        <f>'[2]Stavební rozpočet'!L268</f>
        <v>1.4</v>
      </c>
      <c r="M295" s="367">
        <f>G295*L295</f>
        <v>12.2724</v>
      </c>
      <c r="N295" s="368" t="s">
        <v>36</v>
      </c>
      <c r="O295" s="346"/>
      <c r="P295" s="346"/>
      <c r="Q295" s="346"/>
      <c r="R295" s="346"/>
      <c r="S295" s="346"/>
      <c r="T295" s="346"/>
      <c r="U295" s="346"/>
      <c r="V295" s="346"/>
      <c r="W295" s="346"/>
      <c r="X295" s="346"/>
      <c r="Y295" s="311"/>
      <c r="Z295" s="367">
        <f>IF(AQ295="5",BJ295,0)</f>
        <v>0</v>
      </c>
      <c r="AA295" s="311"/>
      <c r="AB295" s="367">
        <f>IF(AQ295="1",BH295,0)</f>
        <v>0</v>
      </c>
      <c r="AC295" s="367">
        <f>IF(AQ295="1",BI295,0)</f>
        <v>0</v>
      </c>
      <c r="AD295" s="367">
        <f>IF(AQ295="7",BH295,0)</f>
        <v>0</v>
      </c>
      <c r="AE295" s="367">
        <f>IF(AQ295="7",BI295,0)</f>
        <v>0</v>
      </c>
      <c r="AF295" s="367">
        <f>IF(AQ295="2",BH295,0)</f>
        <v>0</v>
      </c>
      <c r="AG295" s="367">
        <f>IF(AQ295="2",BI295,0)</f>
        <v>0</v>
      </c>
      <c r="AH295" s="367">
        <f>IF(AQ295="0",BJ295,0)</f>
        <v>0</v>
      </c>
      <c r="AI295" s="351" t="s">
        <v>7</v>
      </c>
      <c r="AJ295" s="367">
        <f>IF(AN295=0,K295,0)</f>
        <v>0</v>
      </c>
      <c r="AK295" s="367">
        <f>IF(AN295=15,K295,0)</f>
        <v>0</v>
      </c>
      <c r="AL295" s="367">
        <f>IF(AN295=21,K295,0)</f>
        <v>0</v>
      </c>
      <c r="AM295" s="311"/>
      <c r="AN295" s="367">
        <v>21</v>
      </c>
      <c r="AO295" s="367">
        <f>H295*0</f>
        <v>0</v>
      </c>
      <c r="AP295" s="367">
        <f>H295*(1-0)</f>
        <v>0</v>
      </c>
      <c r="AQ295" s="369" t="s">
        <v>2</v>
      </c>
      <c r="AR295" s="311"/>
      <c r="AS295" s="311"/>
      <c r="AT295" s="311"/>
      <c r="AU295" s="311"/>
      <c r="AV295" s="367">
        <f>AW295+AX295</f>
        <v>0</v>
      </c>
      <c r="AW295" s="367">
        <f>G295*AO295</f>
        <v>0</v>
      </c>
      <c r="AX295" s="367">
        <f>G295*AP295</f>
        <v>0</v>
      </c>
      <c r="AY295" s="369" t="s">
        <v>103</v>
      </c>
      <c r="AZ295" s="369" t="s">
        <v>33</v>
      </c>
      <c r="BA295" s="351" t="s">
        <v>3</v>
      </c>
      <c r="BB295" s="311"/>
      <c r="BC295" s="367">
        <f>AW295+AX295</f>
        <v>0</v>
      </c>
      <c r="BD295" s="367">
        <f>H295/(100-BE295)*100</f>
        <v>0</v>
      </c>
      <c r="BE295" s="367">
        <v>0</v>
      </c>
      <c r="BF295" s="367">
        <f>M295</f>
        <v>12.2724</v>
      </c>
      <c r="BG295" s="311"/>
      <c r="BH295" s="367">
        <f>G295*AO295</f>
        <v>0</v>
      </c>
      <c r="BI295" s="367">
        <f>G295*AP295</f>
        <v>0</v>
      </c>
      <c r="BJ295" s="367">
        <f>G295*H295</f>
        <v>0</v>
      </c>
      <c r="BK295" s="367"/>
      <c r="BL295" s="367">
        <v>96</v>
      </c>
      <c r="BM295" s="311"/>
      <c r="BN295" s="311"/>
      <c r="BO295" s="311"/>
      <c r="BP295" s="311"/>
      <c r="BQ295" s="311"/>
      <c r="BR295" s="311"/>
      <c r="BS295" s="311"/>
      <c r="BT295" s="311"/>
      <c r="BU295" s="311"/>
    </row>
    <row r="296" spans="1:73" ht="15" customHeight="1">
      <c r="A296" s="370"/>
      <c r="B296" s="311"/>
      <c r="C296" s="311"/>
      <c r="D296" s="371" t="s">
        <v>132</v>
      </c>
      <c r="E296" s="372"/>
      <c r="F296" s="311"/>
      <c r="G296" s="373">
        <v>8.766</v>
      </c>
      <c r="H296" s="327"/>
      <c r="I296" s="311"/>
      <c r="J296" s="311"/>
      <c r="K296" s="311"/>
      <c r="L296" s="311"/>
      <c r="M296" s="311"/>
      <c r="N296" s="374"/>
      <c r="O296" s="346"/>
      <c r="P296" s="346"/>
      <c r="Q296" s="346"/>
      <c r="R296" s="346"/>
      <c r="S296" s="346"/>
      <c r="T296" s="346"/>
      <c r="U296" s="346"/>
      <c r="V296" s="346"/>
      <c r="W296" s="346"/>
      <c r="X296" s="346"/>
      <c r="Y296" s="311"/>
      <c r="Z296" s="311"/>
      <c r="AA296" s="311"/>
      <c r="AB296" s="311"/>
      <c r="AC296" s="311"/>
      <c r="AD296" s="311"/>
      <c r="AE296" s="311"/>
      <c r="AF296" s="311"/>
      <c r="AG296" s="311"/>
      <c r="AH296" s="311"/>
      <c r="AI296" s="311"/>
      <c r="AJ296" s="311"/>
      <c r="AK296" s="311"/>
      <c r="AL296" s="311"/>
      <c r="AM296" s="311"/>
      <c r="AN296" s="311"/>
      <c r="AO296" s="311"/>
      <c r="AP296" s="311"/>
      <c r="AQ296" s="311"/>
      <c r="AR296" s="311"/>
      <c r="AS296" s="311"/>
      <c r="AT296" s="311"/>
      <c r="AU296" s="311"/>
      <c r="AV296" s="311"/>
      <c r="AW296" s="311"/>
      <c r="AX296" s="311"/>
      <c r="AY296" s="311"/>
      <c r="AZ296" s="311"/>
      <c r="BA296" s="311"/>
      <c r="BB296" s="311"/>
      <c r="BC296" s="311"/>
      <c r="BD296" s="311"/>
      <c r="BE296" s="311"/>
      <c r="BF296" s="311"/>
      <c r="BG296" s="311"/>
      <c r="BH296" s="311"/>
      <c r="BI296" s="311"/>
      <c r="BJ296" s="311"/>
      <c r="BK296" s="311"/>
      <c r="BL296" s="311"/>
      <c r="BM296" s="311"/>
      <c r="BN296" s="311"/>
      <c r="BO296" s="311"/>
      <c r="BP296" s="311"/>
      <c r="BQ296" s="311"/>
      <c r="BR296" s="311"/>
      <c r="BS296" s="311"/>
      <c r="BT296" s="311"/>
      <c r="BU296" s="311"/>
    </row>
    <row r="297" spans="1:73" ht="15" customHeight="1">
      <c r="A297" s="365" t="s">
        <v>131</v>
      </c>
      <c r="B297" s="366" t="s">
        <v>7</v>
      </c>
      <c r="C297" s="366" t="s">
        <v>130</v>
      </c>
      <c r="D297" s="304" t="s">
        <v>129</v>
      </c>
      <c r="E297" s="304"/>
      <c r="F297" s="366" t="s">
        <v>73</v>
      </c>
      <c r="G297" s="367">
        <f>'[2]Stavební rozpočet'!G270</f>
        <v>2</v>
      </c>
      <c r="H297" s="328">
        <v>0</v>
      </c>
      <c r="I297" s="367">
        <f>G297*AO297</f>
        <v>0</v>
      </c>
      <c r="J297" s="367">
        <f>G297*AP297</f>
        <v>0</v>
      </c>
      <c r="K297" s="367">
        <f>G297*H297</f>
        <v>0</v>
      </c>
      <c r="L297" s="367">
        <f>'[2]Stavební rozpočet'!L270</f>
        <v>0</v>
      </c>
      <c r="M297" s="367">
        <f>G297*L297</f>
        <v>0</v>
      </c>
      <c r="N297" s="368" t="s">
        <v>36</v>
      </c>
      <c r="O297" s="346"/>
      <c r="P297" s="346"/>
      <c r="Q297" s="346"/>
      <c r="R297" s="346"/>
      <c r="S297" s="346"/>
      <c r="T297" s="346"/>
      <c r="U297" s="346"/>
      <c r="V297" s="346"/>
      <c r="W297" s="346"/>
      <c r="X297" s="346"/>
      <c r="Y297" s="311"/>
      <c r="Z297" s="367">
        <f>IF(AQ297="5",BJ297,0)</f>
        <v>0</v>
      </c>
      <c r="AA297" s="311"/>
      <c r="AB297" s="367">
        <f>IF(AQ297="1",BH297,0)</f>
        <v>0</v>
      </c>
      <c r="AC297" s="367">
        <f>IF(AQ297="1",BI297,0)</f>
        <v>0</v>
      </c>
      <c r="AD297" s="367">
        <f>IF(AQ297="7",BH297,0)</f>
        <v>0</v>
      </c>
      <c r="AE297" s="367">
        <f>IF(AQ297="7",BI297,0)</f>
        <v>0</v>
      </c>
      <c r="AF297" s="367">
        <f>IF(AQ297="2",BH297,0)</f>
        <v>0</v>
      </c>
      <c r="AG297" s="367">
        <f>IF(AQ297="2",BI297,0)</f>
        <v>0</v>
      </c>
      <c r="AH297" s="367">
        <f>IF(AQ297="0",BJ297,0)</f>
        <v>0</v>
      </c>
      <c r="AI297" s="351" t="s">
        <v>7</v>
      </c>
      <c r="AJ297" s="367">
        <f>IF(AN297=0,K297,0)</f>
        <v>0</v>
      </c>
      <c r="AK297" s="367">
        <f>IF(AN297=15,K297,0)</f>
        <v>0</v>
      </c>
      <c r="AL297" s="367">
        <f>IF(AN297=21,K297,0)</f>
        <v>0</v>
      </c>
      <c r="AM297" s="311"/>
      <c r="AN297" s="367">
        <v>21</v>
      </c>
      <c r="AO297" s="367">
        <f>H297*0</f>
        <v>0</v>
      </c>
      <c r="AP297" s="367">
        <f>H297*(1-0)</f>
        <v>0</v>
      </c>
      <c r="AQ297" s="369" t="s">
        <v>2</v>
      </c>
      <c r="AR297" s="311"/>
      <c r="AS297" s="311"/>
      <c r="AT297" s="311"/>
      <c r="AU297" s="311"/>
      <c r="AV297" s="367">
        <f>AW297+AX297</f>
        <v>0</v>
      </c>
      <c r="AW297" s="367">
        <f>G297*AO297</f>
        <v>0</v>
      </c>
      <c r="AX297" s="367">
        <f>G297*AP297</f>
        <v>0</v>
      </c>
      <c r="AY297" s="369" t="s">
        <v>103</v>
      </c>
      <c r="AZ297" s="369" t="s">
        <v>33</v>
      </c>
      <c r="BA297" s="351" t="s">
        <v>3</v>
      </c>
      <c r="BB297" s="311"/>
      <c r="BC297" s="367">
        <f>AW297+AX297</f>
        <v>0</v>
      </c>
      <c r="BD297" s="367">
        <f>H297/(100-BE297)*100</f>
        <v>0</v>
      </c>
      <c r="BE297" s="367">
        <v>0</v>
      </c>
      <c r="BF297" s="367">
        <f>M297</f>
        <v>0</v>
      </c>
      <c r="BG297" s="311"/>
      <c r="BH297" s="367">
        <f>G297*AO297</f>
        <v>0</v>
      </c>
      <c r="BI297" s="367">
        <f>G297*AP297</f>
        <v>0</v>
      </c>
      <c r="BJ297" s="367">
        <f>G297*H297</f>
        <v>0</v>
      </c>
      <c r="BK297" s="367"/>
      <c r="BL297" s="367">
        <v>96</v>
      </c>
      <c r="BM297" s="311"/>
      <c r="BN297" s="311"/>
      <c r="BO297" s="311"/>
      <c r="BP297" s="311"/>
      <c r="BQ297" s="311"/>
      <c r="BR297" s="311"/>
      <c r="BS297" s="311"/>
      <c r="BT297" s="311"/>
      <c r="BU297" s="311"/>
    </row>
    <row r="298" spans="1:73" ht="15" customHeight="1">
      <c r="A298" s="370"/>
      <c r="B298" s="311"/>
      <c r="C298" s="311"/>
      <c r="D298" s="371" t="s">
        <v>128</v>
      </c>
      <c r="E298" s="372"/>
      <c r="F298" s="311"/>
      <c r="G298" s="373">
        <v>2</v>
      </c>
      <c r="H298" s="327"/>
      <c r="I298" s="311"/>
      <c r="J298" s="311"/>
      <c r="K298" s="311"/>
      <c r="L298" s="311"/>
      <c r="M298" s="311"/>
      <c r="N298" s="374"/>
      <c r="O298" s="346"/>
      <c r="P298" s="346"/>
      <c r="Q298" s="346"/>
      <c r="R298" s="346"/>
      <c r="S298" s="346"/>
      <c r="T298" s="346"/>
      <c r="U298" s="346"/>
      <c r="V298" s="346"/>
      <c r="W298" s="346"/>
      <c r="X298" s="346"/>
      <c r="Y298" s="311"/>
      <c r="Z298" s="311"/>
      <c r="AA298" s="311"/>
      <c r="AB298" s="311"/>
      <c r="AC298" s="311"/>
      <c r="AD298" s="311"/>
      <c r="AE298" s="311"/>
      <c r="AF298" s="311"/>
      <c r="AG298" s="311"/>
      <c r="AH298" s="311"/>
      <c r="AI298" s="311"/>
      <c r="AJ298" s="311"/>
      <c r="AK298" s="311"/>
      <c r="AL298" s="311"/>
      <c r="AM298" s="311"/>
      <c r="AN298" s="311"/>
      <c r="AO298" s="311"/>
      <c r="AP298" s="311"/>
      <c r="AQ298" s="311"/>
      <c r="AR298" s="311"/>
      <c r="AS298" s="311"/>
      <c r="AT298" s="311"/>
      <c r="AU298" s="311"/>
      <c r="AV298" s="311"/>
      <c r="AW298" s="311"/>
      <c r="AX298" s="311"/>
      <c r="AY298" s="311"/>
      <c r="AZ298" s="311"/>
      <c r="BA298" s="311"/>
      <c r="BB298" s="311"/>
      <c r="BC298" s="311"/>
      <c r="BD298" s="311"/>
      <c r="BE298" s="311"/>
      <c r="BF298" s="311"/>
      <c r="BG298" s="311"/>
      <c r="BH298" s="311"/>
      <c r="BI298" s="311"/>
      <c r="BJ298" s="311"/>
      <c r="BK298" s="311"/>
      <c r="BL298" s="311"/>
      <c r="BM298" s="311"/>
      <c r="BN298" s="311"/>
      <c r="BO298" s="311"/>
      <c r="BP298" s="311"/>
      <c r="BQ298" s="311"/>
      <c r="BR298" s="311"/>
      <c r="BS298" s="311"/>
      <c r="BT298" s="311"/>
      <c r="BU298" s="311"/>
    </row>
    <row r="299" spans="1:73" ht="15" customHeight="1">
      <c r="A299" s="365" t="s">
        <v>127</v>
      </c>
      <c r="B299" s="366" t="s">
        <v>7</v>
      </c>
      <c r="C299" s="366" t="s">
        <v>126</v>
      </c>
      <c r="D299" s="304" t="s">
        <v>125</v>
      </c>
      <c r="E299" s="304"/>
      <c r="F299" s="366" t="s">
        <v>89</v>
      </c>
      <c r="G299" s="367">
        <f>'[2]Stavební rozpočet'!G272</f>
        <v>2.1525</v>
      </c>
      <c r="H299" s="328">
        <v>0</v>
      </c>
      <c r="I299" s="367">
        <f>G299*AO299</f>
        <v>0</v>
      </c>
      <c r="J299" s="367">
        <f>G299*AP299</f>
        <v>0</v>
      </c>
      <c r="K299" s="367">
        <f>G299*H299</f>
        <v>0</v>
      </c>
      <c r="L299" s="367">
        <f>'[2]Stavební rozpočet'!L272</f>
        <v>0.08917</v>
      </c>
      <c r="M299" s="367">
        <f>G299*L299</f>
        <v>0.191938425</v>
      </c>
      <c r="N299" s="368" t="s">
        <v>36</v>
      </c>
      <c r="O299" s="346"/>
      <c r="P299" s="346"/>
      <c r="Q299" s="346"/>
      <c r="R299" s="346"/>
      <c r="S299" s="346"/>
      <c r="T299" s="346"/>
      <c r="U299" s="346"/>
      <c r="V299" s="346"/>
      <c r="W299" s="346"/>
      <c r="X299" s="346"/>
      <c r="Y299" s="311"/>
      <c r="Z299" s="367">
        <f>IF(AQ299="5",BJ299,0)</f>
        <v>0</v>
      </c>
      <c r="AA299" s="311"/>
      <c r="AB299" s="367">
        <f>IF(AQ299="1",BH299,0)</f>
        <v>0</v>
      </c>
      <c r="AC299" s="367">
        <f>IF(AQ299="1",BI299,0)</f>
        <v>0</v>
      </c>
      <c r="AD299" s="367">
        <f>IF(AQ299="7",BH299,0)</f>
        <v>0</v>
      </c>
      <c r="AE299" s="367">
        <f>IF(AQ299="7",BI299,0)</f>
        <v>0</v>
      </c>
      <c r="AF299" s="367">
        <f>IF(AQ299="2",BH299,0)</f>
        <v>0</v>
      </c>
      <c r="AG299" s="367">
        <f>IF(AQ299="2",BI299,0)</f>
        <v>0</v>
      </c>
      <c r="AH299" s="367">
        <f>IF(AQ299="0",BJ299,0)</f>
        <v>0</v>
      </c>
      <c r="AI299" s="351" t="s">
        <v>7</v>
      </c>
      <c r="AJ299" s="367">
        <f>IF(AN299=0,K299,0)</f>
        <v>0</v>
      </c>
      <c r="AK299" s="367">
        <f>IF(AN299=15,K299,0)</f>
        <v>0</v>
      </c>
      <c r="AL299" s="367">
        <f>IF(AN299=21,K299,0)</f>
        <v>0</v>
      </c>
      <c r="AM299" s="311"/>
      <c r="AN299" s="367">
        <v>21</v>
      </c>
      <c r="AO299" s="367">
        <f>H299*0.122794829024187</f>
        <v>0</v>
      </c>
      <c r="AP299" s="367">
        <f>H299*(1-0.122794829024187)</f>
        <v>0</v>
      </c>
      <c r="AQ299" s="369" t="s">
        <v>2</v>
      </c>
      <c r="AR299" s="311"/>
      <c r="AS299" s="311"/>
      <c r="AT299" s="311"/>
      <c r="AU299" s="311"/>
      <c r="AV299" s="367">
        <f>AW299+AX299</f>
        <v>0</v>
      </c>
      <c r="AW299" s="367">
        <f>G299*AO299</f>
        <v>0</v>
      </c>
      <c r="AX299" s="367">
        <f>G299*AP299</f>
        <v>0</v>
      </c>
      <c r="AY299" s="369" t="s">
        <v>103</v>
      </c>
      <c r="AZ299" s="369" t="s">
        <v>33</v>
      </c>
      <c r="BA299" s="351" t="s">
        <v>3</v>
      </c>
      <c r="BB299" s="311"/>
      <c r="BC299" s="367">
        <f>AW299+AX299</f>
        <v>0</v>
      </c>
      <c r="BD299" s="367">
        <f>H299/(100-BE299)*100</f>
        <v>0</v>
      </c>
      <c r="BE299" s="367">
        <v>0</v>
      </c>
      <c r="BF299" s="367">
        <f>M299</f>
        <v>0.191938425</v>
      </c>
      <c r="BG299" s="311"/>
      <c r="BH299" s="367">
        <f>G299*AO299</f>
        <v>0</v>
      </c>
      <c r="BI299" s="367">
        <f>G299*AP299</f>
        <v>0</v>
      </c>
      <c r="BJ299" s="367">
        <f>G299*H299</f>
        <v>0</v>
      </c>
      <c r="BK299" s="367"/>
      <c r="BL299" s="367">
        <v>96</v>
      </c>
      <c r="BM299" s="311"/>
      <c r="BN299" s="311"/>
      <c r="BO299" s="311"/>
      <c r="BP299" s="311"/>
      <c r="BQ299" s="311"/>
      <c r="BR299" s="311"/>
      <c r="BS299" s="311"/>
      <c r="BT299" s="311"/>
      <c r="BU299" s="311"/>
    </row>
    <row r="300" spans="1:73" ht="15" customHeight="1">
      <c r="A300" s="370"/>
      <c r="B300" s="311"/>
      <c r="C300" s="311"/>
      <c r="D300" s="371" t="s">
        <v>124</v>
      </c>
      <c r="E300" s="372"/>
      <c r="F300" s="311"/>
      <c r="G300" s="373">
        <v>2.1525000000000003</v>
      </c>
      <c r="H300" s="327"/>
      <c r="I300" s="311"/>
      <c r="J300" s="311"/>
      <c r="K300" s="311"/>
      <c r="L300" s="311"/>
      <c r="M300" s="311"/>
      <c r="N300" s="374"/>
      <c r="O300" s="346"/>
      <c r="P300" s="346"/>
      <c r="Q300" s="346"/>
      <c r="R300" s="346"/>
      <c r="S300" s="346"/>
      <c r="T300" s="346"/>
      <c r="U300" s="346"/>
      <c r="V300" s="346"/>
      <c r="W300" s="346"/>
      <c r="X300" s="346"/>
      <c r="Y300" s="311"/>
      <c r="Z300" s="311"/>
      <c r="AA300" s="311"/>
      <c r="AB300" s="311"/>
      <c r="AC300" s="311"/>
      <c r="AD300" s="311"/>
      <c r="AE300" s="311"/>
      <c r="AF300" s="311"/>
      <c r="AG300" s="311"/>
      <c r="AH300" s="311"/>
      <c r="AI300" s="311"/>
      <c r="AJ300" s="311"/>
      <c r="AK300" s="311"/>
      <c r="AL300" s="311"/>
      <c r="AM300" s="311"/>
      <c r="AN300" s="311"/>
      <c r="AO300" s="311"/>
      <c r="AP300" s="311"/>
      <c r="AQ300" s="311"/>
      <c r="AR300" s="311"/>
      <c r="AS300" s="311"/>
      <c r="AT300" s="311"/>
      <c r="AU300" s="311"/>
      <c r="AV300" s="311"/>
      <c r="AW300" s="311"/>
      <c r="AX300" s="311"/>
      <c r="AY300" s="311"/>
      <c r="AZ300" s="311"/>
      <c r="BA300" s="311"/>
      <c r="BB300" s="311"/>
      <c r="BC300" s="311"/>
      <c r="BD300" s="311"/>
      <c r="BE300" s="311"/>
      <c r="BF300" s="311"/>
      <c r="BG300" s="311"/>
      <c r="BH300" s="311"/>
      <c r="BI300" s="311"/>
      <c r="BJ300" s="311"/>
      <c r="BK300" s="311"/>
      <c r="BL300" s="311"/>
      <c r="BM300" s="311"/>
      <c r="BN300" s="311"/>
      <c r="BO300" s="311"/>
      <c r="BP300" s="311"/>
      <c r="BQ300" s="311"/>
      <c r="BR300" s="311"/>
      <c r="BS300" s="311"/>
      <c r="BT300" s="311"/>
      <c r="BU300" s="311"/>
    </row>
    <row r="301" spans="1:73" ht="15" customHeight="1">
      <c r="A301" s="365" t="s">
        <v>123</v>
      </c>
      <c r="B301" s="366" t="s">
        <v>7</v>
      </c>
      <c r="C301" s="366" t="s">
        <v>122</v>
      </c>
      <c r="D301" s="304" t="s">
        <v>121</v>
      </c>
      <c r="E301" s="304"/>
      <c r="F301" s="366" t="s">
        <v>89</v>
      </c>
      <c r="G301" s="367">
        <f>'[2]Stavební rozpočet'!G274</f>
        <v>1.0675</v>
      </c>
      <c r="H301" s="328">
        <v>0</v>
      </c>
      <c r="I301" s="367">
        <f>G301*AO301</f>
        <v>0</v>
      </c>
      <c r="J301" s="367">
        <f>G301*AP301</f>
        <v>0</v>
      </c>
      <c r="K301" s="367">
        <f>G301*H301</f>
        <v>0</v>
      </c>
      <c r="L301" s="367">
        <f>'[2]Stavební rozpočet'!L274</f>
        <v>0.31967</v>
      </c>
      <c r="M301" s="367">
        <f>G301*L301</f>
        <v>0.341247725</v>
      </c>
      <c r="N301" s="368" t="s">
        <v>36</v>
      </c>
      <c r="O301" s="346"/>
      <c r="P301" s="346"/>
      <c r="Q301" s="346"/>
      <c r="R301" s="346"/>
      <c r="S301" s="346"/>
      <c r="T301" s="346"/>
      <c r="U301" s="346"/>
      <c r="V301" s="346"/>
      <c r="W301" s="346"/>
      <c r="X301" s="346"/>
      <c r="Y301" s="311"/>
      <c r="Z301" s="367">
        <f>IF(AQ301="5",BJ301,0)</f>
        <v>0</v>
      </c>
      <c r="AA301" s="311"/>
      <c r="AB301" s="367">
        <f>IF(AQ301="1",BH301,0)</f>
        <v>0</v>
      </c>
      <c r="AC301" s="367">
        <f>IF(AQ301="1",BI301,0)</f>
        <v>0</v>
      </c>
      <c r="AD301" s="367">
        <f>IF(AQ301="7",BH301,0)</f>
        <v>0</v>
      </c>
      <c r="AE301" s="367">
        <f>IF(AQ301="7",BI301,0)</f>
        <v>0</v>
      </c>
      <c r="AF301" s="367">
        <f>IF(AQ301="2",BH301,0)</f>
        <v>0</v>
      </c>
      <c r="AG301" s="367">
        <f>IF(AQ301="2",BI301,0)</f>
        <v>0</v>
      </c>
      <c r="AH301" s="367">
        <f>IF(AQ301="0",BJ301,0)</f>
        <v>0</v>
      </c>
      <c r="AI301" s="351" t="s">
        <v>7</v>
      </c>
      <c r="AJ301" s="367">
        <f>IF(AN301=0,K301,0)</f>
        <v>0</v>
      </c>
      <c r="AK301" s="367">
        <f>IF(AN301=15,K301,0)</f>
        <v>0</v>
      </c>
      <c r="AL301" s="367">
        <f>IF(AN301=21,K301,0)</f>
        <v>0</v>
      </c>
      <c r="AM301" s="311"/>
      <c r="AN301" s="367">
        <v>21</v>
      </c>
      <c r="AO301" s="367">
        <f>H301*0.102634083044983</f>
        <v>0</v>
      </c>
      <c r="AP301" s="367">
        <f>H301*(1-0.102634083044983)</f>
        <v>0</v>
      </c>
      <c r="AQ301" s="369" t="s">
        <v>2</v>
      </c>
      <c r="AR301" s="311"/>
      <c r="AS301" s="311"/>
      <c r="AT301" s="311"/>
      <c r="AU301" s="311"/>
      <c r="AV301" s="367">
        <f>AW301+AX301</f>
        <v>0</v>
      </c>
      <c r="AW301" s="367">
        <f>G301*AO301</f>
        <v>0</v>
      </c>
      <c r="AX301" s="367">
        <f>G301*AP301</f>
        <v>0</v>
      </c>
      <c r="AY301" s="369" t="s">
        <v>103</v>
      </c>
      <c r="AZ301" s="369" t="s">
        <v>33</v>
      </c>
      <c r="BA301" s="351" t="s">
        <v>3</v>
      </c>
      <c r="BB301" s="311"/>
      <c r="BC301" s="367">
        <f>AW301+AX301</f>
        <v>0</v>
      </c>
      <c r="BD301" s="367">
        <f>H301/(100-BE301)*100</f>
        <v>0</v>
      </c>
      <c r="BE301" s="367">
        <v>0</v>
      </c>
      <c r="BF301" s="367">
        <f>M301</f>
        <v>0.341247725</v>
      </c>
      <c r="BG301" s="311"/>
      <c r="BH301" s="367">
        <f>G301*AO301</f>
        <v>0</v>
      </c>
      <c r="BI301" s="367">
        <f>G301*AP301</f>
        <v>0</v>
      </c>
      <c r="BJ301" s="367">
        <f>G301*H301</f>
        <v>0</v>
      </c>
      <c r="BK301" s="367"/>
      <c r="BL301" s="367">
        <v>96</v>
      </c>
      <c r="BM301" s="311"/>
      <c r="BN301" s="311"/>
      <c r="BO301" s="311"/>
      <c r="BP301" s="311"/>
      <c r="BQ301" s="311"/>
      <c r="BR301" s="311"/>
      <c r="BS301" s="311"/>
      <c r="BT301" s="311"/>
      <c r="BU301" s="311"/>
    </row>
    <row r="302" spans="1:73" ht="15" customHeight="1">
      <c r="A302" s="370"/>
      <c r="B302" s="311"/>
      <c r="C302" s="311"/>
      <c r="D302" s="371" t="s">
        <v>120</v>
      </c>
      <c r="E302" s="372"/>
      <c r="F302" s="311"/>
      <c r="G302" s="373">
        <v>1.0675000000000001</v>
      </c>
      <c r="H302" s="327"/>
      <c r="I302" s="311"/>
      <c r="J302" s="311"/>
      <c r="K302" s="311"/>
      <c r="L302" s="311"/>
      <c r="M302" s="311"/>
      <c r="N302" s="374"/>
      <c r="O302" s="346"/>
      <c r="P302" s="346"/>
      <c r="Q302" s="346"/>
      <c r="R302" s="346"/>
      <c r="S302" s="346"/>
      <c r="T302" s="346"/>
      <c r="U302" s="346"/>
      <c r="V302" s="346"/>
      <c r="W302" s="346"/>
      <c r="X302" s="346"/>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row>
    <row r="303" spans="1:73" ht="15" customHeight="1">
      <c r="A303" s="365" t="s">
        <v>119</v>
      </c>
      <c r="B303" s="366" t="s">
        <v>7</v>
      </c>
      <c r="C303" s="366" t="s">
        <v>118</v>
      </c>
      <c r="D303" s="304" t="s">
        <v>117</v>
      </c>
      <c r="E303" s="304"/>
      <c r="F303" s="366" t="s">
        <v>89</v>
      </c>
      <c r="G303" s="367">
        <f>'[2]Stavební rozpočet'!G276</f>
        <v>2.66</v>
      </c>
      <c r="H303" s="328">
        <v>0</v>
      </c>
      <c r="I303" s="367">
        <f>G303*AO303</f>
        <v>0</v>
      </c>
      <c r="J303" s="367">
        <f>G303*AP303</f>
        <v>0</v>
      </c>
      <c r="K303" s="367">
        <f>G303*H303</f>
        <v>0</v>
      </c>
      <c r="L303" s="367">
        <f>'[2]Stavební rozpočet'!L276</f>
        <v>0.038</v>
      </c>
      <c r="M303" s="367">
        <f>G303*L303</f>
        <v>0.10108</v>
      </c>
      <c r="N303" s="368" t="s">
        <v>36</v>
      </c>
      <c r="O303" s="346"/>
      <c r="P303" s="346"/>
      <c r="Q303" s="346"/>
      <c r="R303" s="346"/>
      <c r="S303" s="346"/>
      <c r="T303" s="346"/>
      <c r="U303" s="346"/>
      <c r="V303" s="346"/>
      <c r="W303" s="346"/>
      <c r="X303" s="346"/>
      <c r="Y303" s="311"/>
      <c r="Z303" s="367">
        <f>IF(AQ303="5",BJ303,0)</f>
        <v>0</v>
      </c>
      <c r="AA303" s="311"/>
      <c r="AB303" s="367">
        <f>IF(AQ303="1",BH303,0)</f>
        <v>0</v>
      </c>
      <c r="AC303" s="367">
        <f>IF(AQ303="1",BI303,0)</f>
        <v>0</v>
      </c>
      <c r="AD303" s="367">
        <f>IF(AQ303="7",BH303,0)</f>
        <v>0</v>
      </c>
      <c r="AE303" s="367">
        <f>IF(AQ303="7",BI303,0)</f>
        <v>0</v>
      </c>
      <c r="AF303" s="367">
        <f>IF(AQ303="2",BH303,0)</f>
        <v>0</v>
      </c>
      <c r="AG303" s="367">
        <f>IF(AQ303="2",BI303,0)</f>
        <v>0</v>
      </c>
      <c r="AH303" s="367">
        <f>IF(AQ303="0",BJ303,0)</f>
        <v>0</v>
      </c>
      <c r="AI303" s="351" t="s">
        <v>7</v>
      </c>
      <c r="AJ303" s="367">
        <f>IF(AN303=0,K303,0)</f>
        <v>0</v>
      </c>
      <c r="AK303" s="367">
        <f>IF(AN303=15,K303,0)</f>
        <v>0</v>
      </c>
      <c r="AL303" s="367">
        <f>IF(AN303=21,K303,0)</f>
        <v>0</v>
      </c>
      <c r="AM303" s="311"/>
      <c r="AN303" s="367">
        <v>21</v>
      </c>
      <c r="AO303" s="367">
        <f>H303*0</f>
        <v>0</v>
      </c>
      <c r="AP303" s="367">
        <f>H303*(1-0)</f>
        <v>0</v>
      </c>
      <c r="AQ303" s="369" t="s">
        <v>2</v>
      </c>
      <c r="AR303" s="311"/>
      <c r="AS303" s="311"/>
      <c r="AT303" s="311"/>
      <c r="AU303" s="311"/>
      <c r="AV303" s="367">
        <f>AW303+AX303</f>
        <v>0</v>
      </c>
      <c r="AW303" s="367">
        <f>G303*AO303</f>
        <v>0</v>
      </c>
      <c r="AX303" s="367">
        <f>G303*AP303</f>
        <v>0</v>
      </c>
      <c r="AY303" s="369" t="s">
        <v>103</v>
      </c>
      <c r="AZ303" s="369" t="s">
        <v>33</v>
      </c>
      <c r="BA303" s="351" t="s">
        <v>3</v>
      </c>
      <c r="BB303" s="311"/>
      <c r="BC303" s="367">
        <f>AW303+AX303</f>
        <v>0</v>
      </c>
      <c r="BD303" s="367">
        <f>H303/(100-BE303)*100</f>
        <v>0</v>
      </c>
      <c r="BE303" s="367">
        <v>0</v>
      </c>
      <c r="BF303" s="367">
        <f>M303</f>
        <v>0.10108</v>
      </c>
      <c r="BG303" s="311"/>
      <c r="BH303" s="367">
        <f>G303*AO303</f>
        <v>0</v>
      </c>
      <c r="BI303" s="367">
        <f>G303*AP303</f>
        <v>0</v>
      </c>
      <c r="BJ303" s="367">
        <f>G303*H303</f>
        <v>0</v>
      </c>
      <c r="BK303" s="367"/>
      <c r="BL303" s="367">
        <v>96</v>
      </c>
      <c r="BM303" s="311"/>
      <c r="BN303" s="311"/>
      <c r="BO303" s="311"/>
      <c r="BP303" s="311"/>
      <c r="BQ303" s="311"/>
      <c r="BR303" s="311"/>
      <c r="BS303" s="311"/>
      <c r="BT303" s="311"/>
      <c r="BU303" s="311"/>
    </row>
    <row r="304" spans="1:73" ht="15" customHeight="1">
      <c r="A304" s="370"/>
      <c r="B304" s="311"/>
      <c r="C304" s="311"/>
      <c r="D304" s="371" t="s">
        <v>116</v>
      </c>
      <c r="E304" s="372"/>
      <c r="F304" s="311"/>
      <c r="G304" s="373">
        <v>2.66</v>
      </c>
      <c r="H304" s="327"/>
      <c r="I304" s="311"/>
      <c r="J304" s="311"/>
      <c r="K304" s="311"/>
      <c r="L304" s="311"/>
      <c r="M304" s="311"/>
      <c r="N304" s="374"/>
      <c r="O304" s="346"/>
      <c r="P304" s="346"/>
      <c r="Q304" s="346"/>
      <c r="R304" s="346"/>
      <c r="S304" s="346"/>
      <c r="T304" s="346"/>
      <c r="U304" s="346"/>
      <c r="V304" s="346"/>
      <c r="W304" s="346"/>
      <c r="X304" s="346"/>
      <c r="Y304" s="311"/>
      <c r="Z304" s="311"/>
      <c r="AA304" s="311"/>
      <c r="AB304" s="311"/>
      <c r="AC304" s="311"/>
      <c r="AD304" s="311"/>
      <c r="AE304" s="311"/>
      <c r="AF304" s="311"/>
      <c r="AG304" s="311"/>
      <c r="AH304" s="311"/>
      <c r="AI304" s="311"/>
      <c r="AJ304" s="311"/>
      <c r="AK304" s="311"/>
      <c r="AL304" s="311"/>
      <c r="AM304" s="311"/>
      <c r="AN304" s="311"/>
      <c r="AO304" s="311"/>
      <c r="AP304" s="311"/>
      <c r="AQ304" s="311"/>
      <c r="AR304" s="311"/>
      <c r="AS304" s="311"/>
      <c r="AT304" s="311"/>
      <c r="AU304" s="311"/>
      <c r="AV304" s="311"/>
      <c r="AW304" s="311"/>
      <c r="AX304" s="311"/>
      <c r="AY304" s="311"/>
      <c r="AZ304" s="311"/>
      <c r="BA304" s="311"/>
      <c r="BB304" s="311"/>
      <c r="BC304" s="311"/>
      <c r="BD304" s="311"/>
      <c r="BE304" s="311"/>
      <c r="BF304" s="311"/>
      <c r="BG304" s="311"/>
      <c r="BH304" s="311"/>
      <c r="BI304" s="311"/>
      <c r="BJ304" s="311"/>
      <c r="BK304" s="311"/>
      <c r="BL304" s="311"/>
      <c r="BM304" s="311"/>
      <c r="BN304" s="311"/>
      <c r="BO304" s="311"/>
      <c r="BP304" s="311"/>
      <c r="BQ304" s="311"/>
      <c r="BR304" s="311"/>
      <c r="BS304" s="311"/>
      <c r="BT304" s="311"/>
      <c r="BU304" s="311"/>
    </row>
    <row r="305" spans="1:73" ht="15" customHeight="1">
      <c r="A305" s="365" t="s">
        <v>115</v>
      </c>
      <c r="B305" s="366" t="s">
        <v>7</v>
      </c>
      <c r="C305" s="366" t="s">
        <v>114</v>
      </c>
      <c r="D305" s="304" t="s">
        <v>113</v>
      </c>
      <c r="E305" s="304"/>
      <c r="F305" s="366" t="s">
        <v>79</v>
      </c>
      <c r="G305" s="367">
        <f>'[2]Stavební rozpočet'!G278</f>
        <v>0.815</v>
      </c>
      <c r="H305" s="328">
        <v>0</v>
      </c>
      <c r="I305" s="367">
        <f>G305*AO305</f>
        <v>0</v>
      </c>
      <c r="J305" s="367">
        <f>G305*AP305</f>
        <v>0</v>
      </c>
      <c r="K305" s="367">
        <f>G305*H305</f>
        <v>0</v>
      </c>
      <c r="L305" s="367">
        <f>'[2]Stavební rozpočet'!L278</f>
        <v>2.40666</v>
      </c>
      <c r="M305" s="367">
        <f>G305*L305</f>
        <v>1.9614279</v>
      </c>
      <c r="N305" s="368" t="s">
        <v>36</v>
      </c>
      <c r="O305" s="346"/>
      <c r="P305" s="346"/>
      <c r="Q305" s="346"/>
      <c r="R305" s="346"/>
      <c r="S305" s="346"/>
      <c r="T305" s="346"/>
      <c r="U305" s="346"/>
      <c r="V305" s="346"/>
      <c r="W305" s="346"/>
      <c r="X305" s="346"/>
      <c r="Y305" s="311"/>
      <c r="Z305" s="367">
        <f>IF(AQ305="5",BJ305,0)</f>
        <v>0</v>
      </c>
      <c r="AA305" s="311"/>
      <c r="AB305" s="367">
        <f>IF(AQ305="1",BH305,0)</f>
        <v>0</v>
      </c>
      <c r="AC305" s="367">
        <f>IF(AQ305="1",BI305,0)</f>
        <v>0</v>
      </c>
      <c r="AD305" s="367">
        <f>IF(AQ305="7",BH305,0)</f>
        <v>0</v>
      </c>
      <c r="AE305" s="367">
        <f>IF(AQ305="7",BI305,0)</f>
        <v>0</v>
      </c>
      <c r="AF305" s="367">
        <f>IF(AQ305="2",BH305,0)</f>
        <v>0</v>
      </c>
      <c r="AG305" s="367">
        <f>IF(AQ305="2",BI305,0)</f>
        <v>0</v>
      </c>
      <c r="AH305" s="367">
        <f>IF(AQ305="0",BJ305,0)</f>
        <v>0</v>
      </c>
      <c r="AI305" s="351" t="s">
        <v>7</v>
      </c>
      <c r="AJ305" s="367">
        <f>IF(AN305=0,K305,0)</f>
        <v>0</v>
      </c>
      <c r="AK305" s="367">
        <f>IF(AN305=15,K305,0)</f>
        <v>0</v>
      </c>
      <c r="AL305" s="367">
        <f>IF(AN305=21,K305,0)</f>
        <v>0</v>
      </c>
      <c r="AM305" s="311"/>
      <c r="AN305" s="367">
        <v>21</v>
      </c>
      <c r="AO305" s="367">
        <f>H305*0.0466911327146855</f>
        <v>0</v>
      </c>
      <c r="AP305" s="367">
        <f>H305*(1-0.0466911327146855)</f>
        <v>0</v>
      </c>
      <c r="AQ305" s="369" t="s">
        <v>2</v>
      </c>
      <c r="AR305" s="311"/>
      <c r="AS305" s="311"/>
      <c r="AT305" s="311"/>
      <c r="AU305" s="311"/>
      <c r="AV305" s="367">
        <f>AW305+AX305</f>
        <v>0</v>
      </c>
      <c r="AW305" s="367">
        <f>G305*AO305</f>
        <v>0</v>
      </c>
      <c r="AX305" s="367">
        <f>G305*AP305</f>
        <v>0</v>
      </c>
      <c r="AY305" s="369" t="s">
        <v>103</v>
      </c>
      <c r="AZ305" s="369" t="s">
        <v>33</v>
      </c>
      <c r="BA305" s="351" t="s">
        <v>3</v>
      </c>
      <c r="BB305" s="311"/>
      <c r="BC305" s="367">
        <f>AW305+AX305</f>
        <v>0</v>
      </c>
      <c r="BD305" s="367">
        <f>H305/(100-BE305)*100</f>
        <v>0</v>
      </c>
      <c r="BE305" s="367">
        <v>0</v>
      </c>
      <c r="BF305" s="367">
        <f>M305</f>
        <v>1.9614279</v>
      </c>
      <c r="BG305" s="311"/>
      <c r="BH305" s="367">
        <f>G305*AO305</f>
        <v>0</v>
      </c>
      <c r="BI305" s="367">
        <f>G305*AP305</f>
        <v>0</v>
      </c>
      <c r="BJ305" s="367">
        <f>G305*H305</f>
        <v>0</v>
      </c>
      <c r="BK305" s="367"/>
      <c r="BL305" s="367">
        <v>96</v>
      </c>
      <c r="BM305" s="311"/>
      <c r="BN305" s="311"/>
      <c r="BO305" s="311"/>
      <c r="BP305" s="311"/>
      <c r="BQ305" s="311"/>
      <c r="BR305" s="311"/>
      <c r="BS305" s="311"/>
      <c r="BT305" s="311"/>
      <c r="BU305" s="311"/>
    </row>
    <row r="306" spans="1:73" ht="15" customHeight="1">
      <c r="A306" s="370"/>
      <c r="B306" s="311"/>
      <c r="C306" s="311"/>
      <c r="D306" s="371" t="s">
        <v>112</v>
      </c>
      <c r="E306" s="372"/>
      <c r="F306" s="311"/>
      <c r="G306" s="373">
        <v>0.37500000000000006</v>
      </c>
      <c r="H306" s="327"/>
      <c r="I306" s="311"/>
      <c r="J306" s="311"/>
      <c r="K306" s="311"/>
      <c r="L306" s="311"/>
      <c r="M306" s="311"/>
      <c r="N306" s="374"/>
      <c r="O306" s="346"/>
      <c r="P306" s="346"/>
      <c r="Q306" s="346"/>
      <c r="R306" s="346"/>
      <c r="S306" s="346"/>
      <c r="T306" s="346"/>
      <c r="U306" s="346"/>
      <c r="V306" s="346"/>
      <c r="W306" s="346"/>
      <c r="X306" s="346"/>
      <c r="Y306" s="311"/>
      <c r="Z306" s="311"/>
      <c r="AA306" s="311"/>
      <c r="AB306" s="311"/>
      <c r="AC306" s="311"/>
      <c r="AD306" s="311"/>
      <c r="AE306" s="311"/>
      <c r="AF306" s="311"/>
      <c r="AG306" s="311"/>
      <c r="AH306" s="311"/>
      <c r="AI306" s="311"/>
      <c r="AJ306" s="311"/>
      <c r="AK306" s="311"/>
      <c r="AL306" s="311"/>
      <c r="AM306" s="311"/>
      <c r="AN306" s="311"/>
      <c r="AO306" s="311"/>
      <c r="AP306" s="311"/>
      <c r="AQ306" s="311"/>
      <c r="AR306" s="311"/>
      <c r="AS306" s="311"/>
      <c r="AT306" s="311"/>
      <c r="AU306" s="311"/>
      <c r="AV306" s="311"/>
      <c r="AW306" s="311"/>
      <c r="AX306" s="311"/>
      <c r="AY306" s="311"/>
      <c r="AZ306" s="311"/>
      <c r="BA306" s="311"/>
      <c r="BB306" s="311"/>
      <c r="BC306" s="311"/>
      <c r="BD306" s="311"/>
      <c r="BE306" s="311"/>
      <c r="BF306" s="311"/>
      <c r="BG306" s="311"/>
      <c r="BH306" s="311"/>
      <c r="BI306" s="311"/>
      <c r="BJ306" s="311"/>
      <c r="BK306" s="311"/>
      <c r="BL306" s="311"/>
      <c r="BM306" s="311"/>
      <c r="BN306" s="311"/>
      <c r="BO306" s="311"/>
      <c r="BP306" s="311"/>
      <c r="BQ306" s="311"/>
      <c r="BR306" s="311"/>
      <c r="BS306" s="311"/>
      <c r="BT306" s="311"/>
      <c r="BU306" s="311"/>
    </row>
    <row r="307" spans="1:73" ht="15" customHeight="1">
      <c r="A307" s="370"/>
      <c r="B307" s="311"/>
      <c r="C307" s="311"/>
      <c r="D307" s="371" t="s">
        <v>111</v>
      </c>
      <c r="E307" s="372"/>
      <c r="F307" s="311"/>
      <c r="G307" s="373">
        <v>0.44000000000000006</v>
      </c>
      <c r="H307" s="327"/>
      <c r="I307" s="311"/>
      <c r="J307" s="311"/>
      <c r="K307" s="311"/>
      <c r="L307" s="311"/>
      <c r="M307" s="311"/>
      <c r="N307" s="374"/>
      <c r="O307" s="346"/>
      <c r="P307" s="346"/>
      <c r="Q307" s="346"/>
      <c r="R307" s="346"/>
      <c r="S307" s="346"/>
      <c r="T307" s="346"/>
      <c r="U307" s="346"/>
      <c r="V307" s="346"/>
      <c r="W307" s="346"/>
      <c r="X307" s="346"/>
      <c r="Y307" s="311"/>
      <c r="Z307" s="311"/>
      <c r="AA307" s="311"/>
      <c r="AB307" s="311"/>
      <c r="AC307" s="311"/>
      <c r="AD307" s="311"/>
      <c r="AE307" s="311"/>
      <c r="AF307" s="311"/>
      <c r="AG307" s="311"/>
      <c r="AH307" s="311"/>
      <c r="AI307" s="311"/>
      <c r="AJ307" s="311"/>
      <c r="AK307" s="311"/>
      <c r="AL307" s="311"/>
      <c r="AM307" s="311"/>
      <c r="AN307" s="311"/>
      <c r="AO307" s="311"/>
      <c r="AP307" s="311"/>
      <c r="AQ307" s="311"/>
      <c r="AR307" s="311"/>
      <c r="AS307" s="311"/>
      <c r="AT307" s="311"/>
      <c r="AU307" s="311"/>
      <c r="AV307" s="311"/>
      <c r="AW307" s="311"/>
      <c r="AX307" s="311"/>
      <c r="AY307" s="311"/>
      <c r="AZ307" s="311"/>
      <c r="BA307" s="311"/>
      <c r="BB307" s="311"/>
      <c r="BC307" s="311"/>
      <c r="BD307" s="311"/>
      <c r="BE307" s="311"/>
      <c r="BF307" s="311"/>
      <c r="BG307" s="311"/>
      <c r="BH307" s="311"/>
      <c r="BI307" s="311"/>
      <c r="BJ307" s="311"/>
      <c r="BK307" s="311"/>
      <c r="BL307" s="311"/>
      <c r="BM307" s="311"/>
      <c r="BN307" s="311"/>
      <c r="BO307" s="311"/>
      <c r="BP307" s="311"/>
      <c r="BQ307" s="311"/>
      <c r="BR307" s="311"/>
      <c r="BS307" s="311"/>
      <c r="BT307" s="311"/>
      <c r="BU307" s="311"/>
    </row>
    <row r="308" spans="1:73" ht="15" customHeight="1">
      <c r="A308" s="365" t="s">
        <v>110</v>
      </c>
      <c r="B308" s="366" t="s">
        <v>7</v>
      </c>
      <c r="C308" s="366" t="s">
        <v>109</v>
      </c>
      <c r="D308" s="304" t="s">
        <v>108</v>
      </c>
      <c r="E308" s="304"/>
      <c r="F308" s="366" t="s">
        <v>89</v>
      </c>
      <c r="G308" s="367">
        <f>'[2]Stavební rozpočet'!G281</f>
        <v>160.46</v>
      </c>
      <c r="H308" s="328">
        <v>0</v>
      </c>
      <c r="I308" s="367">
        <f>G308*AO308</f>
        <v>0</v>
      </c>
      <c r="J308" s="367">
        <f>G308*AP308</f>
        <v>0</v>
      </c>
      <c r="K308" s="367">
        <f>G308*H308</f>
        <v>0</v>
      </c>
      <c r="L308" s="367">
        <f>'[2]Stavební rozpočet'!L281</f>
        <v>0.0126</v>
      </c>
      <c r="M308" s="367">
        <f>G308*L308</f>
        <v>2.021796</v>
      </c>
      <c r="N308" s="368" t="s">
        <v>36</v>
      </c>
      <c r="O308" s="346"/>
      <c r="P308" s="346"/>
      <c r="Q308" s="346"/>
      <c r="R308" s="346"/>
      <c r="S308" s="346"/>
      <c r="T308" s="346"/>
      <c r="U308" s="346"/>
      <c r="V308" s="346"/>
      <c r="W308" s="346"/>
      <c r="X308" s="346"/>
      <c r="Y308" s="311"/>
      <c r="Z308" s="367">
        <f>IF(AQ308="5",BJ308,0)</f>
        <v>0</v>
      </c>
      <c r="AA308" s="311"/>
      <c r="AB308" s="367">
        <f>IF(AQ308="1",BH308,0)</f>
        <v>0</v>
      </c>
      <c r="AC308" s="367">
        <f>IF(AQ308="1",BI308,0)</f>
        <v>0</v>
      </c>
      <c r="AD308" s="367">
        <f>IF(AQ308="7",BH308,0)</f>
        <v>0</v>
      </c>
      <c r="AE308" s="367">
        <f>IF(AQ308="7",BI308,0)</f>
        <v>0</v>
      </c>
      <c r="AF308" s="367">
        <f>IF(AQ308="2",BH308,0)</f>
        <v>0</v>
      </c>
      <c r="AG308" s="367">
        <f>IF(AQ308="2",BI308,0)</f>
        <v>0</v>
      </c>
      <c r="AH308" s="367">
        <f>IF(AQ308="0",BJ308,0)</f>
        <v>0</v>
      </c>
      <c r="AI308" s="351" t="s">
        <v>7</v>
      </c>
      <c r="AJ308" s="367">
        <f>IF(AN308=0,K308,0)</f>
        <v>0</v>
      </c>
      <c r="AK308" s="367">
        <f>IF(AN308=15,K308,0)</f>
        <v>0</v>
      </c>
      <c r="AL308" s="367">
        <f>IF(AN308=21,K308,0)</f>
        <v>0</v>
      </c>
      <c r="AM308" s="311"/>
      <c r="AN308" s="367">
        <v>21</v>
      </c>
      <c r="AO308" s="367">
        <f>H308*0</f>
        <v>0</v>
      </c>
      <c r="AP308" s="367">
        <f>H308*(1-0)</f>
        <v>0</v>
      </c>
      <c r="AQ308" s="369" t="s">
        <v>2</v>
      </c>
      <c r="AR308" s="311"/>
      <c r="AS308" s="311"/>
      <c r="AT308" s="311"/>
      <c r="AU308" s="311"/>
      <c r="AV308" s="367">
        <f>AW308+AX308</f>
        <v>0</v>
      </c>
      <c r="AW308" s="367">
        <f>G308*AO308</f>
        <v>0</v>
      </c>
      <c r="AX308" s="367">
        <f>G308*AP308</f>
        <v>0</v>
      </c>
      <c r="AY308" s="369" t="s">
        <v>103</v>
      </c>
      <c r="AZ308" s="369" t="s">
        <v>33</v>
      </c>
      <c r="BA308" s="351" t="s">
        <v>3</v>
      </c>
      <c r="BB308" s="311"/>
      <c r="BC308" s="367">
        <f>AW308+AX308</f>
        <v>0</v>
      </c>
      <c r="BD308" s="367">
        <f>H308/(100-BE308)*100</f>
        <v>0</v>
      </c>
      <c r="BE308" s="367">
        <v>0</v>
      </c>
      <c r="BF308" s="367">
        <f>M308</f>
        <v>2.021796</v>
      </c>
      <c r="BG308" s="311"/>
      <c r="BH308" s="367">
        <f>G308*AO308</f>
        <v>0</v>
      </c>
      <c r="BI308" s="367">
        <f>G308*AP308</f>
        <v>0</v>
      </c>
      <c r="BJ308" s="367">
        <f>G308*H308</f>
        <v>0</v>
      </c>
      <c r="BK308" s="367"/>
      <c r="BL308" s="367">
        <v>96</v>
      </c>
      <c r="BM308" s="311"/>
      <c r="BN308" s="311"/>
      <c r="BO308" s="311"/>
      <c r="BP308" s="311"/>
      <c r="BQ308" s="311"/>
      <c r="BR308" s="311"/>
      <c r="BS308" s="311"/>
      <c r="BT308" s="311"/>
      <c r="BU308" s="311"/>
    </row>
    <row r="309" spans="1:73" ht="15" customHeight="1">
      <c r="A309" s="370"/>
      <c r="B309" s="311"/>
      <c r="C309" s="311"/>
      <c r="D309" s="371" t="s">
        <v>107</v>
      </c>
      <c r="E309" s="372"/>
      <c r="F309" s="311"/>
      <c r="G309" s="373">
        <v>160.46</v>
      </c>
      <c r="H309" s="327"/>
      <c r="I309" s="311"/>
      <c r="J309" s="311"/>
      <c r="K309" s="311"/>
      <c r="L309" s="311"/>
      <c r="M309" s="311"/>
      <c r="N309" s="374"/>
      <c r="O309" s="346"/>
      <c r="P309" s="346"/>
      <c r="Q309" s="346"/>
      <c r="R309" s="346"/>
      <c r="S309" s="346"/>
      <c r="T309" s="346"/>
      <c r="U309" s="346"/>
      <c r="V309" s="346"/>
      <c r="W309" s="346"/>
      <c r="X309" s="346"/>
      <c r="Y309" s="311"/>
      <c r="Z309" s="311"/>
      <c r="AA309" s="311"/>
      <c r="AB309" s="311"/>
      <c r="AC309" s="311"/>
      <c r="AD309" s="311"/>
      <c r="AE309" s="311"/>
      <c r="AF309" s="311"/>
      <c r="AG309" s="311"/>
      <c r="AH309" s="311"/>
      <c r="AI309" s="311"/>
      <c r="AJ309" s="311"/>
      <c r="AK309" s="311"/>
      <c r="AL309" s="311"/>
      <c r="AM309" s="311"/>
      <c r="AN309" s="311"/>
      <c r="AO309" s="311"/>
      <c r="AP309" s="311"/>
      <c r="AQ309" s="311"/>
      <c r="AR309" s="311"/>
      <c r="AS309" s="311"/>
      <c r="AT309" s="311"/>
      <c r="AU309" s="311"/>
      <c r="AV309" s="311"/>
      <c r="AW309" s="311"/>
      <c r="AX309" s="311"/>
      <c r="AY309" s="311"/>
      <c r="AZ309" s="311"/>
      <c r="BA309" s="311"/>
      <c r="BB309" s="311"/>
      <c r="BC309" s="311"/>
      <c r="BD309" s="311"/>
      <c r="BE309" s="311"/>
      <c r="BF309" s="311"/>
      <c r="BG309" s="311"/>
      <c r="BH309" s="311"/>
      <c r="BI309" s="311"/>
      <c r="BJ309" s="311"/>
      <c r="BK309" s="311"/>
      <c r="BL309" s="311"/>
      <c r="BM309" s="311"/>
      <c r="BN309" s="311"/>
      <c r="BO309" s="311"/>
      <c r="BP309" s="311"/>
      <c r="BQ309" s="311"/>
      <c r="BR309" s="311"/>
      <c r="BS309" s="311"/>
      <c r="BT309" s="311"/>
      <c r="BU309" s="311"/>
    </row>
    <row r="310" spans="1:73" ht="15" customHeight="1">
      <c r="A310" s="365" t="s">
        <v>106</v>
      </c>
      <c r="B310" s="366" t="s">
        <v>7</v>
      </c>
      <c r="C310" s="366" t="s">
        <v>105</v>
      </c>
      <c r="D310" s="304" t="s">
        <v>104</v>
      </c>
      <c r="E310" s="304"/>
      <c r="F310" s="366" t="s">
        <v>89</v>
      </c>
      <c r="G310" s="367">
        <f>'[2]Stavební rozpočet'!G283</f>
        <v>37.68</v>
      </c>
      <c r="H310" s="328">
        <v>0</v>
      </c>
      <c r="I310" s="367">
        <f>G310*AO310</f>
        <v>0</v>
      </c>
      <c r="J310" s="367">
        <f>G310*AP310</f>
        <v>0</v>
      </c>
      <c r="K310" s="367">
        <f>G310*H310</f>
        <v>0</v>
      </c>
      <c r="L310" s="367">
        <f>'[2]Stavební rozpočet'!L283</f>
        <v>0.122</v>
      </c>
      <c r="M310" s="367">
        <f>G310*L310</f>
        <v>4.59696</v>
      </c>
      <c r="N310" s="368" t="s">
        <v>36</v>
      </c>
      <c r="O310" s="346"/>
      <c r="P310" s="346"/>
      <c r="Q310" s="346"/>
      <c r="R310" s="346"/>
      <c r="S310" s="346"/>
      <c r="T310" s="346"/>
      <c r="U310" s="346"/>
      <c r="V310" s="346"/>
      <c r="W310" s="346"/>
      <c r="X310" s="346"/>
      <c r="Y310" s="311"/>
      <c r="Z310" s="367">
        <f>IF(AQ310="5",BJ310,0)</f>
        <v>0</v>
      </c>
      <c r="AA310" s="311"/>
      <c r="AB310" s="367">
        <f>IF(AQ310="1",BH310,0)</f>
        <v>0</v>
      </c>
      <c r="AC310" s="367">
        <f>IF(AQ310="1",BI310,0)</f>
        <v>0</v>
      </c>
      <c r="AD310" s="367">
        <f>IF(AQ310="7",BH310,0)</f>
        <v>0</v>
      </c>
      <c r="AE310" s="367">
        <f>IF(AQ310="7",BI310,0)</f>
        <v>0</v>
      </c>
      <c r="AF310" s="367">
        <f>IF(AQ310="2",BH310,0)</f>
        <v>0</v>
      </c>
      <c r="AG310" s="367">
        <f>IF(AQ310="2",BI310,0)</f>
        <v>0</v>
      </c>
      <c r="AH310" s="367">
        <f>IF(AQ310="0",BJ310,0)</f>
        <v>0</v>
      </c>
      <c r="AI310" s="351" t="s">
        <v>7</v>
      </c>
      <c r="AJ310" s="367">
        <f>IF(AN310=0,K310,0)</f>
        <v>0</v>
      </c>
      <c r="AK310" s="367">
        <f>IF(AN310=15,K310,0)</f>
        <v>0</v>
      </c>
      <c r="AL310" s="367">
        <f>IF(AN310=21,K310,0)</f>
        <v>0</v>
      </c>
      <c r="AM310" s="311"/>
      <c r="AN310" s="367">
        <v>21</v>
      </c>
      <c r="AO310" s="367">
        <f>H310*0</f>
        <v>0</v>
      </c>
      <c r="AP310" s="367">
        <f>H310*(1-0)</f>
        <v>0</v>
      </c>
      <c r="AQ310" s="369" t="s">
        <v>2</v>
      </c>
      <c r="AR310" s="311"/>
      <c r="AS310" s="311"/>
      <c r="AT310" s="311"/>
      <c r="AU310" s="311"/>
      <c r="AV310" s="367">
        <f>AW310+AX310</f>
        <v>0</v>
      </c>
      <c r="AW310" s="367">
        <f>G310*AO310</f>
        <v>0</v>
      </c>
      <c r="AX310" s="367">
        <f>G310*AP310</f>
        <v>0</v>
      </c>
      <c r="AY310" s="369" t="s">
        <v>103</v>
      </c>
      <c r="AZ310" s="369" t="s">
        <v>33</v>
      </c>
      <c r="BA310" s="351" t="s">
        <v>3</v>
      </c>
      <c r="BB310" s="311"/>
      <c r="BC310" s="367">
        <f>AW310+AX310</f>
        <v>0</v>
      </c>
      <c r="BD310" s="367">
        <f>H310/(100-BE310)*100</f>
        <v>0</v>
      </c>
      <c r="BE310" s="367">
        <v>0</v>
      </c>
      <c r="BF310" s="367">
        <f>M310</f>
        <v>4.59696</v>
      </c>
      <c r="BG310" s="311"/>
      <c r="BH310" s="367">
        <f>G310*AO310</f>
        <v>0</v>
      </c>
      <c r="BI310" s="367">
        <f>G310*AP310</f>
        <v>0</v>
      </c>
      <c r="BJ310" s="367">
        <f>G310*H310</f>
        <v>0</v>
      </c>
      <c r="BK310" s="367"/>
      <c r="BL310" s="367">
        <v>96</v>
      </c>
      <c r="BM310" s="311"/>
      <c r="BN310" s="311"/>
      <c r="BO310" s="311"/>
      <c r="BP310" s="311"/>
      <c r="BQ310" s="311"/>
      <c r="BR310" s="311"/>
      <c r="BS310" s="311"/>
      <c r="BT310" s="311"/>
      <c r="BU310" s="311"/>
    </row>
    <row r="311" spans="1:73" ht="15" customHeight="1">
      <c r="A311" s="370"/>
      <c r="B311" s="311"/>
      <c r="C311" s="311"/>
      <c r="D311" s="371" t="s">
        <v>102</v>
      </c>
      <c r="E311" s="372"/>
      <c r="F311" s="311"/>
      <c r="G311" s="373">
        <v>37.68</v>
      </c>
      <c r="H311" s="327"/>
      <c r="I311" s="311"/>
      <c r="J311" s="311"/>
      <c r="K311" s="311"/>
      <c r="L311" s="311"/>
      <c r="M311" s="311"/>
      <c r="N311" s="374"/>
      <c r="O311" s="346"/>
      <c r="P311" s="346"/>
      <c r="Q311" s="346"/>
      <c r="R311" s="346"/>
      <c r="S311" s="346"/>
      <c r="T311" s="346"/>
      <c r="U311" s="346"/>
      <c r="V311" s="346"/>
      <c r="W311" s="346"/>
      <c r="X311" s="346"/>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1"/>
      <c r="AY311" s="311"/>
      <c r="AZ311" s="311"/>
      <c r="BA311" s="311"/>
      <c r="BB311" s="311"/>
      <c r="BC311" s="311"/>
      <c r="BD311" s="311"/>
      <c r="BE311" s="311"/>
      <c r="BF311" s="311"/>
      <c r="BG311" s="311"/>
      <c r="BH311" s="311"/>
      <c r="BI311" s="311"/>
      <c r="BJ311" s="311"/>
      <c r="BK311" s="311"/>
      <c r="BL311" s="311"/>
      <c r="BM311" s="311"/>
      <c r="BN311" s="311"/>
      <c r="BO311" s="311"/>
      <c r="BP311" s="311"/>
      <c r="BQ311" s="311"/>
      <c r="BR311" s="311"/>
      <c r="BS311" s="311"/>
      <c r="BT311" s="311"/>
      <c r="BU311" s="311"/>
    </row>
    <row r="312" spans="1:73" ht="15" customHeight="1">
      <c r="A312" s="360"/>
      <c r="B312" s="361" t="s">
        <v>7</v>
      </c>
      <c r="C312" s="361" t="s">
        <v>82</v>
      </c>
      <c r="D312" s="362" t="s">
        <v>101</v>
      </c>
      <c r="E312" s="362"/>
      <c r="F312" s="363" t="s">
        <v>12</v>
      </c>
      <c r="G312" s="363" t="s">
        <v>12</v>
      </c>
      <c r="H312" s="363" t="s">
        <v>12</v>
      </c>
      <c r="I312" s="347">
        <f>SUM(I313:I327)</f>
        <v>0</v>
      </c>
      <c r="J312" s="347">
        <f>SUM(J313:J327)</f>
        <v>0</v>
      </c>
      <c r="K312" s="347">
        <f>SUM(K313:K327)</f>
        <v>0</v>
      </c>
      <c r="L312" s="351"/>
      <c r="M312" s="347">
        <f>SUM(M313:M327)</f>
        <v>16.246739008</v>
      </c>
      <c r="N312" s="364"/>
      <c r="O312" s="346"/>
      <c r="P312" s="346"/>
      <c r="Q312" s="346"/>
      <c r="R312" s="346"/>
      <c r="S312" s="346"/>
      <c r="T312" s="346"/>
      <c r="U312" s="346"/>
      <c r="V312" s="346"/>
      <c r="W312" s="346"/>
      <c r="X312" s="346"/>
      <c r="Y312" s="311"/>
      <c r="Z312" s="311"/>
      <c r="AA312" s="311"/>
      <c r="AB312" s="311"/>
      <c r="AC312" s="311"/>
      <c r="AD312" s="311"/>
      <c r="AE312" s="311"/>
      <c r="AF312" s="311"/>
      <c r="AG312" s="311"/>
      <c r="AH312" s="311"/>
      <c r="AI312" s="351" t="s">
        <v>7</v>
      </c>
      <c r="AJ312" s="311"/>
      <c r="AK312" s="311"/>
      <c r="AL312" s="311"/>
      <c r="AM312" s="311"/>
      <c r="AN312" s="311"/>
      <c r="AO312" s="311"/>
      <c r="AP312" s="311"/>
      <c r="AQ312" s="311"/>
      <c r="AR312" s="311"/>
      <c r="AS312" s="347">
        <f>SUM(AJ313:AJ327)</f>
        <v>0</v>
      </c>
      <c r="AT312" s="347">
        <f>SUM(AK313:AK327)</f>
        <v>0</v>
      </c>
      <c r="AU312" s="347">
        <f>SUM(AL313:AL327)</f>
        <v>0</v>
      </c>
      <c r="AV312" s="311"/>
      <c r="AW312" s="311"/>
      <c r="AX312" s="311"/>
      <c r="AY312" s="311"/>
      <c r="AZ312" s="311"/>
      <c r="BA312" s="311"/>
      <c r="BB312" s="311"/>
      <c r="BC312" s="311"/>
      <c r="BD312" s="311"/>
      <c r="BE312" s="311"/>
      <c r="BF312" s="311"/>
      <c r="BG312" s="311"/>
      <c r="BH312" s="311"/>
      <c r="BI312" s="311"/>
      <c r="BJ312" s="311"/>
      <c r="BK312" s="311"/>
      <c r="BL312" s="311"/>
      <c r="BM312" s="311"/>
      <c r="BN312" s="311"/>
      <c r="BO312" s="311"/>
      <c r="BP312" s="311"/>
      <c r="BQ312" s="311"/>
      <c r="BR312" s="311"/>
      <c r="BS312" s="311"/>
      <c r="BT312" s="311"/>
      <c r="BU312" s="311"/>
    </row>
    <row r="313" spans="1:73" ht="15" customHeight="1">
      <c r="A313" s="365" t="s">
        <v>100</v>
      </c>
      <c r="B313" s="366" t="s">
        <v>7</v>
      </c>
      <c r="C313" s="366" t="s">
        <v>99</v>
      </c>
      <c r="D313" s="304" t="s">
        <v>98</v>
      </c>
      <c r="E313" s="304"/>
      <c r="F313" s="366" t="s">
        <v>89</v>
      </c>
      <c r="G313" s="367">
        <f>'[2]Stavební rozpočet'!G286</f>
        <v>44.55</v>
      </c>
      <c r="H313" s="328">
        <v>0</v>
      </c>
      <c r="I313" s="367">
        <f>G313*AO313</f>
        <v>0</v>
      </c>
      <c r="J313" s="367">
        <f>G313*AP313</f>
        <v>0</v>
      </c>
      <c r="K313" s="367">
        <f>G313*H313</f>
        <v>0</v>
      </c>
      <c r="L313" s="367">
        <f>'[2]Stavební rozpočet'!L286</f>
        <v>0</v>
      </c>
      <c r="M313" s="367">
        <f>G313*L313</f>
        <v>0</v>
      </c>
      <c r="N313" s="368" t="s">
        <v>36</v>
      </c>
      <c r="O313" s="346"/>
      <c r="P313" s="346"/>
      <c r="Q313" s="346"/>
      <c r="R313" s="346"/>
      <c r="S313" s="346"/>
      <c r="T313" s="346"/>
      <c r="U313" s="346"/>
      <c r="V313" s="346"/>
      <c r="W313" s="346"/>
      <c r="X313" s="346"/>
      <c r="Y313" s="311"/>
      <c r="Z313" s="367">
        <f>IF(AQ313="5",BJ313,0)</f>
        <v>0</v>
      </c>
      <c r="AA313" s="311"/>
      <c r="AB313" s="367">
        <f>IF(AQ313="1",BH313,0)</f>
        <v>0</v>
      </c>
      <c r="AC313" s="367">
        <f>IF(AQ313="1",BI313,0)</f>
        <v>0</v>
      </c>
      <c r="AD313" s="367">
        <f>IF(AQ313="7",BH313,0)</f>
        <v>0</v>
      </c>
      <c r="AE313" s="367">
        <f>IF(AQ313="7",BI313,0)</f>
        <v>0</v>
      </c>
      <c r="AF313" s="367">
        <f>IF(AQ313="2",BH313,0)</f>
        <v>0</v>
      </c>
      <c r="AG313" s="367">
        <f>IF(AQ313="2",BI313,0)</f>
        <v>0</v>
      </c>
      <c r="AH313" s="367">
        <f>IF(AQ313="0",BJ313,0)</f>
        <v>0</v>
      </c>
      <c r="AI313" s="351" t="s">
        <v>7</v>
      </c>
      <c r="AJ313" s="367">
        <f>IF(AN313=0,K313,0)</f>
        <v>0</v>
      </c>
      <c r="AK313" s="367">
        <f>IF(AN313=15,K313,0)</f>
        <v>0</v>
      </c>
      <c r="AL313" s="367">
        <f>IF(AN313=21,K313,0)</f>
        <v>0</v>
      </c>
      <c r="AM313" s="311"/>
      <c r="AN313" s="367">
        <v>21</v>
      </c>
      <c r="AO313" s="367">
        <f>H313*0</f>
        <v>0</v>
      </c>
      <c r="AP313" s="367">
        <f>H313*(1-0)</f>
        <v>0</v>
      </c>
      <c r="AQ313" s="369" t="s">
        <v>2</v>
      </c>
      <c r="AR313" s="311"/>
      <c r="AS313" s="311"/>
      <c r="AT313" s="311"/>
      <c r="AU313" s="311"/>
      <c r="AV313" s="367">
        <f>AW313+AX313</f>
        <v>0</v>
      </c>
      <c r="AW313" s="367">
        <f>G313*AO313</f>
        <v>0</v>
      </c>
      <c r="AX313" s="367">
        <f>G313*AP313</f>
        <v>0</v>
      </c>
      <c r="AY313" s="369" t="s">
        <v>68</v>
      </c>
      <c r="AZ313" s="369" t="s">
        <v>33</v>
      </c>
      <c r="BA313" s="351" t="s">
        <v>3</v>
      </c>
      <c r="BB313" s="311"/>
      <c r="BC313" s="367">
        <f>AW313+AX313</f>
        <v>0</v>
      </c>
      <c r="BD313" s="367">
        <f>H313/(100-BE313)*100</f>
        <v>0</v>
      </c>
      <c r="BE313" s="367">
        <v>0</v>
      </c>
      <c r="BF313" s="367">
        <f>M313</f>
        <v>0</v>
      </c>
      <c r="BG313" s="311"/>
      <c r="BH313" s="367">
        <f>G313*AO313</f>
        <v>0</v>
      </c>
      <c r="BI313" s="367">
        <f>G313*AP313</f>
        <v>0</v>
      </c>
      <c r="BJ313" s="367">
        <f>G313*H313</f>
        <v>0</v>
      </c>
      <c r="BK313" s="367"/>
      <c r="BL313" s="367">
        <v>97</v>
      </c>
      <c r="BM313" s="311"/>
      <c r="BN313" s="311"/>
      <c r="BO313" s="311"/>
      <c r="BP313" s="311"/>
      <c r="BQ313" s="311"/>
      <c r="BR313" s="311"/>
      <c r="BS313" s="311"/>
      <c r="BT313" s="311"/>
      <c r="BU313" s="311"/>
    </row>
    <row r="314" spans="1:73" ht="15" customHeight="1">
      <c r="A314" s="370"/>
      <c r="B314" s="311"/>
      <c r="C314" s="311"/>
      <c r="D314" s="371" t="s">
        <v>97</v>
      </c>
      <c r="E314" s="372"/>
      <c r="F314" s="311"/>
      <c r="G314" s="373">
        <v>44.55</v>
      </c>
      <c r="H314" s="327"/>
      <c r="I314" s="311"/>
      <c r="J314" s="311"/>
      <c r="K314" s="311"/>
      <c r="L314" s="311"/>
      <c r="M314" s="311"/>
      <c r="N314" s="374"/>
      <c r="O314" s="346"/>
      <c r="P314" s="346"/>
      <c r="Q314" s="346"/>
      <c r="R314" s="346"/>
      <c r="S314" s="346"/>
      <c r="T314" s="346"/>
      <c r="U314" s="346"/>
      <c r="V314" s="346"/>
      <c r="W314" s="346"/>
      <c r="X314" s="346"/>
      <c r="Y314" s="311"/>
      <c r="Z314" s="311"/>
      <c r="AA314" s="311"/>
      <c r="AB314" s="311"/>
      <c r="AC314" s="311"/>
      <c r="AD314" s="311"/>
      <c r="AE314" s="311"/>
      <c r="AF314" s="311"/>
      <c r="AG314" s="311"/>
      <c r="AH314" s="311"/>
      <c r="AI314" s="311"/>
      <c r="AJ314" s="311"/>
      <c r="AK314" s="311"/>
      <c r="AL314" s="311"/>
      <c r="AM314" s="311"/>
      <c r="AN314" s="311"/>
      <c r="AO314" s="311"/>
      <c r="AP314" s="311"/>
      <c r="AQ314" s="311"/>
      <c r="AR314" s="311"/>
      <c r="AS314" s="311"/>
      <c r="AT314" s="311"/>
      <c r="AU314" s="311"/>
      <c r="AV314" s="311"/>
      <c r="AW314" s="311"/>
      <c r="AX314" s="311"/>
      <c r="AY314" s="311"/>
      <c r="AZ314" s="311"/>
      <c r="BA314" s="311"/>
      <c r="BB314" s="311"/>
      <c r="BC314" s="311"/>
      <c r="BD314" s="311"/>
      <c r="BE314" s="311"/>
      <c r="BF314" s="311"/>
      <c r="BG314" s="311"/>
      <c r="BH314" s="311"/>
      <c r="BI314" s="311"/>
      <c r="BJ314" s="311"/>
      <c r="BK314" s="311"/>
      <c r="BL314" s="311"/>
      <c r="BM314" s="311"/>
      <c r="BN314" s="311"/>
      <c r="BO314" s="311"/>
      <c r="BP314" s="311"/>
      <c r="BQ314" s="311"/>
      <c r="BR314" s="311"/>
      <c r="BS314" s="311"/>
      <c r="BT314" s="311"/>
      <c r="BU314" s="311"/>
    </row>
    <row r="315" spans="1:73" ht="15" customHeight="1">
      <c r="A315" s="365" t="s">
        <v>96</v>
      </c>
      <c r="B315" s="366" t="s">
        <v>7</v>
      </c>
      <c r="C315" s="366" t="s">
        <v>95</v>
      </c>
      <c r="D315" s="304" t="s">
        <v>94</v>
      </c>
      <c r="E315" s="304"/>
      <c r="F315" s="366" t="s">
        <v>89</v>
      </c>
      <c r="G315" s="367">
        <f>'[2]Stavební rozpočet'!G288</f>
        <v>92.53</v>
      </c>
      <c r="H315" s="328">
        <v>0</v>
      </c>
      <c r="I315" s="367">
        <f>G315*AO315</f>
        <v>0</v>
      </c>
      <c r="J315" s="367">
        <f>G315*AP315</f>
        <v>0</v>
      </c>
      <c r="K315" s="367">
        <f>G315*H315</f>
        <v>0</v>
      </c>
      <c r="L315" s="367">
        <f>'[2]Stavební rozpočet'!L288</f>
        <v>0.059</v>
      </c>
      <c r="M315" s="367">
        <f>G315*L315</f>
        <v>5.45927</v>
      </c>
      <c r="N315" s="368" t="s">
        <v>36</v>
      </c>
      <c r="O315" s="346"/>
      <c r="P315" s="346"/>
      <c r="Q315" s="346"/>
      <c r="R315" s="346"/>
      <c r="S315" s="346"/>
      <c r="T315" s="346"/>
      <c r="U315" s="346"/>
      <c r="V315" s="346"/>
      <c r="W315" s="346"/>
      <c r="X315" s="346"/>
      <c r="Y315" s="311"/>
      <c r="Z315" s="367">
        <f>IF(AQ315="5",BJ315,0)</f>
        <v>0</v>
      </c>
      <c r="AA315" s="311"/>
      <c r="AB315" s="367">
        <f>IF(AQ315="1",BH315,0)</f>
        <v>0</v>
      </c>
      <c r="AC315" s="367">
        <f>IF(AQ315="1",BI315,0)</f>
        <v>0</v>
      </c>
      <c r="AD315" s="367">
        <f>IF(AQ315="7",BH315,0)</f>
        <v>0</v>
      </c>
      <c r="AE315" s="367">
        <f>IF(AQ315="7",BI315,0)</f>
        <v>0</v>
      </c>
      <c r="AF315" s="367">
        <f>IF(AQ315="2",BH315,0)</f>
        <v>0</v>
      </c>
      <c r="AG315" s="367">
        <f>IF(AQ315="2",BI315,0)</f>
        <v>0</v>
      </c>
      <c r="AH315" s="367">
        <f>IF(AQ315="0",BJ315,0)</f>
        <v>0</v>
      </c>
      <c r="AI315" s="351" t="s">
        <v>7</v>
      </c>
      <c r="AJ315" s="367">
        <f>IF(AN315=0,K315,0)</f>
        <v>0</v>
      </c>
      <c r="AK315" s="367">
        <f>IF(AN315=15,K315,0)</f>
        <v>0</v>
      </c>
      <c r="AL315" s="367">
        <f>IF(AN315=21,K315,0)</f>
        <v>0</v>
      </c>
      <c r="AM315" s="311"/>
      <c r="AN315" s="367">
        <v>21</v>
      </c>
      <c r="AO315" s="367">
        <f>H315*0</f>
        <v>0</v>
      </c>
      <c r="AP315" s="367">
        <f>H315*(1-0)</f>
        <v>0</v>
      </c>
      <c r="AQ315" s="369" t="s">
        <v>2</v>
      </c>
      <c r="AR315" s="311"/>
      <c r="AS315" s="311"/>
      <c r="AT315" s="311"/>
      <c r="AU315" s="311"/>
      <c r="AV315" s="367">
        <f>AW315+AX315</f>
        <v>0</v>
      </c>
      <c r="AW315" s="367">
        <f>G315*AO315</f>
        <v>0</v>
      </c>
      <c r="AX315" s="367">
        <f>G315*AP315</f>
        <v>0</v>
      </c>
      <c r="AY315" s="369" t="s">
        <v>68</v>
      </c>
      <c r="AZ315" s="369" t="s">
        <v>33</v>
      </c>
      <c r="BA315" s="351" t="s">
        <v>3</v>
      </c>
      <c r="BB315" s="311"/>
      <c r="BC315" s="367">
        <f>AW315+AX315</f>
        <v>0</v>
      </c>
      <c r="BD315" s="367">
        <f>H315/(100-BE315)*100</f>
        <v>0</v>
      </c>
      <c r="BE315" s="367">
        <v>0</v>
      </c>
      <c r="BF315" s="367">
        <f>M315</f>
        <v>5.45927</v>
      </c>
      <c r="BG315" s="311"/>
      <c r="BH315" s="367">
        <f>G315*AO315</f>
        <v>0</v>
      </c>
      <c r="BI315" s="367">
        <f>G315*AP315</f>
        <v>0</v>
      </c>
      <c r="BJ315" s="367">
        <f>G315*H315</f>
        <v>0</v>
      </c>
      <c r="BK315" s="367"/>
      <c r="BL315" s="367">
        <v>97</v>
      </c>
      <c r="BM315" s="311"/>
      <c r="BN315" s="311"/>
      <c r="BO315" s="311"/>
      <c r="BP315" s="311"/>
      <c r="BQ315" s="311"/>
      <c r="BR315" s="311"/>
      <c r="BS315" s="311"/>
      <c r="BT315" s="311"/>
      <c r="BU315" s="311"/>
    </row>
    <row r="316" spans="1:73" ht="15" customHeight="1">
      <c r="A316" s="370"/>
      <c r="B316" s="311"/>
      <c r="C316" s="311"/>
      <c r="D316" s="371" t="s">
        <v>93</v>
      </c>
      <c r="E316" s="372"/>
      <c r="F316" s="311"/>
      <c r="G316" s="373">
        <v>92.53</v>
      </c>
      <c r="H316" s="327"/>
      <c r="I316" s="311"/>
      <c r="J316" s="311"/>
      <c r="K316" s="311"/>
      <c r="L316" s="311"/>
      <c r="M316" s="311"/>
      <c r="N316" s="374"/>
      <c r="O316" s="346"/>
      <c r="P316" s="346"/>
      <c r="Q316" s="346"/>
      <c r="R316" s="346"/>
      <c r="S316" s="346"/>
      <c r="T316" s="346"/>
      <c r="U316" s="346"/>
      <c r="V316" s="346"/>
      <c r="W316" s="346"/>
      <c r="X316" s="346"/>
      <c r="Y316" s="311"/>
      <c r="Z316" s="311"/>
      <c r="AA316" s="311"/>
      <c r="AB316" s="311"/>
      <c r="AC316" s="311"/>
      <c r="AD316" s="311"/>
      <c r="AE316" s="311"/>
      <c r="AF316" s="311"/>
      <c r="AG316" s="311"/>
      <c r="AH316" s="311"/>
      <c r="AI316" s="311"/>
      <c r="AJ316" s="311"/>
      <c r="AK316" s="311"/>
      <c r="AL316" s="311"/>
      <c r="AM316" s="311"/>
      <c r="AN316" s="311"/>
      <c r="AO316" s="311"/>
      <c r="AP316" s="311"/>
      <c r="AQ316" s="311"/>
      <c r="AR316" s="311"/>
      <c r="AS316" s="311"/>
      <c r="AT316" s="311"/>
      <c r="AU316" s="311"/>
      <c r="AV316" s="311"/>
      <c r="AW316" s="311"/>
      <c r="AX316" s="311"/>
      <c r="AY316" s="311"/>
      <c r="AZ316" s="311"/>
      <c r="BA316" s="311"/>
      <c r="BB316" s="311"/>
      <c r="BC316" s="311"/>
      <c r="BD316" s="311"/>
      <c r="BE316" s="311"/>
      <c r="BF316" s="311"/>
      <c r="BG316" s="311"/>
      <c r="BH316" s="311"/>
      <c r="BI316" s="311"/>
      <c r="BJ316" s="311"/>
      <c r="BK316" s="311"/>
      <c r="BL316" s="311"/>
      <c r="BM316" s="311"/>
      <c r="BN316" s="311"/>
      <c r="BO316" s="311"/>
      <c r="BP316" s="311"/>
      <c r="BQ316" s="311"/>
      <c r="BR316" s="311"/>
      <c r="BS316" s="311"/>
      <c r="BT316" s="311"/>
      <c r="BU316" s="311"/>
    </row>
    <row r="317" spans="1:73" ht="15" customHeight="1">
      <c r="A317" s="365" t="s">
        <v>92</v>
      </c>
      <c r="B317" s="366" t="s">
        <v>7</v>
      </c>
      <c r="C317" s="366" t="s">
        <v>91</v>
      </c>
      <c r="D317" s="304" t="s">
        <v>90</v>
      </c>
      <c r="E317" s="304"/>
      <c r="F317" s="366" t="s">
        <v>89</v>
      </c>
      <c r="G317" s="367">
        <f>'[2]Stavební rozpočet'!G290</f>
        <v>92.53</v>
      </c>
      <c r="H317" s="328">
        <v>0</v>
      </c>
      <c r="I317" s="367">
        <f>G317*AO317</f>
        <v>0</v>
      </c>
      <c r="J317" s="367">
        <f>G317*AP317</f>
        <v>0</v>
      </c>
      <c r="K317" s="367">
        <f>G317*H317</f>
        <v>0</v>
      </c>
      <c r="L317" s="367">
        <f>'[2]Stavební rozpočet'!L290</f>
        <v>0.014</v>
      </c>
      <c r="M317" s="367">
        <f>G317*L317</f>
        <v>1.29542</v>
      </c>
      <c r="N317" s="368" t="s">
        <v>36</v>
      </c>
      <c r="O317" s="346"/>
      <c r="P317" s="346"/>
      <c r="Q317" s="346"/>
      <c r="R317" s="346"/>
      <c r="S317" s="346"/>
      <c r="T317" s="346"/>
      <c r="U317" s="346"/>
      <c r="V317" s="346"/>
      <c r="W317" s="346"/>
      <c r="X317" s="346"/>
      <c r="Y317" s="311"/>
      <c r="Z317" s="367">
        <f>IF(AQ317="5",BJ317,0)</f>
        <v>0</v>
      </c>
      <c r="AA317" s="311"/>
      <c r="AB317" s="367">
        <f>IF(AQ317="1",BH317,0)</f>
        <v>0</v>
      </c>
      <c r="AC317" s="367">
        <f>IF(AQ317="1",BI317,0)</f>
        <v>0</v>
      </c>
      <c r="AD317" s="367">
        <f>IF(AQ317="7",BH317,0)</f>
        <v>0</v>
      </c>
      <c r="AE317" s="367">
        <f>IF(AQ317="7",BI317,0)</f>
        <v>0</v>
      </c>
      <c r="AF317" s="367">
        <f>IF(AQ317="2",BH317,0)</f>
        <v>0</v>
      </c>
      <c r="AG317" s="367">
        <f>IF(AQ317="2",BI317,0)</f>
        <v>0</v>
      </c>
      <c r="AH317" s="367">
        <f>IF(AQ317="0",BJ317,0)</f>
        <v>0</v>
      </c>
      <c r="AI317" s="351" t="s">
        <v>7</v>
      </c>
      <c r="AJ317" s="367">
        <f>IF(AN317=0,K317,0)</f>
        <v>0</v>
      </c>
      <c r="AK317" s="367">
        <f>IF(AN317=15,K317,0)</f>
        <v>0</v>
      </c>
      <c r="AL317" s="367">
        <f>IF(AN317=21,K317,0)</f>
        <v>0</v>
      </c>
      <c r="AM317" s="311"/>
      <c r="AN317" s="367">
        <v>21</v>
      </c>
      <c r="AO317" s="367">
        <f>H317*0</f>
        <v>0</v>
      </c>
      <c r="AP317" s="367">
        <f>H317*(1-0)</f>
        <v>0</v>
      </c>
      <c r="AQ317" s="369" t="s">
        <v>2</v>
      </c>
      <c r="AR317" s="311"/>
      <c r="AS317" s="311"/>
      <c r="AT317" s="311"/>
      <c r="AU317" s="311"/>
      <c r="AV317" s="367">
        <f>AW317+AX317</f>
        <v>0</v>
      </c>
      <c r="AW317" s="367">
        <f>G317*AO317</f>
        <v>0</v>
      </c>
      <c r="AX317" s="367">
        <f>G317*AP317</f>
        <v>0</v>
      </c>
      <c r="AY317" s="369" t="s">
        <v>68</v>
      </c>
      <c r="AZ317" s="369" t="s">
        <v>33</v>
      </c>
      <c r="BA317" s="351" t="s">
        <v>3</v>
      </c>
      <c r="BB317" s="311"/>
      <c r="BC317" s="367">
        <f>AW317+AX317</f>
        <v>0</v>
      </c>
      <c r="BD317" s="367">
        <f>H317/(100-BE317)*100</f>
        <v>0</v>
      </c>
      <c r="BE317" s="367">
        <v>0</v>
      </c>
      <c r="BF317" s="367">
        <f>M317</f>
        <v>1.29542</v>
      </c>
      <c r="BG317" s="311"/>
      <c r="BH317" s="367">
        <f>G317*AO317</f>
        <v>0</v>
      </c>
      <c r="BI317" s="367">
        <f>G317*AP317</f>
        <v>0</v>
      </c>
      <c r="BJ317" s="367">
        <f>G317*H317</f>
        <v>0</v>
      </c>
      <c r="BK317" s="367"/>
      <c r="BL317" s="367">
        <v>97</v>
      </c>
      <c r="BM317" s="311"/>
      <c r="BN317" s="311"/>
      <c r="BO317" s="311"/>
      <c r="BP317" s="311"/>
      <c r="BQ317" s="311"/>
      <c r="BR317" s="311"/>
      <c r="BS317" s="311"/>
      <c r="BT317" s="311"/>
      <c r="BU317" s="311"/>
    </row>
    <row r="318" spans="1:73" ht="15" customHeight="1">
      <c r="A318" s="370"/>
      <c r="B318" s="311"/>
      <c r="C318" s="311"/>
      <c r="D318" s="371" t="s">
        <v>88</v>
      </c>
      <c r="E318" s="372"/>
      <c r="F318" s="311"/>
      <c r="G318" s="373">
        <v>92.53</v>
      </c>
      <c r="H318" s="327"/>
      <c r="I318" s="311"/>
      <c r="J318" s="311"/>
      <c r="K318" s="311"/>
      <c r="L318" s="311"/>
      <c r="M318" s="311"/>
      <c r="N318" s="374"/>
      <c r="O318" s="346"/>
      <c r="P318" s="346"/>
      <c r="Q318" s="346"/>
      <c r="R318" s="346"/>
      <c r="S318" s="346"/>
      <c r="T318" s="346"/>
      <c r="U318" s="346"/>
      <c r="V318" s="346"/>
      <c r="W318" s="346"/>
      <c r="X318" s="346"/>
      <c r="Y318" s="311"/>
      <c r="Z318" s="311"/>
      <c r="AA318" s="311"/>
      <c r="AB318" s="311"/>
      <c r="AC318" s="311"/>
      <c r="AD318" s="311"/>
      <c r="AE318" s="311"/>
      <c r="AF318" s="311"/>
      <c r="AG318" s="311"/>
      <c r="AH318" s="311"/>
      <c r="AI318" s="311"/>
      <c r="AJ318" s="311"/>
      <c r="AK318" s="311"/>
      <c r="AL318" s="311"/>
      <c r="AM318" s="311"/>
      <c r="AN318" s="311"/>
      <c r="AO318" s="311"/>
      <c r="AP318" s="311"/>
      <c r="AQ318" s="311"/>
      <c r="AR318" s="311"/>
      <c r="AS318" s="311"/>
      <c r="AT318" s="311"/>
      <c r="AU318" s="311"/>
      <c r="AV318" s="311"/>
      <c r="AW318" s="311"/>
      <c r="AX318" s="311"/>
      <c r="AY318" s="311"/>
      <c r="AZ318" s="311"/>
      <c r="BA318" s="311"/>
      <c r="BB318" s="311"/>
      <c r="BC318" s="311"/>
      <c r="BD318" s="311"/>
      <c r="BE318" s="311"/>
      <c r="BF318" s="311"/>
      <c r="BG318" s="311"/>
      <c r="BH318" s="311"/>
      <c r="BI318" s="311"/>
      <c r="BJ318" s="311"/>
      <c r="BK318" s="311"/>
      <c r="BL318" s="311"/>
      <c r="BM318" s="311"/>
      <c r="BN318" s="311"/>
      <c r="BO318" s="311"/>
      <c r="BP318" s="311"/>
      <c r="BQ318" s="311"/>
      <c r="BR318" s="311"/>
      <c r="BS318" s="311"/>
      <c r="BT318" s="311"/>
      <c r="BU318" s="311"/>
    </row>
    <row r="319" spans="1:73" ht="15" customHeight="1">
      <c r="A319" s="365" t="s">
        <v>87</v>
      </c>
      <c r="B319" s="366" t="s">
        <v>7</v>
      </c>
      <c r="C319" s="366" t="s">
        <v>86</v>
      </c>
      <c r="D319" s="304" t="s">
        <v>85</v>
      </c>
      <c r="E319" s="304"/>
      <c r="F319" s="366" t="s">
        <v>79</v>
      </c>
      <c r="G319" s="367">
        <f>'[2]Stavební rozpočet'!G292</f>
        <v>2.8146</v>
      </c>
      <c r="H319" s="328">
        <v>0</v>
      </c>
      <c r="I319" s="367">
        <f>G319*AO319</f>
        <v>0</v>
      </c>
      <c r="J319" s="367">
        <f>G319*AP319</f>
        <v>0</v>
      </c>
      <c r="K319" s="367">
        <f>G319*H319</f>
        <v>0</v>
      </c>
      <c r="L319" s="367">
        <f>'[2]Stavební rozpočet'!L292</f>
        <v>2.50133</v>
      </c>
      <c r="M319" s="367">
        <f>G319*L319</f>
        <v>7.040243417999999</v>
      </c>
      <c r="N319" s="368" t="s">
        <v>36</v>
      </c>
      <c r="O319" s="346"/>
      <c r="P319" s="346"/>
      <c r="Q319" s="346"/>
      <c r="R319" s="346"/>
      <c r="S319" s="346"/>
      <c r="T319" s="346"/>
      <c r="U319" s="346"/>
      <c r="V319" s="346"/>
      <c r="W319" s="346"/>
      <c r="X319" s="346"/>
      <c r="Y319" s="311"/>
      <c r="Z319" s="367">
        <f>IF(AQ319="5",BJ319,0)</f>
        <v>0</v>
      </c>
      <c r="AA319" s="311"/>
      <c r="AB319" s="367">
        <f>IF(AQ319="1",BH319,0)</f>
        <v>0</v>
      </c>
      <c r="AC319" s="367">
        <f>IF(AQ319="1",BI319,0)</f>
        <v>0</v>
      </c>
      <c r="AD319" s="367">
        <f>IF(AQ319="7",BH319,0)</f>
        <v>0</v>
      </c>
      <c r="AE319" s="367">
        <f>IF(AQ319="7",BI319,0)</f>
        <v>0</v>
      </c>
      <c r="AF319" s="367">
        <f>IF(AQ319="2",BH319,0)</f>
        <v>0</v>
      </c>
      <c r="AG319" s="367">
        <f>IF(AQ319="2",BI319,0)</f>
        <v>0</v>
      </c>
      <c r="AH319" s="367">
        <f>IF(AQ319="0",BJ319,0)</f>
        <v>0</v>
      </c>
      <c r="AI319" s="351" t="s">
        <v>7</v>
      </c>
      <c r="AJ319" s="367">
        <f>IF(AN319=0,K319,0)</f>
        <v>0</v>
      </c>
      <c r="AK319" s="367">
        <f>IF(AN319=15,K319,0)</f>
        <v>0</v>
      </c>
      <c r="AL319" s="367">
        <f>IF(AN319=21,K319,0)</f>
        <v>0</v>
      </c>
      <c r="AM319" s="311"/>
      <c r="AN319" s="367">
        <v>21</v>
      </c>
      <c r="AO319" s="367">
        <f>H319*0.0153714076674624</f>
        <v>0</v>
      </c>
      <c r="AP319" s="367">
        <f>H319*(1-0.0153714076674624)</f>
        <v>0</v>
      </c>
      <c r="AQ319" s="369" t="s">
        <v>2</v>
      </c>
      <c r="AR319" s="311"/>
      <c r="AS319" s="311"/>
      <c r="AT319" s="311"/>
      <c r="AU319" s="311"/>
      <c r="AV319" s="367">
        <f>AW319+AX319</f>
        <v>0</v>
      </c>
      <c r="AW319" s="367">
        <f>G319*AO319</f>
        <v>0</v>
      </c>
      <c r="AX319" s="367">
        <f>G319*AP319</f>
        <v>0</v>
      </c>
      <c r="AY319" s="369" t="s">
        <v>68</v>
      </c>
      <c r="AZ319" s="369" t="s">
        <v>33</v>
      </c>
      <c r="BA319" s="351" t="s">
        <v>3</v>
      </c>
      <c r="BB319" s="311"/>
      <c r="BC319" s="367">
        <f>AW319+AX319</f>
        <v>0</v>
      </c>
      <c r="BD319" s="367">
        <f>H319/(100-BE319)*100</f>
        <v>0</v>
      </c>
      <c r="BE319" s="367">
        <v>0</v>
      </c>
      <c r="BF319" s="367">
        <f>M319</f>
        <v>7.040243417999999</v>
      </c>
      <c r="BG319" s="311"/>
      <c r="BH319" s="367">
        <f>G319*AO319</f>
        <v>0</v>
      </c>
      <c r="BI319" s="367">
        <f>G319*AP319</f>
        <v>0</v>
      </c>
      <c r="BJ319" s="367">
        <f>G319*H319</f>
        <v>0</v>
      </c>
      <c r="BK319" s="367"/>
      <c r="BL319" s="367">
        <v>97</v>
      </c>
      <c r="BM319" s="311"/>
      <c r="BN319" s="311"/>
      <c r="BO319" s="311"/>
      <c r="BP319" s="311"/>
      <c r="BQ319" s="311"/>
      <c r="BR319" s="311"/>
      <c r="BS319" s="311"/>
      <c r="BT319" s="311"/>
      <c r="BU319" s="311"/>
    </row>
    <row r="320" spans="1:73" ht="15" customHeight="1">
      <c r="A320" s="370"/>
      <c r="B320" s="311"/>
      <c r="C320" s="311"/>
      <c r="D320" s="371" t="s">
        <v>84</v>
      </c>
      <c r="E320" s="372"/>
      <c r="F320" s="311"/>
      <c r="G320" s="373">
        <v>0.6930000000000001</v>
      </c>
      <c r="H320" s="327"/>
      <c r="I320" s="311"/>
      <c r="J320" s="311"/>
      <c r="K320" s="311"/>
      <c r="L320" s="311"/>
      <c r="M320" s="311"/>
      <c r="N320" s="374"/>
      <c r="O320" s="346"/>
      <c r="P320" s="346"/>
      <c r="Q320" s="346"/>
      <c r="R320" s="346"/>
      <c r="S320" s="346"/>
      <c r="T320" s="346"/>
      <c r="U320" s="346"/>
      <c r="V320" s="346"/>
      <c r="W320" s="346"/>
      <c r="X320" s="346"/>
      <c r="Y320" s="311"/>
      <c r="Z320" s="311"/>
      <c r="AA320" s="311"/>
      <c r="AB320" s="311"/>
      <c r="AC320" s="311"/>
      <c r="AD320" s="311"/>
      <c r="AE320" s="311"/>
      <c r="AF320" s="311"/>
      <c r="AG320" s="311"/>
      <c r="AH320" s="311"/>
      <c r="AI320" s="311"/>
      <c r="AJ320" s="311"/>
      <c r="AK320" s="311"/>
      <c r="AL320" s="311"/>
      <c r="AM320" s="311"/>
      <c r="AN320" s="311"/>
      <c r="AO320" s="311"/>
      <c r="AP320" s="311"/>
      <c r="AQ320" s="311"/>
      <c r="AR320" s="311"/>
      <c r="AS320" s="311"/>
      <c r="AT320" s="311"/>
      <c r="AU320" s="311"/>
      <c r="AV320" s="311"/>
      <c r="AW320" s="311"/>
      <c r="AX320" s="311"/>
      <c r="AY320" s="311"/>
      <c r="AZ320" s="311"/>
      <c r="BA320" s="311"/>
      <c r="BB320" s="311"/>
      <c r="BC320" s="311"/>
      <c r="BD320" s="311"/>
      <c r="BE320" s="311"/>
      <c r="BF320" s="311"/>
      <c r="BG320" s="311"/>
      <c r="BH320" s="311"/>
      <c r="BI320" s="311"/>
      <c r="BJ320" s="311"/>
      <c r="BK320" s="311"/>
      <c r="BL320" s="311"/>
      <c r="BM320" s="311"/>
      <c r="BN320" s="311"/>
      <c r="BO320" s="311"/>
      <c r="BP320" s="311"/>
      <c r="BQ320" s="311"/>
      <c r="BR320" s="311"/>
      <c r="BS320" s="311"/>
      <c r="BT320" s="311"/>
      <c r="BU320" s="311"/>
    </row>
    <row r="321" spans="1:73" ht="15" customHeight="1">
      <c r="A321" s="370"/>
      <c r="B321" s="311"/>
      <c r="C321" s="311"/>
      <c r="D321" s="371" t="s">
        <v>83</v>
      </c>
      <c r="E321" s="372"/>
      <c r="F321" s="311"/>
      <c r="G321" s="373">
        <v>2.1216000000000004</v>
      </c>
      <c r="H321" s="327"/>
      <c r="I321" s="311"/>
      <c r="J321" s="311"/>
      <c r="K321" s="311"/>
      <c r="L321" s="311"/>
      <c r="M321" s="311"/>
      <c r="N321" s="374"/>
      <c r="O321" s="346"/>
      <c r="P321" s="346"/>
      <c r="Q321" s="346"/>
      <c r="R321" s="346"/>
      <c r="S321" s="346"/>
      <c r="T321" s="346"/>
      <c r="U321" s="346"/>
      <c r="V321" s="346"/>
      <c r="W321" s="346"/>
      <c r="X321" s="346"/>
      <c r="Y321" s="311"/>
      <c r="Z321" s="311"/>
      <c r="AA321" s="311"/>
      <c r="AB321" s="311"/>
      <c r="AC321" s="311"/>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1"/>
      <c r="AY321" s="311"/>
      <c r="AZ321" s="311"/>
      <c r="BA321" s="311"/>
      <c r="BB321" s="311"/>
      <c r="BC321" s="311"/>
      <c r="BD321" s="311"/>
      <c r="BE321" s="311"/>
      <c r="BF321" s="311"/>
      <c r="BG321" s="311"/>
      <c r="BH321" s="311"/>
      <c r="BI321" s="311"/>
      <c r="BJ321" s="311"/>
      <c r="BK321" s="311"/>
      <c r="BL321" s="311"/>
      <c r="BM321" s="311"/>
      <c r="BN321" s="311"/>
      <c r="BO321" s="311"/>
      <c r="BP321" s="311"/>
      <c r="BQ321" s="311"/>
      <c r="BR321" s="311"/>
      <c r="BS321" s="311"/>
      <c r="BT321" s="311"/>
      <c r="BU321" s="311"/>
    </row>
    <row r="322" spans="1:73" ht="15" customHeight="1">
      <c r="A322" s="365" t="s">
        <v>82</v>
      </c>
      <c r="B322" s="366" t="s">
        <v>7</v>
      </c>
      <c r="C322" s="366" t="s">
        <v>81</v>
      </c>
      <c r="D322" s="304" t="s">
        <v>80</v>
      </c>
      <c r="E322" s="304"/>
      <c r="F322" s="366" t="s">
        <v>79</v>
      </c>
      <c r="G322" s="367">
        <f>'[2]Stavební rozpočet'!G295</f>
        <v>1.1745</v>
      </c>
      <c r="H322" s="328">
        <v>0</v>
      </c>
      <c r="I322" s="367">
        <f>G322*AO322</f>
        <v>0</v>
      </c>
      <c r="J322" s="367">
        <f>G322*AP322</f>
        <v>0</v>
      </c>
      <c r="K322" s="367">
        <f>G322*H322</f>
        <v>0</v>
      </c>
      <c r="L322" s="367">
        <f>'[2]Stavební rozpočet'!L295</f>
        <v>1.80182</v>
      </c>
      <c r="M322" s="367">
        <f>G322*L322</f>
        <v>2.1162375900000003</v>
      </c>
      <c r="N322" s="368" t="s">
        <v>36</v>
      </c>
      <c r="O322" s="346"/>
      <c r="P322" s="346"/>
      <c r="Q322" s="346"/>
      <c r="R322" s="346"/>
      <c r="S322" s="346"/>
      <c r="T322" s="346"/>
      <c r="U322" s="346"/>
      <c r="V322" s="346"/>
      <c r="W322" s="346"/>
      <c r="X322" s="346"/>
      <c r="Y322" s="311"/>
      <c r="Z322" s="367">
        <f>IF(AQ322="5",BJ322,0)</f>
        <v>0</v>
      </c>
      <c r="AA322" s="311"/>
      <c r="AB322" s="367">
        <f>IF(AQ322="1",BH322,0)</f>
        <v>0</v>
      </c>
      <c r="AC322" s="367">
        <f>IF(AQ322="1",BI322,0)</f>
        <v>0</v>
      </c>
      <c r="AD322" s="367">
        <f>IF(AQ322="7",BH322,0)</f>
        <v>0</v>
      </c>
      <c r="AE322" s="367">
        <f>IF(AQ322="7",BI322,0)</f>
        <v>0</v>
      </c>
      <c r="AF322" s="367">
        <f>IF(AQ322="2",BH322,0)</f>
        <v>0</v>
      </c>
      <c r="AG322" s="367">
        <f>IF(AQ322="2",BI322,0)</f>
        <v>0</v>
      </c>
      <c r="AH322" s="367">
        <f>IF(AQ322="0",BJ322,0)</f>
        <v>0</v>
      </c>
      <c r="AI322" s="351" t="s">
        <v>7</v>
      </c>
      <c r="AJ322" s="367">
        <f>IF(AN322=0,K322,0)</f>
        <v>0</v>
      </c>
      <c r="AK322" s="367">
        <f>IF(AN322=15,K322,0)</f>
        <v>0</v>
      </c>
      <c r="AL322" s="367">
        <f>IF(AN322=21,K322,0)</f>
        <v>0</v>
      </c>
      <c r="AM322" s="311"/>
      <c r="AN322" s="367">
        <v>21</v>
      </c>
      <c r="AO322" s="367">
        <f>H322*0.0370817769477054</f>
        <v>0</v>
      </c>
      <c r="AP322" s="367">
        <f>H322*(1-0.0370817769477054)</f>
        <v>0</v>
      </c>
      <c r="AQ322" s="369" t="s">
        <v>2</v>
      </c>
      <c r="AR322" s="311"/>
      <c r="AS322" s="311"/>
      <c r="AT322" s="311"/>
      <c r="AU322" s="311"/>
      <c r="AV322" s="367">
        <f>AW322+AX322</f>
        <v>0</v>
      </c>
      <c r="AW322" s="367">
        <f>G322*AO322</f>
        <v>0</v>
      </c>
      <c r="AX322" s="367">
        <f>G322*AP322</f>
        <v>0</v>
      </c>
      <c r="AY322" s="369" t="s">
        <v>68</v>
      </c>
      <c r="AZ322" s="369" t="s">
        <v>33</v>
      </c>
      <c r="BA322" s="351" t="s">
        <v>3</v>
      </c>
      <c r="BB322" s="311"/>
      <c r="BC322" s="367">
        <f>AW322+AX322</f>
        <v>0</v>
      </c>
      <c r="BD322" s="367">
        <f>H322/(100-BE322)*100</f>
        <v>0</v>
      </c>
      <c r="BE322" s="367">
        <v>0</v>
      </c>
      <c r="BF322" s="367">
        <f>M322</f>
        <v>2.1162375900000003</v>
      </c>
      <c r="BG322" s="311"/>
      <c r="BH322" s="367">
        <f>G322*AO322</f>
        <v>0</v>
      </c>
      <c r="BI322" s="367">
        <f>G322*AP322</f>
        <v>0</v>
      </c>
      <c r="BJ322" s="367">
        <f>G322*H322</f>
        <v>0</v>
      </c>
      <c r="BK322" s="367"/>
      <c r="BL322" s="367">
        <v>97</v>
      </c>
      <c r="BM322" s="311"/>
      <c r="BN322" s="311"/>
      <c r="BO322" s="311"/>
      <c r="BP322" s="311"/>
      <c r="BQ322" s="311"/>
      <c r="BR322" s="311"/>
      <c r="BS322" s="311"/>
      <c r="BT322" s="311"/>
      <c r="BU322" s="311"/>
    </row>
    <row r="323" spans="1:73" ht="15" customHeight="1">
      <c r="A323" s="370"/>
      <c r="B323" s="311"/>
      <c r="C323" s="311"/>
      <c r="D323" s="371" t="s">
        <v>78</v>
      </c>
      <c r="E323" s="372"/>
      <c r="F323" s="311"/>
      <c r="G323" s="373">
        <v>0.6615000000000001</v>
      </c>
      <c r="H323" s="327"/>
      <c r="I323" s="311"/>
      <c r="J323" s="311"/>
      <c r="K323" s="311"/>
      <c r="L323" s="311"/>
      <c r="M323" s="311"/>
      <c r="N323" s="374"/>
      <c r="O323" s="346"/>
      <c r="P323" s="346"/>
      <c r="Q323" s="346"/>
      <c r="R323" s="346"/>
      <c r="S323" s="346"/>
      <c r="T323" s="346"/>
      <c r="U323" s="346"/>
      <c r="V323" s="346"/>
      <c r="W323" s="346"/>
      <c r="X323" s="346"/>
      <c r="Y323" s="311"/>
      <c r="Z323" s="311"/>
      <c r="AA323" s="311"/>
      <c r="AB323" s="311"/>
      <c r="AC323" s="311"/>
      <c r="AD323" s="311"/>
      <c r="AE323" s="311"/>
      <c r="AF323" s="311"/>
      <c r="AG323" s="311"/>
      <c r="AH323" s="311"/>
      <c r="AI323" s="311"/>
      <c r="AJ323" s="311"/>
      <c r="AK323" s="311"/>
      <c r="AL323" s="311"/>
      <c r="AM323" s="311"/>
      <c r="AN323" s="311"/>
      <c r="AO323" s="311"/>
      <c r="AP323" s="311"/>
      <c r="AQ323" s="311"/>
      <c r="AR323" s="311"/>
      <c r="AS323" s="311"/>
      <c r="AT323" s="311"/>
      <c r="AU323" s="311"/>
      <c r="AV323" s="311"/>
      <c r="AW323" s="311"/>
      <c r="AX323" s="311"/>
      <c r="AY323" s="311"/>
      <c r="AZ323" s="311"/>
      <c r="BA323" s="311"/>
      <c r="BB323" s="311"/>
      <c r="BC323" s="311"/>
      <c r="BD323" s="311"/>
      <c r="BE323" s="311"/>
      <c r="BF323" s="311"/>
      <c r="BG323" s="311"/>
      <c r="BH323" s="311"/>
      <c r="BI323" s="311"/>
      <c r="BJ323" s="311"/>
      <c r="BK323" s="311"/>
      <c r="BL323" s="311"/>
      <c r="BM323" s="311"/>
      <c r="BN323" s="311"/>
      <c r="BO323" s="311"/>
      <c r="BP323" s="311"/>
      <c r="BQ323" s="311"/>
      <c r="BR323" s="311"/>
      <c r="BS323" s="311"/>
      <c r="BT323" s="311"/>
      <c r="BU323" s="311"/>
    </row>
    <row r="324" spans="1:73" ht="15" customHeight="1">
      <c r="A324" s="370"/>
      <c r="B324" s="311"/>
      <c r="C324" s="311"/>
      <c r="D324" s="371" t="s">
        <v>77</v>
      </c>
      <c r="E324" s="372"/>
      <c r="F324" s="311"/>
      <c r="G324" s="373">
        <v>0.513</v>
      </c>
      <c r="H324" s="327"/>
      <c r="I324" s="311"/>
      <c r="J324" s="311"/>
      <c r="K324" s="311"/>
      <c r="L324" s="311"/>
      <c r="M324" s="311"/>
      <c r="N324" s="374"/>
      <c r="O324" s="346"/>
      <c r="P324" s="346"/>
      <c r="Q324" s="346"/>
      <c r="R324" s="346"/>
      <c r="S324" s="346"/>
      <c r="T324" s="346"/>
      <c r="U324" s="346"/>
      <c r="V324" s="346"/>
      <c r="W324" s="346"/>
      <c r="X324" s="346"/>
      <c r="Y324" s="311"/>
      <c r="Z324" s="311"/>
      <c r="AA324" s="311"/>
      <c r="AB324" s="311"/>
      <c r="AC324" s="311"/>
      <c r="AD324" s="311"/>
      <c r="AE324" s="311"/>
      <c r="AF324" s="311"/>
      <c r="AG324" s="311"/>
      <c r="AH324" s="311"/>
      <c r="AI324" s="311"/>
      <c r="AJ324" s="311"/>
      <c r="AK324" s="311"/>
      <c r="AL324" s="311"/>
      <c r="AM324" s="311"/>
      <c r="AN324" s="311"/>
      <c r="AO324" s="311"/>
      <c r="AP324" s="311"/>
      <c r="AQ324" s="311"/>
      <c r="AR324" s="311"/>
      <c r="AS324" s="311"/>
      <c r="AT324" s="311"/>
      <c r="AU324" s="311"/>
      <c r="AV324" s="311"/>
      <c r="AW324" s="311"/>
      <c r="AX324" s="311"/>
      <c r="AY324" s="311"/>
      <c r="AZ324" s="311"/>
      <c r="BA324" s="311"/>
      <c r="BB324" s="311"/>
      <c r="BC324" s="311"/>
      <c r="BD324" s="311"/>
      <c r="BE324" s="311"/>
      <c r="BF324" s="311"/>
      <c r="BG324" s="311"/>
      <c r="BH324" s="311"/>
      <c r="BI324" s="311"/>
      <c r="BJ324" s="311"/>
      <c r="BK324" s="311"/>
      <c r="BL324" s="311"/>
      <c r="BM324" s="311"/>
      <c r="BN324" s="311"/>
      <c r="BO324" s="311"/>
      <c r="BP324" s="311"/>
      <c r="BQ324" s="311"/>
      <c r="BR324" s="311"/>
      <c r="BS324" s="311"/>
      <c r="BT324" s="311"/>
      <c r="BU324" s="311"/>
    </row>
    <row r="325" spans="1:73" ht="15" customHeight="1">
      <c r="A325" s="365" t="s">
        <v>76</v>
      </c>
      <c r="B325" s="366" t="s">
        <v>7</v>
      </c>
      <c r="C325" s="366" t="s">
        <v>75</v>
      </c>
      <c r="D325" s="304" t="s">
        <v>74</v>
      </c>
      <c r="E325" s="304"/>
      <c r="F325" s="366" t="s">
        <v>73</v>
      </c>
      <c r="G325" s="367">
        <f>'[2]Stavební rozpočet'!G298</f>
        <v>14</v>
      </c>
      <c r="H325" s="328">
        <v>0</v>
      </c>
      <c r="I325" s="367">
        <f>G325*AO325</f>
        <v>0</v>
      </c>
      <c r="J325" s="367">
        <f>G325*AP325</f>
        <v>0</v>
      </c>
      <c r="K325" s="367">
        <f>G325*H325</f>
        <v>0</v>
      </c>
      <c r="L325" s="367">
        <f>'[2]Stavební rozpočet'!L298</f>
        <v>0.008</v>
      </c>
      <c r="M325" s="367">
        <f>G325*L325</f>
        <v>0.112</v>
      </c>
      <c r="N325" s="368" t="s">
        <v>36</v>
      </c>
      <c r="O325" s="346"/>
      <c r="P325" s="346"/>
      <c r="Q325" s="346"/>
      <c r="R325" s="346"/>
      <c r="S325" s="346"/>
      <c r="T325" s="346"/>
      <c r="U325" s="346"/>
      <c r="V325" s="346"/>
      <c r="W325" s="346"/>
      <c r="X325" s="346"/>
      <c r="Y325" s="311"/>
      <c r="Z325" s="367">
        <f>IF(AQ325="5",BJ325,0)</f>
        <v>0</v>
      </c>
      <c r="AA325" s="311"/>
      <c r="AB325" s="367">
        <f>IF(AQ325="1",BH325,0)</f>
        <v>0</v>
      </c>
      <c r="AC325" s="367">
        <f>IF(AQ325="1",BI325,0)</f>
        <v>0</v>
      </c>
      <c r="AD325" s="367">
        <f>IF(AQ325="7",BH325,0)</f>
        <v>0</v>
      </c>
      <c r="AE325" s="367">
        <f>IF(AQ325="7",BI325,0)</f>
        <v>0</v>
      </c>
      <c r="AF325" s="367">
        <f>IF(AQ325="2",BH325,0)</f>
        <v>0</v>
      </c>
      <c r="AG325" s="367">
        <f>IF(AQ325="2",BI325,0)</f>
        <v>0</v>
      </c>
      <c r="AH325" s="367">
        <f>IF(AQ325="0",BJ325,0)</f>
        <v>0</v>
      </c>
      <c r="AI325" s="351" t="s">
        <v>7</v>
      </c>
      <c r="AJ325" s="367">
        <f>IF(AN325=0,K325,0)</f>
        <v>0</v>
      </c>
      <c r="AK325" s="367">
        <f>IF(AN325=15,K325,0)</f>
        <v>0</v>
      </c>
      <c r="AL325" s="367">
        <f>IF(AN325=21,K325,0)</f>
        <v>0</v>
      </c>
      <c r="AM325" s="311"/>
      <c r="AN325" s="367">
        <v>21</v>
      </c>
      <c r="AO325" s="367">
        <f>H325*0</f>
        <v>0</v>
      </c>
      <c r="AP325" s="367">
        <f>H325*(1-0)</f>
        <v>0</v>
      </c>
      <c r="AQ325" s="369" t="s">
        <v>2</v>
      </c>
      <c r="AR325" s="311"/>
      <c r="AS325" s="311"/>
      <c r="AT325" s="311"/>
      <c r="AU325" s="311"/>
      <c r="AV325" s="367">
        <f>AW325+AX325</f>
        <v>0</v>
      </c>
      <c r="AW325" s="367">
        <f>G325*AO325</f>
        <v>0</v>
      </c>
      <c r="AX325" s="367">
        <f>G325*AP325</f>
        <v>0</v>
      </c>
      <c r="AY325" s="369" t="s">
        <v>68</v>
      </c>
      <c r="AZ325" s="369" t="s">
        <v>33</v>
      </c>
      <c r="BA325" s="351" t="s">
        <v>3</v>
      </c>
      <c r="BB325" s="311"/>
      <c r="BC325" s="367">
        <f>AW325+AX325</f>
        <v>0</v>
      </c>
      <c r="BD325" s="367">
        <f>H325/(100-BE325)*100</f>
        <v>0</v>
      </c>
      <c r="BE325" s="367">
        <v>0</v>
      </c>
      <c r="BF325" s="367">
        <f>M325</f>
        <v>0.112</v>
      </c>
      <c r="BG325" s="311"/>
      <c r="BH325" s="367">
        <f>G325*AO325</f>
        <v>0</v>
      </c>
      <c r="BI325" s="367">
        <f>G325*AP325</f>
        <v>0</v>
      </c>
      <c r="BJ325" s="367">
        <f>G325*H325</f>
        <v>0</v>
      </c>
      <c r="BK325" s="367"/>
      <c r="BL325" s="367">
        <v>97</v>
      </c>
      <c r="BM325" s="311"/>
      <c r="BN325" s="311"/>
      <c r="BO325" s="311"/>
      <c r="BP325" s="311"/>
      <c r="BQ325" s="311"/>
      <c r="BR325" s="311"/>
      <c r="BS325" s="311"/>
      <c r="BT325" s="311"/>
      <c r="BU325" s="311"/>
    </row>
    <row r="326" spans="1:73" ht="15" customHeight="1">
      <c r="A326" s="370"/>
      <c r="B326" s="311"/>
      <c r="C326" s="311"/>
      <c r="D326" s="371" t="s">
        <v>72</v>
      </c>
      <c r="E326" s="372"/>
      <c r="F326" s="311"/>
      <c r="G326" s="373">
        <v>14.000000000000002</v>
      </c>
      <c r="H326" s="327"/>
      <c r="I326" s="311"/>
      <c r="J326" s="311"/>
      <c r="K326" s="311"/>
      <c r="L326" s="311"/>
      <c r="M326" s="311"/>
      <c r="N326" s="374"/>
      <c r="O326" s="346"/>
      <c r="P326" s="346"/>
      <c r="Q326" s="346"/>
      <c r="R326" s="346"/>
      <c r="S326" s="346"/>
      <c r="T326" s="346"/>
      <c r="U326" s="346"/>
      <c r="V326" s="346"/>
      <c r="W326" s="346"/>
      <c r="X326" s="346"/>
      <c r="Y326" s="311"/>
      <c r="Z326" s="311"/>
      <c r="AA326" s="311"/>
      <c r="AB326" s="311"/>
      <c r="AC326" s="311"/>
      <c r="AD326" s="311"/>
      <c r="AE326" s="311"/>
      <c r="AF326" s="311"/>
      <c r="AG326" s="311"/>
      <c r="AH326" s="311"/>
      <c r="AI326" s="311"/>
      <c r="AJ326" s="311"/>
      <c r="AK326" s="311"/>
      <c r="AL326" s="311"/>
      <c r="AM326" s="311"/>
      <c r="AN326" s="311"/>
      <c r="AO326" s="311"/>
      <c r="AP326" s="311"/>
      <c r="AQ326" s="311"/>
      <c r="AR326" s="311"/>
      <c r="AS326" s="311"/>
      <c r="AT326" s="311"/>
      <c r="AU326" s="311"/>
      <c r="AV326" s="311"/>
      <c r="AW326" s="311"/>
      <c r="AX326" s="311"/>
      <c r="AY326" s="311"/>
      <c r="AZ326" s="311"/>
      <c r="BA326" s="311"/>
      <c r="BB326" s="311"/>
      <c r="BC326" s="311"/>
      <c r="BD326" s="311"/>
      <c r="BE326" s="311"/>
      <c r="BF326" s="311"/>
      <c r="BG326" s="311"/>
      <c r="BH326" s="311"/>
      <c r="BI326" s="311"/>
      <c r="BJ326" s="311"/>
      <c r="BK326" s="311"/>
      <c r="BL326" s="311"/>
      <c r="BM326" s="311"/>
      <c r="BN326" s="311"/>
      <c r="BO326" s="311"/>
      <c r="BP326" s="311"/>
      <c r="BQ326" s="311"/>
      <c r="BR326" s="311"/>
      <c r="BS326" s="311"/>
      <c r="BT326" s="311"/>
      <c r="BU326" s="311"/>
    </row>
    <row r="327" spans="1:73" ht="15" customHeight="1">
      <c r="A327" s="365" t="s">
        <v>6</v>
      </c>
      <c r="B327" s="366" t="s">
        <v>7</v>
      </c>
      <c r="C327" s="366" t="s">
        <v>71</v>
      </c>
      <c r="D327" s="304" t="s">
        <v>70</v>
      </c>
      <c r="E327" s="304"/>
      <c r="F327" s="366" t="s">
        <v>69</v>
      </c>
      <c r="G327" s="367">
        <f>'[2]Stavební rozpočet'!G300</f>
        <v>4.45</v>
      </c>
      <c r="H327" s="328">
        <v>0</v>
      </c>
      <c r="I327" s="367">
        <f>G327*AO327</f>
        <v>0</v>
      </c>
      <c r="J327" s="367">
        <f>G327*AP327</f>
        <v>0</v>
      </c>
      <c r="K327" s="367">
        <f>G327*H327</f>
        <v>0</v>
      </c>
      <c r="L327" s="367">
        <f>'[2]Stavební rozpočet'!L300</f>
        <v>0.05024</v>
      </c>
      <c r="M327" s="367">
        <f>G327*L327</f>
        <v>0.22356800000000002</v>
      </c>
      <c r="N327" s="368" t="s">
        <v>36</v>
      </c>
      <c r="O327" s="346"/>
      <c r="P327" s="346"/>
      <c r="Q327" s="346"/>
      <c r="R327" s="346"/>
      <c r="S327" s="346"/>
      <c r="T327" s="346"/>
      <c r="U327" s="346"/>
      <c r="V327" s="346"/>
      <c r="W327" s="346"/>
      <c r="X327" s="346"/>
      <c r="Y327" s="311"/>
      <c r="Z327" s="367">
        <f>IF(AQ327="5",BJ327,0)</f>
        <v>0</v>
      </c>
      <c r="AA327" s="311"/>
      <c r="AB327" s="367">
        <f>IF(AQ327="1",BH327,0)</f>
        <v>0</v>
      </c>
      <c r="AC327" s="367">
        <f>IF(AQ327="1",BI327,0)</f>
        <v>0</v>
      </c>
      <c r="AD327" s="367">
        <f>IF(AQ327="7",BH327,0)</f>
        <v>0</v>
      </c>
      <c r="AE327" s="367">
        <f>IF(AQ327="7",BI327,0)</f>
        <v>0</v>
      </c>
      <c r="AF327" s="367">
        <f>IF(AQ327="2",BH327,0)</f>
        <v>0</v>
      </c>
      <c r="AG327" s="367">
        <f>IF(AQ327="2",BI327,0)</f>
        <v>0</v>
      </c>
      <c r="AH327" s="367">
        <f>IF(AQ327="0",BJ327,0)</f>
        <v>0</v>
      </c>
      <c r="AI327" s="351" t="s">
        <v>7</v>
      </c>
      <c r="AJ327" s="367">
        <f>IF(AN327=0,K327,0)</f>
        <v>0</v>
      </c>
      <c r="AK327" s="367">
        <f>IF(AN327=15,K327,0)</f>
        <v>0</v>
      </c>
      <c r="AL327" s="367">
        <f>IF(AN327=21,K327,0)</f>
        <v>0</v>
      </c>
      <c r="AM327" s="311"/>
      <c r="AN327" s="367">
        <v>21</v>
      </c>
      <c r="AO327" s="367">
        <f>H327*0.302372707129314</f>
        <v>0</v>
      </c>
      <c r="AP327" s="367">
        <f>H327*(1-0.302372707129314)</f>
        <v>0</v>
      </c>
      <c r="AQ327" s="369" t="s">
        <v>2</v>
      </c>
      <c r="AR327" s="311"/>
      <c r="AS327" s="311"/>
      <c r="AT327" s="311"/>
      <c r="AU327" s="311"/>
      <c r="AV327" s="367">
        <f>AW327+AX327</f>
        <v>0</v>
      </c>
      <c r="AW327" s="367">
        <f>G327*AO327</f>
        <v>0</v>
      </c>
      <c r="AX327" s="367">
        <f>G327*AP327</f>
        <v>0</v>
      </c>
      <c r="AY327" s="369" t="s">
        <v>68</v>
      </c>
      <c r="AZ327" s="369" t="s">
        <v>33</v>
      </c>
      <c r="BA327" s="351" t="s">
        <v>3</v>
      </c>
      <c r="BB327" s="311"/>
      <c r="BC327" s="367">
        <f>AW327+AX327</f>
        <v>0</v>
      </c>
      <c r="BD327" s="367">
        <f>H327/(100-BE327)*100</f>
        <v>0</v>
      </c>
      <c r="BE327" s="367">
        <v>0</v>
      </c>
      <c r="BF327" s="367">
        <f>M327</f>
        <v>0.22356800000000002</v>
      </c>
      <c r="BG327" s="311"/>
      <c r="BH327" s="367">
        <f>G327*AO327</f>
        <v>0</v>
      </c>
      <c r="BI327" s="367">
        <f>G327*AP327</f>
        <v>0</v>
      </c>
      <c r="BJ327" s="367">
        <f>G327*H327</f>
        <v>0</v>
      </c>
      <c r="BK327" s="367"/>
      <c r="BL327" s="367">
        <v>97</v>
      </c>
      <c r="BM327" s="311"/>
      <c r="BN327" s="311"/>
      <c r="BO327" s="311"/>
      <c r="BP327" s="311"/>
      <c r="BQ327" s="311"/>
      <c r="BR327" s="311"/>
      <c r="BS327" s="311"/>
      <c r="BT327" s="311"/>
      <c r="BU327" s="311"/>
    </row>
    <row r="328" spans="1:73" ht="15" customHeight="1">
      <c r="A328" s="370"/>
      <c r="B328" s="311"/>
      <c r="C328" s="311"/>
      <c r="D328" s="371" t="s">
        <v>67</v>
      </c>
      <c r="E328" s="372"/>
      <c r="F328" s="311"/>
      <c r="G328" s="373">
        <v>4.45</v>
      </c>
      <c r="H328" s="327"/>
      <c r="I328" s="311"/>
      <c r="J328" s="311"/>
      <c r="K328" s="311"/>
      <c r="L328" s="311"/>
      <c r="M328" s="311"/>
      <c r="N328" s="374"/>
      <c r="O328" s="346"/>
      <c r="P328" s="346"/>
      <c r="Q328" s="346"/>
      <c r="R328" s="346"/>
      <c r="S328" s="346"/>
      <c r="T328" s="346"/>
      <c r="U328" s="346"/>
      <c r="V328" s="346"/>
      <c r="W328" s="346"/>
      <c r="X328" s="346"/>
      <c r="Y328" s="311"/>
      <c r="Z328" s="311"/>
      <c r="AA328" s="311"/>
      <c r="AB328" s="311"/>
      <c r="AC328" s="311"/>
      <c r="AD328" s="311"/>
      <c r="AE328" s="311"/>
      <c r="AF328" s="311"/>
      <c r="AG328" s="311"/>
      <c r="AH328" s="311"/>
      <c r="AI328" s="311"/>
      <c r="AJ328" s="311"/>
      <c r="AK328" s="311"/>
      <c r="AL328" s="311"/>
      <c r="AM328" s="311"/>
      <c r="AN328" s="311"/>
      <c r="AO328" s="311"/>
      <c r="AP328" s="311"/>
      <c r="AQ328" s="311"/>
      <c r="AR328" s="311"/>
      <c r="AS328" s="311"/>
      <c r="AT328" s="311"/>
      <c r="AU328" s="311"/>
      <c r="AV328" s="311"/>
      <c r="AW328" s="311"/>
      <c r="AX328" s="311"/>
      <c r="AY328" s="311"/>
      <c r="AZ328" s="311"/>
      <c r="BA328" s="311"/>
      <c r="BB328" s="311"/>
      <c r="BC328" s="311"/>
      <c r="BD328" s="311"/>
      <c r="BE328" s="311"/>
      <c r="BF328" s="311"/>
      <c r="BG328" s="311"/>
      <c r="BH328" s="311"/>
      <c r="BI328" s="311"/>
      <c r="BJ328" s="311"/>
      <c r="BK328" s="311"/>
      <c r="BL328" s="311"/>
      <c r="BM328" s="311"/>
      <c r="BN328" s="311"/>
      <c r="BO328" s="311"/>
      <c r="BP328" s="311"/>
      <c r="BQ328" s="311"/>
      <c r="BR328" s="311"/>
      <c r="BS328" s="311"/>
      <c r="BT328" s="311"/>
      <c r="BU328" s="311"/>
    </row>
    <row r="329" spans="1:73" ht="15" customHeight="1">
      <c r="A329" s="360"/>
      <c r="B329" s="361" t="s">
        <v>7</v>
      </c>
      <c r="C329" s="361" t="s">
        <v>66</v>
      </c>
      <c r="D329" s="362" t="s">
        <v>65</v>
      </c>
      <c r="E329" s="362"/>
      <c r="F329" s="363" t="s">
        <v>12</v>
      </c>
      <c r="G329" s="363" t="s">
        <v>12</v>
      </c>
      <c r="H329" s="363" t="s">
        <v>12</v>
      </c>
      <c r="I329" s="347">
        <f>SUM(I330:I330)</f>
        <v>0</v>
      </c>
      <c r="J329" s="347">
        <f>SUM(J330:J330)</f>
        <v>0</v>
      </c>
      <c r="K329" s="347">
        <f>SUM(K330:K330)</f>
        <v>0</v>
      </c>
      <c r="L329" s="351"/>
      <c r="M329" s="347">
        <f>SUM(M330:M330)</f>
        <v>0</v>
      </c>
      <c r="N329" s="364"/>
      <c r="O329" s="346"/>
      <c r="P329" s="346"/>
      <c r="Q329" s="346"/>
      <c r="R329" s="346"/>
      <c r="S329" s="346"/>
      <c r="T329" s="346"/>
      <c r="U329" s="346"/>
      <c r="V329" s="346"/>
      <c r="W329" s="346"/>
      <c r="X329" s="346"/>
      <c r="Y329" s="311"/>
      <c r="Z329" s="311"/>
      <c r="AA329" s="311"/>
      <c r="AB329" s="311"/>
      <c r="AC329" s="311"/>
      <c r="AD329" s="311"/>
      <c r="AE329" s="311"/>
      <c r="AF329" s="311"/>
      <c r="AG329" s="311"/>
      <c r="AH329" s="311"/>
      <c r="AI329" s="351" t="s">
        <v>7</v>
      </c>
      <c r="AJ329" s="311"/>
      <c r="AK329" s="311"/>
      <c r="AL329" s="311"/>
      <c r="AM329" s="311"/>
      <c r="AN329" s="311"/>
      <c r="AO329" s="311"/>
      <c r="AP329" s="311"/>
      <c r="AQ329" s="311"/>
      <c r="AR329" s="311"/>
      <c r="AS329" s="347">
        <f>SUM(AJ330:AJ330)</f>
        <v>0</v>
      </c>
      <c r="AT329" s="347">
        <f>SUM(AK330:AK330)</f>
        <v>0</v>
      </c>
      <c r="AU329" s="347">
        <f>SUM(AL330:AL330)</f>
        <v>0</v>
      </c>
      <c r="AV329" s="311"/>
      <c r="AW329" s="311"/>
      <c r="AX329" s="311"/>
      <c r="AY329" s="311"/>
      <c r="AZ329" s="311"/>
      <c r="BA329" s="311"/>
      <c r="BB329" s="311"/>
      <c r="BC329" s="311"/>
      <c r="BD329" s="311"/>
      <c r="BE329" s="311"/>
      <c r="BF329" s="311"/>
      <c r="BG329" s="311"/>
      <c r="BH329" s="311"/>
      <c r="BI329" s="311"/>
      <c r="BJ329" s="311"/>
      <c r="BK329" s="311"/>
      <c r="BL329" s="311"/>
      <c r="BM329" s="311"/>
      <c r="BN329" s="311"/>
      <c r="BO329" s="311"/>
      <c r="BP329" s="311"/>
      <c r="BQ329" s="311"/>
      <c r="BR329" s="311"/>
      <c r="BS329" s="311"/>
      <c r="BT329" s="311"/>
      <c r="BU329" s="311"/>
    </row>
    <row r="330" spans="1:73" ht="15" customHeight="1">
      <c r="A330" s="365" t="s">
        <v>64</v>
      </c>
      <c r="B330" s="366" t="s">
        <v>7</v>
      </c>
      <c r="C330" s="366" t="s">
        <v>63</v>
      </c>
      <c r="D330" s="304" t="s">
        <v>62</v>
      </c>
      <c r="E330" s="304"/>
      <c r="F330" s="366" t="s">
        <v>37</v>
      </c>
      <c r="G330" s="367">
        <f>'[2]Stavební rozpočet'!G303</f>
        <v>43.78219</v>
      </c>
      <c r="H330" s="328">
        <v>0</v>
      </c>
      <c r="I330" s="367">
        <f>G330*AO330</f>
        <v>0</v>
      </c>
      <c r="J330" s="367">
        <f>G330*AP330</f>
        <v>0</v>
      </c>
      <c r="K330" s="367">
        <f>G330*H330</f>
        <v>0</v>
      </c>
      <c r="L330" s="367">
        <f>'[2]Stavební rozpočet'!L303</f>
        <v>0</v>
      </c>
      <c r="M330" s="367">
        <f>G330*L330</f>
        <v>0</v>
      </c>
      <c r="N330" s="368" t="s">
        <v>36</v>
      </c>
      <c r="O330" s="346"/>
      <c r="P330" s="346"/>
      <c r="Q330" s="346"/>
      <c r="R330" s="346"/>
      <c r="S330" s="346"/>
      <c r="T330" s="346"/>
      <c r="U330" s="346"/>
      <c r="V330" s="346"/>
      <c r="W330" s="346"/>
      <c r="X330" s="346"/>
      <c r="Y330" s="311"/>
      <c r="Z330" s="367">
        <f>IF(AQ330="5",BJ330,0)</f>
        <v>0</v>
      </c>
      <c r="AA330" s="311"/>
      <c r="AB330" s="367">
        <f>IF(AQ330="1",BH330,0)</f>
        <v>0</v>
      </c>
      <c r="AC330" s="367">
        <f>IF(AQ330="1",BI330,0)</f>
        <v>0</v>
      </c>
      <c r="AD330" s="367">
        <f>IF(AQ330="7",BH330,0)</f>
        <v>0</v>
      </c>
      <c r="AE330" s="367">
        <f>IF(AQ330="7",BI330,0)</f>
        <v>0</v>
      </c>
      <c r="AF330" s="367">
        <f>IF(AQ330="2",BH330,0)</f>
        <v>0</v>
      </c>
      <c r="AG330" s="367">
        <f>IF(AQ330="2",BI330,0)</f>
        <v>0</v>
      </c>
      <c r="AH330" s="367">
        <f>IF(AQ330="0",BJ330,0)</f>
        <v>0</v>
      </c>
      <c r="AI330" s="351" t="s">
        <v>7</v>
      </c>
      <c r="AJ330" s="367">
        <f>IF(AN330=0,K330,0)</f>
        <v>0</v>
      </c>
      <c r="AK330" s="367">
        <f>IF(AN330=15,K330,0)</f>
        <v>0</v>
      </c>
      <c r="AL330" s="367">
        <f>IF(AN330=21,K330,0)</f>
        <v>0</v>
      </c>
      <c r="AM330" s="311"/>
      <c r="AN330" s="367">
        <v>21</v>
      </c>
      <c r="AO330" s="367">
        <f>H330*0</f>
        <v>0</v>
      </c>
      <c r="AP330" s="367">
        <f>H330*(1-0)</f>
        <v>0</v>
      </c>
      <c r="AQ330" s="369" t="s">
        <v>35</v>
      </c>
      <c r="AR330" s="311"/>
      <c r="AS330" s="311"/>
      <c r="AT330" s="311"/>
      <c r="AU330" s="311"/>
      <c r="AV330" s="367">
        <f>AW330+AX330</f>
        <v>0</v>
      </c>
      <c r="AW330" s="367">
        <f>G330*AO330</f>
        <v>0</v>
      </c>
      <c r="AX330" s="367">
        <f>G330*AP330</f>
        <v>0</v>
      </c>
      <c r="AY330" s="369" t="s">
        <v>61</v>
      </c>
      <c r="AZ330" s="369" t="s">
        <v>33</v>
      </c>
      <c r="BA330" s="351" t="s">
        <v>3</v>
      </c>
      <c r="BB330" s="311"/>
      <c r="BC330" s="367">
        <f>AW330+AX330</f>
        <v>0</v>
      </c>
      <c r="BD330" s="367">
        <f>H330/(100-BE330)*100</f>
        <v>0</v>
      </c>
      <c r="BE330" s="367">
        <v>0</v>
      </c>
      <c r="BF330" s="367">
        <f>M330</f>
        <v>0</v>
      </c>
      <c r="BG330" s="311"/>
      <c r="BH330" s="367">
        <f>G330*AO330</f>
        <v>0</v>
      </c>
      <c r="BI330" s="367">
        <f>G330*AP330</f>
        <v>0</v>
      </c>
      <c r="BJ330" s="367">
        <f>G330*H330</f>
        <v>0</v>
      </c>
      <c r="BK330" s="367"/>
      <c r="BL330" s="367"/>
      <c r="BM330" s="311"/>
      <c r="BN330" s="311"/>
      <c r="BO330" s="311"/>
      <c r="BP330" s="311"/>
      <c r="BQ330" s="311"/>
      <c r="BR330" s="311"/>
      <c r="BS330" s="311"/>
      <c r="BT330" s="311"/>
      <c r="BU330" s="311"/>
    </row>
    <row r="331" spans="1:73" ht="15" customHeight="1">
      <c r="A331" s="360"/>
      <c r="B331" s="361" t="s">
        <v>7</v>
      </c>
      <c r="C331" s="361" t="s">
        <v>60</v>
      </c>
      <c r="D331" s="362" t="s">
        <v>59</v>
      </c>
      <c r="E331" s="362"/>
      <c r="F331" s="363" t="s">
        <v>12</v>
      </c>
      <c r="G331" s="363" t="s">
        <v>12</v>
      </c>
      <c r="H331" s="363" t="s">
        <v>12</v>
      </c>
      <c r="I331" s="347">
        <f>SUM(I332:I342)</f>
        <v>0</v>
      </c>
      <c r="J331" s="347">
        <f>SUM(J332:J342)</f>
        <v>0</v>
      </c>
      <c r="K331" s="347">
        <f>SUM(K332:K342)</f>
        <v>0</v>
      </c>
      <c r="L331" s="351"/>
      <c r="M331" s="347">
        <f>SUM(M332:M342)</f>
        <v>0</v>
      </c>
      <c r="N331" s="364"/>
      <c r="O331" s="346"/>
      <c r="P331" s="346"/>
      <c r="Q331" s="346"/>
      <c r="R331" s="346"/>
      <c r="S331" s="346"/>
      <c r="T331" s="346"/>
      <c r="U331" s="346"/>
      <c r="V331" s="346"/>
      <c r="W331" s="346"/>
      <c r="X331" s="346"/>
      <c r="Y331" s="311"/>
      <c r="Z331" s="311"/>
      <c r="AA331" s="311"/>
      <c r="AB331" s="311"/>
      <c r="AC331" s="311"/>
      <c r="AD331" s="311"/>
      <c r="AE331" s="311"/>
      <c r="AF331" s="311"/>
      <c r="AG331" s="311"/>
      <c r="AH331" s="311"/>
      <c r="AI331" s="351" t="s">
        <v>7</v>
      </c>
      <c r="AJ331" s="311"/>
      <c r="AK331" s="311"/>
      <c r="AL331" s="311"/>
      <c r="AM331" s="311"/>
      <c r="AN331" s="311"/>
      <c r="AO331" s="311"/>
      <c r="AP331" s="311"/>
      <c r="AQ331" s="311"/>
      <c r="AR331" s="311"/>
      <c r="AS331" s="347">
        <f>SUM(AJ332:AJ342)</f>
        <v>0</v>
      </c>
      <c r="AT331" s="347">
        <f>SUM(AK332:AK342)</f>
        <v>0</v>
      </c>
      <c r="AU331" s="347">
        <f>SUM(AL332:AL342)</f>
        <v>0</v>
      </c>
      <c r="AV331" s="311"/>
      <c r="AW331" s="311"/>
      <c r="AX331" s="311"/>
      <c r="AY331" s="311"/>
      <c r="AZ331" s="311"/>
      <c r="BA331" s="311"/>
      <c r="BB331" s="311"/>
      <c r="BC331" s="311"/>
      <c r="BD331" s="311"/>
      <c r="BE331" s="311"/>
      <c r="BF331" s="311"/>
      <c r="BG331" s="311"/>
      <c r="BH331" s="311"/>
      <c r="BI331" s="311"/>
      <c r="BJ331" s="311"/>
      <c r="BK331" s="311"/>
      <c r="BL331" s="311"/>
      <c r="BM331" s="311"/>
      <c r="BN331" s="311"/>
      <c r="BO331" s="311"/>
      <c r="BP331" s="311"/>
      <c r="BQ331" s="311"/>
      <c r="BR331" s="311"/>
      <c r="BS331" s="311"/>
      <c r="BT331" s="311"/>
      <c r="BU331" s="311"/>
    </row>
    <row r="332" spans="1:73" ht="15" customHeight="1">
      <c r="A332" s="365" t="s">
        <v>58</v>
      </c>
      <c r="B332" s="366" t="s">
        <v>7</v>
      </c>
      <c r="C332" s="366" t="s">
        <v>57</v>
      </c>
      <c r="D332" s="304" t="s">
        <v>56</v>
      </c>
      <c r="E332" s="304"/>
      <c r="F332" s="366" t="s">
        <v>37</v>
      </c>
      <c r="G332" s="367">
        <f>'[2]Stavební rozpočet'!G305</f>
        <v>19.02</v>
      </c>
      <c r="H332" s="328">
        <v>0</v>
      </c>
      <c r="I332" s="367">
        <f>G332*AO332</f>
        <v>0</v>
      </c>
      <c r="J332" s="367">
        <f>G332*AP332</f>
        <v>0</v>
      </c>
      <c r="K332" s="367">
        <f>G332*H332</f>
        <v>0</v>
      </c>
      <c r="L332" s="367">
        <f>'[2]Stavební rozpočet'!L305</f>
        <v>0</v>
      </c>
      <c r="M332" s="367">
        <f>G332*L332</f>
        <v>0</v>
      </c>
      <c r="N332" s="368" t="s">
        <v>36</v>
      </c>
      <c r="O332" s="346"/>
      <c r="P332" s="346"/>
      <c r="Q332" s="346"/>
      <c r="R332" s="346"/>
      <c r="S332" s="346"/>
      <c r="T332" s="346"/>
      <c r="U332" s="346"/>
      <c r="V332" s="346"/>
      <c r="W332" s="346"/>
      <c r="X332" s="346"/>
      <c r="Y332" s="311"/>
      <c r="Z332" s="367">
        <f>IF(AQ332="5",BJ332,0)</f>
        <v>0</v>
      </c>
      <c r="AA332" s="311"/>
      <c r="AB332" s="367">
        <f>IF(AQ332="1",BH332,0)</f>
        <v>0</v>
      </c>
      <c r="AC332" s="367">
        <f>IF(AQ332="1",BI332,0)</f>
        <v>0</v>
      </c>
      <c r="AD332" s="367">
        <f>IF(AQ332="7",BH332,0)</f>
        <v>0</v>
      </c>
      <c r="AE332" s="367">
        <f>IF(AQ332="7",BI332,0)</f>
        <v>0</v>
      </c>
      <c r="AF332" s="367">
        <f>IF(AQ332="2",BH332,0)</f>
        <v>0</v>
      </c>
      <c r="AG332" s="367">
        <f>IF(AQ332="2",BI332,0)</f>
        <v>0</v>
      </c>
      <c r="AH332" s="367">
        <f>IF(AQ332="0",BJ332,0)</f>
        <v>0</v>
      </c>
      <c r="AI332" s="351" t="s">
        <v>7</v>
      </c>
      <c r="AJ332" s="367">
        <f>IF(AN332=0,K332,0)</f>
        <v>0</v>
      </c>
      <c r="AK332" s="367">
        <f>IF(AN332=15,K332,0)</f>
        <v>0</v>
      </c>
      <c r="AL332" s="367">
        <f>IF(AN332=21,K332,0)</f>
        <v>0</v>
      </c>
      <c r="AM332" s="311"/>
      <c r="AN332" s="367">
        <v>21</v>
      </c>
      <c r="AO332" s="367">
        <f>H332*0</f>
        <v>0</v>
      </c>
      <c r="AP332" s="367">
        <f>H332*(1-0)</f>
        <v>0</v>
      </c>
      <c r="AQ332" s="369" t="s">
        <v>35</v>
      </c>
      <c r="AR332" s="311"/>
      <c r="AS332" s="311"/>
      <c r="AT332" s="311"/>
      <c r="AU332" s="311"/>
      <c r="AV332" s="367">
        <f>AW332+AX332</f>
        <v>0</v>
      </c>
      <c r="AW332" s="367">
        <f>G332*AO332</f>
        <v>0</v>
      </c>
      <c r="AX332" s="367">
        <f>G332*AP332</f>
        <v>0</v>
      </c>
      <c r="AY332" s="369" t="s">
        <v>34</v>
      </c>
      <c r="AZ332" s="369" t="s">
        <v>33</v>
      </c>
      <c r="BA332" s="351" t="s">
        <v>3</v>
      </c>
      <c r="BB332" s="311"/>
      <c r="BC332" s="367">
        <f>AW332+AX332</f>
        <v>0</v>
      </c>
      <c r="BD332" s="367">
        <f>H332/(100-BE332)*100</f>
        <v>0</v>
      </c>
      <c r="BE332" s="367">
        <v>0</v>
      </c>
      <c r="BF332" s="367">
        <f>M332</f>
        <v>0</v>
      </c>
      <c r="BG332" s="311"/>
      <c r="BH332" s="367">
        <f>G332*AO332</f>
        <v>0</v>
      </c>
      <c r="BI332" s="367">
        <f>G332*AP332</f>
        <v>0</v>
      </c>
      <c r="BJ332" s="367">
        <f>G332*H332</f>
        <v>0</v>
      </c>
      <c r="BK332" s="367"/>
      <c r="BL332" s="367"/>
      <c r="BM332" s="311"/>
      <c r="BN332" s="311"/>
      <c r="BO332" s="311"/>
      <c r="BP332" s="311"/>
      <c r="BQ332" s="311"/>
      <c r="BR332" s="311"/>
      <c r="BS332" s="311"/>
      <c r="BT332" s="311"/>
      <c r="BU332" s="311"/>
    </row>
    <row r="333" spans="1:73" ht="15" customHeight="1">
      <c r="A333" s="370"/>
      <c r="B333" s="311"/>
      <c r="C333" s="311"/>
      <c r="D333" s="371" t="s">
        <v>55</v>
      </c>
      <c r="E333" s="372"/>
      <c r="F333" s="311"/>
      <c r="G333" s="373">
        <v>19.020000000000003</v>
      </c>
      <c r="H333" s="327"/>
      <c r="I333" s="311"/>
      <c r="J333" s="311"/>
      <c r="K333" s="311"/>
      <c r="L333" s="311"/>
      <c r="M333" s="311"/>
      <c r="N333" s="374"/>
      <c r="O333" s="346"/>
      <c r="P333" s="346"/>
      <c r="Q333" s="346"/>
      <c r="R333" s="346"/>
      <c r="S333" s="346"/>
      <c r="T333" s="346"/>
      <c r="U333" s="346"/>
      <c r="V333" s="346"/>
      <c r="W333" s="346"/>
      <c r="X333" s="346"/>
      <c r="Y333" s="311"/>
      <c r="Z333" s="311"/>
      <c r="AA333" s="311"/>
      <c r="AB333" s="311"/>
      <c r="AC333" s="311"/>
      <c r="AD333" s="311"/>
      <c r="AE333" s="311"/>
      <c r="AF333" s="311"/>
      <c r="AG333" s="311"/>
      <c r="AH333" s="311"/>
      <c r="AI333" s="311"/>
      <c r="AJ333" s="311"/>
      <c r="AK333" s="311"/>
      <c r="AL333" s="311"/>
      <c r="AM333" s="311"/>
      <c r="AN333" s="311"/>
      <c r="AO333" s="311"/>
      <c r="AP333" s="311"/>
      <c r="AQ333" s="311"/>
      <c r="AR333" s="311"/>
      <c r="AS333" s="311"/>
      <c r="AT333" s="311"/>
      <c r="AU333" s="311"/>
      <c r="AV333" s="311"/>
      <c r="AW333" s="311"/>
      <c r="AX333" s="311"/>
      <c r="AY333" s="311"/>
      <c r="AZ333" s="311"/>
      <c r="BA333" s="311"/>
      <c r="BB333" s="311"/>
      <c r="BC333" s="311"/>
      <c r="BD333" s="311"/>
      <c r="BE333" s="311"/>
      <c r="BF333" s="311"/>
      <c r="BG333" s="311"/>
      <c r="BH333" s="311"/>
      <c r="BI333" s="311"/>
      <c r="BJ333" s="311"/>
      <c r="BK333" s="311"/>
      <c r="BL333" s="311"/>
      <c r="BM333" s="311"/>
      <c r="BN333" s="311"/>
      <c r="BO333" s="311"/>
      <c r="BP333" s="311"/>
      <c r="BQ333" s="311"/>
      <c r="BR333" s="311"/>
      <c r="BS333" s="311"/>
      <c r="BT333" s="311"/>
      <c r="BU333" s="311"/>
    </row>
    <row r="334" spans="1:73" ht="15" customHeight="1">
      <c r="A334" s="365" t="s">
        <v>54</v>
      </c>
      <c r="B334" s="366" t="s">
        <v>7</v>
      </c>
      <c r="C334" s="366" t="s">
        <v>53</v>
      </c>
      <c r="D334" s="304" t="s">
        <v>52</v>
      </c>
      <c r="E334" s="304"/>
      <c r="F334" s="366" t="s">
        <v>37</v>
      </c>
      <c r="G334" s="367">
        <f>'[2]Stavební rozpočet'!G307</f>
        <v>42.57</v>
      </c>
      <c r="H334" s="328">
        <v>0</v>
      </c>
      <c r="I334" s="367">
        <f>G334*AO334</f>
        <v>0</v>
      </c>
      <c r="J334" s="367">
        <f>G334*AP334</f>
        <v>0</v>
      </c>
      <c r="K334" s="367">
        <f>G334*H334</f>
        <v>0</v>
      </c>
      <c r="L334" s="367">
        <f>'[2]Stavební rozpočet'!L307</f>
        <v>0</v>
      </c>
      <c r="M334" s="367">
        <f>G334*L334</f>
        <v>0</v>
      </c>
      <c r="N334" s="368" t="s">
        <v>36</v>
      </c>
      <c r="O334" s="346"/>
      <c r="P334" s="346"/>
      <c r="Q334" s="346"/>
      <c r="R334" s="346"/>
      <c r="S334" s="346"/>
      <c r="T334" s="346"/>
      <c r="U334" s="346"/>
      <c r="V334" s="346"/>
      <c r="W334" s="346"/>
      <c r="X334" s="346"/>
      <c r="Y334" s="311"/>
      <c r="Z334" s="367">
        <f>IF(AQ334="5",BJ334,0)</f>
        <v>0</v>
      </c>
      <c r="AA334" s="311"/>
      <c r="AB334" s="367">
        <f>IF(AQ334="1",BH334,0)</f>
        <v>0</v>
      </c>
      <c r="AC334" s="367">
        <f>IF(AQ334="1",BI334,0)</f>
        <v>0</v>
      </c>
      <c r="AD334" s="367">
        <f>IF(AQ334="7",BH334,0)</f>
        <v>0</v>
      </c>
      <c r="AE334" s="367">
        <f>IF(AQ334="7",BI334,0)</f>
        <v>0</v>
      </c>
      <c r="AF334" s="367">
        <f>IF(AQ334="2",BH334,0)</f>
        <v>0</v>
      </c>
      <c r="AG334" s="367">
        <f>IF(AQ334="2",BI334,0)</f>
        <v>0</v>
      </c>
      <c r="AH334" s="367">
        <f>IF(AQ334="0",BJ334,0)</f>
        <v>0</v>
      </c>
      <c r="AI334" s="351" t="s">
        <v>7</v>
      </c>
      <c r="AJ334" s="367">
        <f>IF(AN334=0,K334,0)</f>
        <v>0</v>
      </c>
      <c r="AK334" s="367">
        <f>IF(AN334=15,K334,0)</f>
        <v>0</v>
      </c>
      <c r="AL334" s="367">
        <f>IF(AN334=21,K334,0)</f>
        <v>0</v>
      </c>
      <c r="AM334" s="311"/>
      <c r="AN334" s="367">
        <v>21</v>
      </c>
      <c r="AO334" s="367">
        <f>H334*0</f>
        <v>0</v>
      </c>
      <c r="AP334" s="367">
        <f>H334*(1-0)</f>
        <v>0</v>
      </c>
      <c r="AQ334" s="369" t="s">
        <v>35</v>
      </c>
      <c r="AR334" s="311"/>
      <c r="AS334" s="311"/>
      <c r="AT334" s="311"/>
      <c r="AU334" s="311"/>
      <c r="AV334" s="367">
        <f>AW334+AX334</f>
        <v>0</v>
      </c>
      <c r="AW334" s="367">
        <f>G334*AO334</f>
        <v>0</v>
      </c>
      <c r="AX334" s="367">
        <f>G334*AP334</f>
        <v>0</v>
      </c>
      <c r="AY334" s="369" t="s">
        <v>34</v>
      </c>
      <c r="AZ334" s="369" t="s">
        <v>33</v>
      </c>
      <c r="BA334" s="351" t="s">
        <v>3</v>
      </c>
      <c r="BB334" s="311"/>
      <c r="BC334" s="367">
        <f>AW334+AX334</f>
        <v>0</v>
      </c>
      <c r="BD334" s="367">
        <f>H334/(100-BE334)*100</f>
        <v>0</v>
      </c>
      <c r="BE334" s="367">
        <v>0</v>
      </c>
      <c r="BF334" s="367">
        <f>M334</f>
        <v>0</v>
      </c>
      <c r="BG334" s="311"/>
      <c r="BH334" s="367">
        <f>G334*AO334</f>
        <v>0</v>
      </c>
      <c r="BI334" s="367">
        <f>G334*AP334</f>
        <v>0</v>
      </c>
      <c r="BJ334" s="367">
        <f>G334*H334</f>
        <v>0</v>
      </c>
      <c r="BK334" s="367"/>
      <c r="BL334" s="367"/>
      <c r="BM334" s="311"/>
      <c r="BN334" s="311"/>
      <c r="BO334" s="311"/>
      <c r="BP334" s="311"/>
      <c r="BQ334" s="311"/>
      <c r="BR334" s="311"/>
      <c r="BS334" s="311"/>
      <c r="BT334" s="311"/>
      <c r="BU334" s="311"/>
    </row>
    <row r="335" spans="1:73" ht="15" customHeight="1">
      <c r="A335" s="370"/>
      <c r="B335" s="311"/>
      <c r="C335" s="311"/>
      <c r="D335" s="371" t="s">
        <v>51</v>
      </c>
      <c r="E335" s="372"/>
      <c r="F335" s="311"/>
      <c r="G335" s="373">
        <v>42.57</v>
      </c>
      <c r="H335" s="327"/>
      <c r="I335" s="311"/>
      <c r="J335" s="311"/>
      <c r="K335" s="311"/>
      <c r="L335" s="311"/>
      <c r="M335" s="311"/>
      <c r="N335" s="374"/>
      <c r="O335" s="346"/>
      <c r="P335" s="346"/>
      <c r="Q335" s="346"/>
      <c r="R335" s="346"/>
      <c r="S335" s="346"/>
      <c r="T335" s="346"/>
      <c r="U335" s="346"/>
      <c r="V335" s="346"/>
      <c r="W335" s="346"/>
      <c r="X335" s="346"/>
      <c r="Y335" s="311"/>
      <c r="Z335" s="311"/>
      <c r="AA335" s="311"/>
      <c r="AB335" s="311"/>
      <c r="AC335" s="311"/>
      <c r="AD335" s="311"/>
      <c r="AE335" s="311"/>
      <c r="AF335" s="311"/>
      <c r="AG335" s="311"/>
      <c r="AH335" s="311"/>
      <c r="AI335" s="311"/>
      <c r="AJ335" s="311"/>
      <c r="AK335" s="311"/>
      <c r="AL335" s="311"/>
      <c r="AM335" s="311"/>
      <c r="AN335" s="311"/>
      <c r="AO335" s="311"/>
      <c r="AP335" s="311"/>
      <c r="AQ335" s="311"/>
      <c r="AR335" s="311"/>
      <c r="AS335" s="311"/>
      <c r="AT335" s="311"/>
      <c r="AU335" s="311"/>
      <c r="AV335" s="311"/>
      <c r="AW335" s="311"/>
      <c r="AX335" s="311"/>
      <c r="AY335" s="311"/>
      <c r="AZ335" s="311"/>
      <c r="BA335" s="311"/>
      <c r="BB335" s="311"/>
      <c r="BC335" s="311"/>
      <c r="BD335" s="311"/>
      <c r="BE335" s="311"/>
      <c r="BF335" s="311"/>
      <c r="BG335" s="311"/>
      <c r="BH335" s="311"/>
      <c r="BI335" s="311"/>
      <c r="BJ335" s="311"/>
      <c r="BK335" s="311"/>
      <c r="BL335" s="311"/>
      <c r="BM335" s="311"/>
      <c r="BN335" s="311"/>
      <c r="BO335" s="311"/>
      <c r="BP335" s="311"/>
      <c r="BQ335" s="311"/>
      <c r="BR335" s="311"/>
      <c r="BS335" s="311"/>
      <c r="BT335" s="311"/>
      <c r="BU335" s="311"/>
    </row>
    <row r="336" spans="1:73" ht="15" customHeight="1">
      <c r="A336" s="365" t="s">
        <v>50</v>
      </c>
      <c r="B336" s="366" t="s">
        <v>7</v>
      </c>
      <c r="C336" s="366" t="s">
        <v>49</v>
      </c>
      <c r="D336" s="304" t="s">
        <v>48</v>
      </c>
      <c r="E336" s="304"/>
      <c r="F336" s="366" t="s">
        <v>37</v>
      </c>
      <c r="G336" s="367">
        <f>'[2]Stavební rozpočet'!G309</f>
        <v>170.28</v>
      </c>
      <c r="H336" s="328">
        <v>0</v>
      </c>
      <c r="I336" s="367">
        <f>G336*AO336</f>
        <v>0</v>
      </c>
      <c r="J336" s="367">
        <f>G336*AP336</f>
        <v>0</v>
      </c>
      <c r="K336" s="367">
        <f>G336*H336</f>
        <v>0</v>
      </c>
      <c r="L336" s="367">
        <f>'[2]Stavební rozpočet'!L309</f>
        <v>0</v>
      </c>
      <c r="M336" s="367">
        <f>G336*L336</f>
        <v>0</v>
      </c>
      <c r="N336" s="368" t="s">
        <v>36</v>
      </c>
      <c r="O336" s="346"/>
      <c r="P336" s="346"/>
      <c r="Q336" s="346"/>
      <c r="R336" s="346"/>
      <c r="S336" s="346"/>
      <c r="T336" s="346"/>
      <c r="U336" s="346"/>
      <c r="V336" s="346"/>
      <c r="W336" s="346"/>
      <c r="X336" s="346"/>
      <c r="Y336" s="311"/>
      <c r="Z336" s="367">
        <f>IF(AQ336="5",BJ336,0)</f>
        <v>0</v>
      </c>
      <c r="AA336" s="311"/>
      <c r="AB336" s="367">
        <f>IF(AQ336="1",BH336,0)</f>
        <v>0</v>
      </c>
      <c r="AC336" s="367">
        <f>IF(AQ336="1",BI336,0)</f>
        <v>0</v>
      </c>
      <c r="AD336" s="367">
        <f>IF(AQ336="7",BH336,0)</f>
        <v>0</v>
      </c>
      <c r="AE336" s="367">
        <f>IF(AQ336="7",BI336,0)</f>
        <v>0</v>
      </c>
      <c r="AF336" s="367">
        <f>IF(AQ336="2",BH336,0)</f>
        <v>0</v>
      </c>
      <c r="AG336" s="367">
        <f>IF(AQ336="2",BI336,0)</f>
        <v>0</v>
      </c>
      <c r="AH336" s="367">
        <f>IF(AQ336="0",BJ336,0)</f>
        <v>0</v>
      </c>
      <c r="AI336" s="351" t="s">
        <v>7</v>
      </c>
      <c r="AJ336" s="367">
        <f>IF(AN336=0,K336,0)</f>
        <v>0</v>
      </c>
      <c r="AK336" s="367">
        <f>IF(AN336=15,K336,0)</f>
        <v>0</v>
      </c>
      <c r="AL336" s="367">
        <f>IF(AN336=21,K336,0)</f>
        <v>0</v>
      </c>
      <c r="AM336" s="311"/>
      <c r="AN336" s="367">
        <v>21</v>
      </c>
      <c r="AO336" s="367">
        <f>H336*0</f>
        <v>0</v>
      </c>
      <c r="AP336" s="367">
        <f>H336*(1-0)</f>
        <v>0</v>
      </c>
      <c r="AQ336" s="369" t="s">
        <v>35</v>
      </c>
      <c r="AR336" s="311"/>
      <c r="AS336" s="311"/>
      <c r="AT336" s="311"/>
      <c r="AU336" s="311"/>
      <c r="AV336" s="367">
        <f>AW336+AX336</f>
        <v>0</v>
      </c>
      <c r="AW336" s="367">
        <f>G336*AO336</f>
        <v>0</v>
      </c>
      <c r="AX336" s="367">
        <f>G336*AP336</f>
        <v>0</v>
      </c>
      <c r="AY336" s="369" t="s">
        <v>34</v>
      </c>
      <c r="AZ336" s="369" t="s">
        <v>33</v>
      </c>
      <c r="BA336" s="351" t="s">
        <v>3</v>
      </c>
      <c r="BB336" s="311"/>
      <c r="BC336" s="367">
        <f>AW336+AX336</f>
        <v>0</v>
      </c>
      <c r="BD336" s="367">
        <f>H336/(100-BE336)*100</f>
        <v>0</v>
      </c>
      <c r="BE336" s="367">
        <v>0</v>
      </c>
      <c r="BF336" s="367">
        <f>M336</f>
        <v>0</v>
      </c>
      <c r="BG336" s="311"/>
      <c r="BH336" s="367">
        <f>G336*AO336</f>
        <v>0</v>
      </c>
      <c r="BI336" s="367">
        <f>G336*AP336</f>
        <v>0</v>
      </c>
      <c r="BJ336" s="367">
        <f>G336*H336</f>
        <v>0</v>
      </c>
      <c r="BK336" s="367"/>
      <c r="BL336" s="367"/>
      <c r="BM336" s="311"/>
      <c r="BN336" s="311"/>
      <c r="BO336" s="311"/>
      <c r="BP336" s="311"/>
      <c r="BQ336" s="311"/>
      <c r="BR336" s="311"/>
      <c r="BS336" s="311"/>
      <c r="BT336" s="311"/>
      <c r="BU336" s="311"/>
    </row>
    <row r="337" spans="1:73" ht="15" customHeight="1">
      <c r="A337" s="370"/>
      <c r="B337" s="311"/>
      <c r="C337" s="311"/>
      <c r="D337" s="371" t="s">
        <v>47</v>
      </c>
      <c r="E337" s="372"/>
      <c r="F337" s="311"/>
      <c r="G337" s="373">
        <v>170.28</v>
      </c>
      <c r="H337" s="327"/>
      <c r="I337" s="311"/>
      <c r="J337" s="311"/>
      <c r="K337" s="311"/>
      <c r="L337" s="311"/>
      <c r="M337" s="311"/>
      <c r="N337" s="374"/>
      <c r="O337" s="346"/>
      <c r="P337" s="346"/>
      <c r="Q337" s="346"/>
      <c r="R337" s="346"/>
      <c r="S337" s="346"/>
      <c r="T337" s="346"/>
      <c r="U337" s="346"/>
      <c r="V337" s="346"/>
      <c r="W337" s="346"/>
      <c r="X337" s="346"/>
      <c r="Y337" s="311"/>
      <c r="Z337" s="311"/>
      <c r="AA337" s="311"/>
      <c r="AB337" s="311"/>
      <c r="AC337" s="311"/>
      <c r="AD337" s="311"/>
      <c r="AE337" s="311"/>
      <c r="AF337" s="311"/>
      <c r="AG337" s="311"/>
      <c r="AH337" s="311"/>
      <c r="AI337" s="311"/>
      <c r="AJ337" s="311"/>
      <c r="AK337" s="311"/>
      <c r="AL337" s="311"/>
      <c r="AM337" s="311"/>
      <c r="AN337" s="311"/>
      <c r="AO337" s="311"/>
      <c r="AP337" s="311"/>
      <c r="AQ337" s="311"/>
      <c r="AR337" s="311"/>
      <c r="AS337" s="311"/>
      <c r="AT337" s="311"/>
      <c r="AU337" s="311"/>
      <c r="AV337" s="311"/>
      <c r="AW337" s="311"/>
      <c r="AX337" s="311"/>
      <c r="AY337" s="311"/>
      <c r="AZ337" s="311"/>
      <c r="BA337" s="311"/>
      <c r="BB337" s="311"/>
      <c r="BC337" s="311"/>
      <c r="BD337" s="311"/>
      <c r="BE337" s="311"/>
      <c r="BF337" s="311"/>
      <c r="BG337" s="311"/>
      <c r="BH337" s="311"/>
      <c r="BI337" s="311"/>
      <c r="BJ337" s="311"/>
      <c r="BK337" s="311"/>
      <c r="BL337" s="311"/>
      <c r="BM337" s="311"/>
      <c r="BN337" s="311"/>
      <c r="BO337" s="311"/>
      <c r="BP337" s="311"/>
      <c r="BQ337" s="311"/>
      <c r="BR337" s="311"/>
      <c r="BS337" s="311"/>
      <c r="BT337" s="311"/>
      <c r="BU337" s="311"/>
    </row>
    <row r="338" spans="1:73" ht="15" customHeight="1">
      <c r="A338" s="365" t="s">
        <v>46</v>
      </c>
      <c r="B338" s="366" t="s">
        <v>7</v>
      </c>
      <c r="C338" s="366" t="s">
        <v>45</v>
      </c>
      <c r="D338" s="304" t="s">
        <v>44</v>
      </c>
      <c r="E338" s="304"/>
      <c r="F338" s="366" t="s">
        <v>37</v>
      </c>
      <c r="G338" s="367">
        <f>'[2]Stavební rozpočet'!G311</f>
        <v>42.57</v>
      </c>
      <c r="H338" s="328">
        <v>0</v>
      </c>
      <c r="I338" s="367">
        <f>G338*AO338</f>
        <v>0</v>
      </c>
      <c r="J338" s="367">
        <f>G338*AP338</f>
        <v>0</v>
      </c>
      <c r="K338" s="367">
        <f>G338*H338</f>
        <v>0</v>
      </c>
      <c r="L338" s="367">
        <f>'[2]Stavební rozpočet'!L311</f>
        <v>0</v>
      </c>
      <c r="M338" s="367">
        <f>G338*L338</f>
        <v>0</v>
      </c>
      <c r="N338" s="368" t="s">
        <v>36</v>
      </c>
      <c r="O338" s="346"/>
      <c r="P338" s="346"/>
      <c r="Q338" s="346"/>
      <c r="R338" s="346"/>
      <c r="S338" s="346"/>
      <c r="T338" s="346"/>
      <c r="U338" s="346"/>
      <c r="V338" s="346"/>
      <c r="W338" s="346"/>
      <c r="X338" s="346"/>
      <c r="Y338" s="311"/>
      <c r="Z338" s="367">
        <f>IF(AQ338="5",BJ338,0)</f>
        <v>0</v>
      </c>
      <c r="AA338" s="311"/>
      <c r="AB338" s="367">
        <f>IF(AQ338="1",BH338,0)</f>
        <v>0</v>
      </c>
      <c r="AC338" s="367">
        <f>IF(AQ338="1",BI338,0)</f>
        <v>0</v>
      </c>
      <c r="AD338" s="367">
        <f>IF(AQ338="7",BH338,0)</f>
        <v>0</v>
      </c>
      <c r="AE338" s="367">
        <f>IF(AQ338="7",BI338,0)</f>
        <v>0</v>
      </c>
      <c r="AF338" s="367">
        <f>IF(AQ338="2",BH338,0)</f>
        <v>0</v>
      </c>
      <c r="AG338" s="367">
        <f>IF(AQ338="2",BI338,0)</f>
        <v>0</v>
      </c>
      <c r="AH338" s="367">
        <f>IF(AQ338="0",BJ338,0)</f>
        <v>0</v>
      </c>
      <c r="AI338" s="351" t="s">
        <v>7</v>
      </c>
      <c r="AJ338" s="367">
        <f>IF(AN338=0,K338,0)</f>
        <v>0</v>
      </c>
      <c r="AK338" s="367">
        <f>IF(AN338=15,K338,0)</f>
        <v>0</v>
      </c>
      <c r="AL338" s="367">
        <f>IF(AN338=21,K338,0)</f>
        <v>0</v>
      </c>
      <c r="AM338" s="311"/>
      <c r="AN338" s="367">
        <v>21</v>
      </c>
      <c r="AO338" s="367">
        <f>H338*0</f>
        <v>0</v>
      </c>
      <c r="AP338" s="367">
        <f>H338*(1-0)</f>
        <v>0</v>
      </c>
      <c r="AQ338" s="369" t="s">
        <v>35</v>
      </c>
      <c r="AR338" s="311"/>
      <c r="AS338" s="311"/>
      <c r="AT338" s="311"/>
      <c r="AU338" s="311"/>
      <c r="AV338" s="367">
        <f>AW338+AX338</f>
        <v>0</v>
      </c>
      <c r="AW338" s="367">
        <f>G338*AO338</f>
        <v>0</v>
      </c>
      <c r="AX338" s="367">
        <f>G338*AP338</f>
        <v>0</v>
      </c>
      <c r="AY338" s="369" t="s">
        <v>34</v>
      </c>
      <c r="AZ338" s="369" t="s">
        <v>33</v>
      </c>
      <c r="BA338" s="351" t="s">
        <v>3</v>
      </c>
      <c r="BB338" s="311"/>
      <c r="BC338" s="367">
        <f>AW338+AX338</f>
        <v>0</v>
      </c>
      <c r="BD338" s="367">
        <f>H338/(100-BE338)*100</f>
        <v>0</v>
      </c>
      <c r="BE338" s="367">
        <v>0</v>
      </c>
      <c r="BF338" s="367">
        <f>M338</f>
        <v>0</v>
      </c>
      <c r="BG338" s="311"/>
      <c r="BH338" s="367">
        <f>G338*AO338</f>
        <v>0</v>
      </c>
      <c r="BI338" s="367">
        <f>G338*AP338</f>
        <v>0</v>
      </c>
      <c r="BJ338" s="367">
        <f>G338*H338</f>
        <v>0</v>
      </c>
      <c r="BK338" s="367"/>
      <c r="BL338" s="367"/>
      <c r="BM338" s="311"/>
      <c r="BN338" s="311"/>
      <c r="BO338" s="311"/>
      <c r="BP338" s="311"/>
      <c r="BQ338" s="311"/>
      <c r="BR338" s="311"/>
      <c r="BS338" s="311"/>
      <c r="BT338" s="311"/>
      <c r="BU338" s="311"/>
    </row>
    <row r="339" spans="1:73" ht="15" customHeight="1">
      <c r="A339" s="370"/>
      <c r="B339" s="311"/>
      <c r="C339" s="311"/>
      <c r="D339" s="371" t="s">
        <v>32</v>
      </c>
      <c r="E339" s="372"/>
      <c r="F339" s="311"/>
      <c r="G339" s="373">
        <v>42.57</v>
      </c>
      <c r="H339" s="327"/>
      <c r="I339" s="311"/>
      <c r="J339" s="311"/>
      <c r="K339" s="311"/>
      <c r="L339" s="311"/>
      <c r="M339" s="311"/>
      <c r="N339" s="374"/>
      <c r="O339" s="346"/>
      <c r="P339" s="346"/>
      <c r="Q339" s="346"/>
      <c r="R339" s="346"/>
      <c r="S339" s="346"/>
      <c r="T339" s="346"/>
      <c r="U339" s="346"/>
      <c r="V339" s="346"/>
      <c r="W339" s="346"/>
      <c r="X339" s="346"/>
      <c r="Y339" s="311"/>
      <c r="Z339" s="311"/>
      <c r="AA339" s="311"/>
      <c r="AB339" s="311"/>
      <c r="AC339" s="311"/>
      <c r="AD339" s="311"/>
      <c r="AE339" s="311"/>
      <c r="AF339" s="311"/>
      <c r="AG339" s="311"/>
      <c r="AH339" s="311"/>
      <c r="AI339" s="311"/>
      <c r="AJ339" s="311"/>
      <c r="AK339" s="311"/>
      <c r="AL339" s="311"/>
      <c r="AM339" s="311"/>
      <c r="AN339" s="311"/>
      <c r="AO339" s="311"/>
      <c r="AP339" s="311"/>
      <c r="AQ339" s="311"/>
      <c r="AR339" s="311"/>
      <c r="AS339" s="311"/>
      <c r="AT339" s="311"/>
      <c r="AU339" s="311"/>
      <c r="AV339" s="311"/>
      <c r="AW339" s="311"/>
      <c r="AX339" s="311"/>
      <c r="AY339" s="311"/>
      <c r="AZ339" s="311"/>
      <c r="BA339" s="311"/>
      <c r="BB339" s="311"/>
      <c r="BC339" s="311"/>
      <c r="BD339" s="311"/>
      <c r="BE339" s="311"/>
      <c r="BF339" s="311"/>
      <c r="BG339" s="311"/>
      <c r="BH339" s="311"/>
      <c r="BI339" s="311"/>
      <c r="BJ339" s="311"/>
      <c r="BK339" s="311"/>
      <c r="BL339" s="311"/>
      <c r="BM339" s="311"/>
      <c r="BN339" s="311"/>
      <c r="BO339" s="311"/>
      <c r="BP339" s="311"/>
      <c r="BQ339" s="311"/>
      <c r="BR339" s="311"/>
      <c r="BS339" s="311"/>
      <c r="BT339" s="311"/>
      <c r="BU339" s="311"/>
    </row>
    <row r="340" spans="1:73" ht="15" customHeight="1">
      <c r="A340" s="365" t="s">
        <v>43</v>
      </c>
      <c r="B340" s="366" t="s">
        <v>7</v>
      </c>
      <c r="C340" s="366" t="s">
        <v>42</v>
      </c>
      <c r="D340" s="304" t="s">
        <v>41</v>
      </c>
      <c r="E340" s="304"/>
      <c r="F340" s="366" t="s">
        <v>37</v>
      </c>
      <c r="G340" s="367">
        <f>'[2]Stavební rozpočet'!G313</f>
        <v>42.57</v>
      </c>
      <c r="H340" s="328">
        <v>0</v>
      </c>
      <c r="I340" s="367">
        <f>G340*AO340</f>
        <v>0</v>
      </c>
      <c r="J340" s="367">
        <f>G340*AP340</f>
        <v>0</v>
      </c>
      <c r="K340" s="367">
        <f>G340*H340</f>
        <v>0</v>
      </c>
      <c r="L340" s="367">
        <f>'[2]Stavební rozpočet'!L313</f>
        <v>0</v>
      </c>
      <c r="M340" s="367">
        <f>G340*L340</f>
        <v>0</v>
      </c>
      <c r="N340" s="368" t="s">
        <v>36</v>
      </c>
      <c r="O340" s="346"/>
      <c r="P340" s="346"/>
      <c r="Q340" s="346"/>
      <c r="R340" s="346"/>
      <c r="S340" s="346"/>
      <c r="T340" s="346"/>
      <c r="U340" s="346"/>
      <c r="V340" s="346"/>
      <c r="W340" s="346"/>
      <c r="X340" s="346"/>
      <c r="Y340" s="311"/>
      <c r="Z340" s="367">
        <f>IF(AQ340="5",BJ340,0)</f>
        <v>0</v>
      </c>
      <c r="AA340" s="311"/>
      <c r="AB340" s="367">
        <f>IF(AQ340="1",BH340,0)</f>
        <v>0</v>
      </c>
      <c r="AC340" s="367">
        <f>IF(AQ340="1",BI340,0)</f>
        <v>0</v>
      </c>
      <c r="AD340" s="367">
        <f>IF(AQ340="7",BH340,0)</f>
        <v>0</v>
      </c>
      <c r="AE340" s="367">
        <f>IF(AQ340="7",BI340,0)</f>
        <v>0</v>
      </c>
      <c r="AF340" s="367">
        <f>IF(AQ340="2",BH340,0)</f>
        <v>0</v>
      </c>
      <c r="AG340" s="367">
        <f>IF(AQ340="2",BI340,0)</f>
        <v>0</v>
      </c>
      <c r="AH340" s="367">
        <f>IF(AQ340="0",BJ340,0)</f>
        <v>0</v>
      </c>
      <c r="AI340" s="351" t="s">
        <v>7</v>
      </c>
      <c r="AJ340" s="367">
        <f>IF(AN340=0,K340,0)</f>
        <v>0</v>
      </c>
      <c r="AK340" s="367">
        <f>IF(AN340=15,K340,0)</f>
        <v>0</v>
      </c>
      <c r="AL340" s="367">
        <f>IF(AN340=21,K340,0)</f>
        <v>0</v>
      </c>
      <c r="AM340" s="311"/>
      <c r="AN340" s="367">
        <v>21</v>
      </c>
      <c r="AO340" s="367">
        <f>H340*0</f>
        <v>0</v>
      </c>
      <c r="AP340" s="367">
        <f>H340*(1-0)</f>
        <v>0</v>
      </c>
      <c r="AQ340" s="369" t="s">
        <v>35</v>
      </c>
      <c r="AR340" s="311"/>
      <c r="AS340" s="311"/>
      <c r="AT340" s="311"/>
      <c r="AU340" s="311"/>
      <c r="AV340" s="367">
        <f>AW340+AX340</f>
        <v>0</v>
      </c>
      <c r="AW340" s="367">
        <f>G340*AO340</f>
        <v>0</v>
      </c>
      <c r="AX340" s="367">
        <f>G340*AP340</f>
        <v>0</v>
      </c>
      <c r="AY340" s="369" t="s">
        <v>34</v>
      </c>
      <c r="AZ340" s="369" t="s">
        <v>33</v>
      </c>
      <c r="BA340" s="351" t="s">
        <v>3</v>
      </c>
      <c r="BB340" s="311"/>
      <c r="BC340" s="367">
        <f>AW340+AX340</f>
        <v>0</v>
      </c>
      <c r="BD340" s="367">
        <f>H340/(100-BE340)*100</f>
        <v>0</v>
      </c>
      <c r="BE340" s="367">
        <v>0</v>
      </c>
      <c r="BF340" s="367">
        <f>M340</f>
        <v>0</v>
      </c>
      <c r="BG340" s="311"/>
      <c r="BH340" s="367">
        <f>G340*AO340</f>
        <v>0</v>
      </c>
      <c r="BI340" s="367">
        <f>G340*AP340</f>
        <v>0</v>
      </c>
      <c r="BJ340" s="367">
        <f>G340*H340</f>
        <v>0</v>
      </c>
      <c r="BK340" s="367"/>
      <c r="BL340" s="367"/>
      <c r="BM340" s="311"/>
      <c r="BN340" s="311"/>
      <c r="BO340" s="311"/>
      <c r="BP340" s="311"/>
      <c r="BQ340" s="311"/>
      <c r="BR340" s="311"/>
      <c r="BS340" s="311"/>
      <c r="BT340" s="311"/>
      <c r="BU340" s="311"/>
    </row>
    <row r="341" spans="1:73" ht="15" customHeight="1">
      <c r="A341" s="370"/>
      <c r="B341" s="311"/>
      <c r="C341" s="311"/>
      <c r="D341" s="371" t="s">
        <v>32</v>
      </c>
      <c r="E341" s="372"/>
      <c r="F341" s="311"/>
      <c r="G341" s="373">
        <v>42.57</v>
      </c>
      <c r="H341" s="327"/>
      <c r="I341" s="311"/>
      <c r="J341" s="311"/>
      <c r="K341" s="311"/>
      <c r="L341" s="311"/>
      <c r="M341" s="311"/>
      <c r="N341" s="374"/>
      <c r="O341" s="346"/>
      <c r="P341" s="346"/>
      <c r="Q341" s="346"/>
      <c r="R341" s="346"/>
      <c r="S341" s="346"/>
      <c r="T341" s="346"/>
      <c r="U341" s="346"/>
      <c r="V341" s="346"/>
      <c r="W341" s="346"/>
      <c r="X341" s="346"/>
      <c r="Y341" s="311"/>
      <c r="Z341" s="311"/>
      <c r="AA341" s="311"/>
      <c r="AB341" s="311"/>
      <c r="AC341" s="311"/>
      <c r="AD341" s="311"/>
      <c r="AE341" s="311"/>
      <c r="AF341" s="311"/>
      <c r="AG341" s="311"/>
      <c r="AH341" s="311"/>
      <c r="AI341" s="311"/>
      <c r="AJ341" s="311"/>
      <c r="AK341" s="311"/>
      <c r="AL341" s="311"/>
      <c r="AM341" s="311"/>
      <c r="AN341" s="311"/>
      <c r="AO341" s="311"/>
      <c r="AP341" s="311"/>
      <c r="AQ341" s="311"/>
      <c r="AR341" s="311"/>
      <c r="AS341" s="311"/>
      <c r="AT341" s="311"/>
      <c r="AU341" s="311"/>
      <c r="AV341" s="311"/>
      <c r="AW341" s="311"/>
      <c r="AX341" s="311"/>
      <c r="AY341" s="311"/>
      <c r="AZ341" s="311"/>
      <c r="BA341" s="311"/>
      <c r="BB341" s="311"/>
      <c r="BC341" s="311"/>
      <c r="BD341" s="311"/>
      <c r="BE341" s="311"/>
      <c r="BF341" s="311"/>
      <c r="BG341" s="311"/>
      <c r="BH341" s="311"/>
      <c r="BI341" s="311"/>
      <c r="BJ341" s="311"/>
      <c r="BK341" s="311"/>
      <c r="BL341" s="311"/>
      <c r="BM341" s="311"/>
      <c r="BN341" s="311"/>
      <c r="BO341" s="311"/>
      <c r="BP341" s="311"/>
      <c r="BQ341" s="311"/>
      <c r="BR341" s="311"/>
      <c r="BS341" s="311"/>
      <c r="BT341" s="311"/>
      <c r="BU341" s="311"/>
    </row>
    <row r="342" spans="1:73" ht="15" customHeight="1">
      <c r="A342" s="365" t="s">
        <v>40</v>
      </c>
      <c r="B342" s="366" t="s">
        <v>7</v>
      </c>
      <c r="C342" s="366" t="s">
        <v>39</v>
      </c>
      <c r="D342" s="304" t="s">
        <v>38</v>
      </c>
      <c r="E342" s="304"/>
      <c r="F342" s="366" t="s">
        <v>37</v>
      </c>
      <c r="G342" s="367">
        <f>'[2]Stavební rozpočet'!G315</f>
        <v>42.57</v>
      </c>
      <c r="H342" s="328">
        <v>0</v>
      </c>
      <c r="I342" s="367">
        <f>G342*AO342</f>
        <v>0</v>
      </c>
      <c r="J342" s="367">
        <f>G342*AP342</f>
        <v>0</v>
      </c>
      <c r="K342" s="367">
        <f>G342*H342</f>
        <v>0</v>
      </c>
      <c r="L342" s="367">
        <f>'[2]Stavební rozpočet'!L315</f>
        <v>0</v>
      </c>
      <c r="M342" s="367">
        <f>G342*L342</f>
        <v>0</v>
      </c>
      <c r="N342" s="368" t="s">
        <v>36</v>
      </c>
      <c r="O342" s="346"/>
      <c r="P342" s="346"/>
      <c r="Q342" s="346"/>
      <c r="R342" s="346"/>
      <c r="S342" s="346"/>
      <c r="T342" s="346"/>
      <c r="U342" s="346"/>
      <c r="V342" s="346"/>
      <c r="W342" s="346"/>
      <c r="X342" s="346"/>
      <c r="Y342" s="311"/>
      <c r="Z342" s="367">
        <f>IF(AQ342="5",BJ342,0)</f>
        <v>0</v>
      </c>
      <c r="AA342" s="311"/>
      <c r="AB342" s="367">
        <f>IF(AQ342="1",BH342,0)</f>
        <v>0</v>
      </c>
      <c r="AC342" s="367">
        <f>IF(AQ342="1",BI342,0)</f>
        <v>0</v>
      </c>
      <c r="AD342" s="367">
        <f>IF(AQ342="7",BH342,0)</f>
        <v>0</v>
      </c>
      <c r="AE342" s="367">
        <f>IF(AQ342="7",BI342,0)</f>
        <v>0</v>
      </c>
      <c r="AF342" s="367">
        <f>IF(AQ342="2",BH342,0)</f>
        <v>0</v>
      </c>
      <c r="AG342" s="367">
        <f>IF(AQ342="2",BI342,0)</f>
        <v>0</v>
      </c>
      <c r="AH342" s="367">
        <f>IF(AQ342="0",BJ342,0)</f>
        <v>0</v>
      </c>
      <c r="AI342" s="351" t="s">
        <v>7</v>
      </c>
      <c r="AJ342" s="367">
        <f>IF(AN342=0,K342,0)</f>
        <v>0</v>
      </c>
      <c r="AK342" s="367">
        <f>IF(AN342=15,K342,0)</f>
        <v>0</v>
      </c>
      <c r="AL342" s="367">
        <f>IF(AN342=21,K342,0)</f>
        <v>0</v>
      </c>
      <c r="AM342" s="311"/>
      <c r="AN342" s="367">
        <v>21</v>
      </c>
      <c r="AO342" s="367">
        <f>H342*0</f>
        <v>0</v>
      </c>
      <c r="AP342" s="367">
        <f>H342*(1-0)</f>
        <v>0</v>
      </c>
      <c r="AQ342" s="369" t="s">
        <v>35</v>
      </c>
      <c r="AR342" s="311"/>
      <c r="AS342" s="311"/>
      <c r="AT342" s="311"/>
      <c r="AU342" s="311"/>
      <c r="AV342" s="367">
        <f>AW342+AX342</f>
        <v>0</v>
      </c>
      <c r="AW342" s="367">
        <f>G342*AO342</f>
        <v>0</v>
      </c>
      <c r="AX342" s="367">
        <f>G342*AP342</f>
        <v>0</v>
      </c>
      <c r="AY342" s="369" t="s">
        <v>34</v>
      </c>
      <c r="AZ342" s="369" t="s">
        <v>33</v>
      </c>
      <c r="BA342" s="351" t="s">
        <v>3</v>
      </c>
      <c r="BB342" s="311"/>
      <c r="BC342" s="367">
        <f>AW342+AX342</f>
        <v>0</v>
      </c>
      <c r="BD342" s="367">
        <f>H342/(100-BE342)*100</f>
        <v>0</v>
      </c>
      <c r="BE342" s="367">
        <v>0</v>
      </c>
      <c r="BF342" s="367">
        <f>M342</f>
        <v>0</v>
      </c>
      <c r="BG342" s="311"/>
      <c r="BH342" s="367">
        <f>G342*AO342</f>
        <v>0</v>
      </c>
      <c r="BI342" s="367">
        <f>G342*AP342</f>
        <v>0</v>
      </c>
      <c r="BJ342" s="367">
        <f>G342*H342</f>
        <v>0</v>
      </c>
      <c r="BK342" s="367"/>
      <c r="BL342" s="367"/>
      <c r="BM342" s="311"/>
      <c r="BN342" s="311"/>
      <c r="BO342" s="311"/>
      <c r="BP342" s="311"/>
      <c r="BQ342" s="311"/>
      <c r="BR342" s="311"/>
      <c r="BS342" s="311"/>
      <c r="BT342" s="311"/>
      <c r="BU342" s="311"/>
    </row>
    <row r="343" spans="1:73" ht="15" customHeight="1">
      <c r="A343" s="370"/>
      <c r="B343" s="311"/>
      <c r="C343" s="311"/>
      <c r="D343" s="371" t="s">
        <v>32</v>
      </c>
      <c r="E343" s="372"/>
      <c r="F343" s="311"/>
      <c r="G343" s="373">
        <v>42.57</v>
      </c>
      <c r="H343" s="327"/>
      <c r="I343" s="311"/>
      <c r="J343" s="311"/>
      <c r="K343" s="311"/>
      <c r="L343" s="311"/>
      <c r="M343" s="311"/>
      <c r="N343" s="374"/>
      <c r="O343" s="346"/>
      <c r="P343" s="346"/>
      <c r="Q343" s="346"/>
      <c r="R343" s="346"/>
      <c r="S343" s="346"/>
      <c r="T343" s="346"/>
      <c r="U343" s="346"/>
      <c r="V343" s="346"/>
      <c r="W343" s="346"/>
      <c r="X343" s="346"/>
      <c r="Y343" s="311"/>
      <c r="Z343" s="311"/>
      <c r="AA343" s="311"/>
      <c r="AB343" s="311"/>
      <c r="AC343" s="311"/>
      <c r="AD343" s="311"/>
      <c r="AE343" s="311"/>
      <c r="AF343" s="311"/>
      <c r="AG343" s="311"/>
      <c r="AH343" s="311"/>
      <c r="AI343" s="311"/>
      <c r="AJ343" s="311"/>
      <c r="AK343" s="311"/>
      <c r="AL343" s="311"/>
      <c r="AM343" s="311"/>
      <c r="AN343" s="311"/>
      <c r="AO343" s="311"/>
      <c r="AP343" s="311"/>
      <c r="AQ343" s="311"/>
      <c r="AR343" s="311"/>
      <c r="AS343" s="311"/>
      <c r="AT343" s="311"/>
      <c r="AU343" s="311"/>
      <c r="AV343" s="311"/>
      <c r="AW343" s="311"/>
      <c r="AX343" s="311"/>
      <c r="AY343" s="311"/>
      <c r="AZ343" s="311"/>
      <c r="BA343" s="311"/>
      <c r="BB343" s="311"/>
      <c r="BC343" s="311"/>
      <c r="BD343" s="311"/>
      <c r="BE343" s="311"/>
      <c r="BF343" s="311"/>
      <c r="BG343" s="311"/>
      <c r="BH343" s="311"/>
      <c r="BI343" s="311"/>
      <c r="BJ343" s="311"/>
      <c r="BK343" s="311"/>
      <c r="BL343" s="311"/>
      <c r="BM343" s="311"/>
      <c r="BN343" s="311"/>
      <c r="BO343" s="311"/>
      <c r="BP343" s="311"/>
      <c r="BQ343" s="311"/>
      <c r="BR343" s="311"/>
      <c r="BS343" s="311"/>
      <c r="BT343" s="311"/>
      <c r="BU343" s="311"/>
    </row>
    <row r="344" spans="1:73" ht="15" customHeight="1">
      <c r="A344" s="360"/>
      <c r="B344" s="361" t="s">
        <v>7</v>
      </c>
      <c r="C344" s="361"/>
      <c r="D344" s="362" t="s">
        <v>31</v>
      </c>
      <c r="E344" s="362"/>
      <c r="F344" s="363" t="s">
        <v>12</v>
      </c>
      <c r="G344" s="363" t="s">
        <v>12</v>
      </c>
      <c r="H344" s="363" t="s">
        <v>12</v>
      </c>
      <c r="I344" s="347">
        <f>I345+I352+I355</f>
        <v>0</v>
      </c>
      <c r="J344" s="347">
        <f>J345+J352+J355</f>
        <v>0</v>
      </c>
      <c r="K344" s="347">
        <f>K345+K352+K355</f>
        <v>0</v>
      </c>
      <c r="L344" s="351"/>
      <c r="M344" s="347">
        <f>M345+M352+M355</f>
        <v>0</v>
      </c>
      <c r="N344" s="364"/>
      <c r="O344" s="346"/>
      <c r="P344" s="346"/>
      <c r="Q344" s="346"/>
      <c r="R344" s="346"/>
      <c r="S344" s="346"/>
      <c r="T344" s="346"/>
      <c r="U344" s="346"/>
      <c r="V344" s="346"/>
      <c r="W344" s="346"/>
      <c r="X344" s="346"/>
      <c r="Y344" s="311"/>
      <c r="Z344" s="311"/>
      <c r="AA344" s="311"/>
      <c r="AB344" s="311"/>
      <c r="AC344" s="311"/>
      <c r="AD344" s="311"/>
      <c r="AE344" s="311"/>
      <c r="AF344" s="311"/>
      <c r="AG344" s="311"/>
      <c r="AH344" s="311"/>
      <c r="AI344" s="351" t="s">
        <v>7</v>
      </c>
      <c r="AJ344" s="311"/>
      <c r="AK344" s="311"/>
      <c r="AL344" s="311"/>
      <c r="AM344" s="311"/>
      <c r="AN344" s="311"/>
      <c r="AO344" s="311"/>
      <c r="AP344" s="311"/>
      <c r="AQ344" s="311"/>
      <c r="AR344" s="311"/>
      <c r="AS344" s="311"/>
      <c r="AT344" s="311"/>
      <c r="AU344" s="311"/>
      <c r="AV344" s="311"/>
      <c r="AW344" s="311"/>
      <c r="AX344" s="311"/>
      <c r="AY344" s="311"/>
      <c r="AZ344" s="311"/>
      <c r="BA344" s="311"/>
      <c r="BB344" s="311"/>
      <c r="BC344" s="311"/>
      <c r="BD344" s="311"/>
      <c r="BE344" s="311"/>
      <c r="BF344" s="311"/>
      <c r="BG344" s="311"/>
      <c r="BH344" s="311"/>
      <c r="BI344" s="311"/>
      <c r="BJ344" s="311"/>
      <c r="BK344" s="311"/>
      <c r="BL344" s="311"/>
      <c r="BM344" s="311"/>
      <c r="BN344" s="311"/>
      <c r="BO344" s="311"/>
      <c r="BP344" s="311"/>
      <c r="BQ344" s="311"/>
      <c r="BR344" s="311"/>
      <c r="BS344" s="311"/>
      <c r="BT344" s="311"/>
      <c r="BU344" s="311"/>
    </row>
    <row r="345" spans="1:73" ht="15" customHeight="1">
      <c r="A345" s="360"/>
      <c r="B345" s="361" t="s">
        <v>7</v>
      </c>
      <c r="C345" s="361" t="s">
        <v>30</v>
      </c>
      <c r="D345" s="362" t="s">
        <v>27</v>
      </c>
      <c r="E345" s="362"/>
      <c r="F345" s="363" t="s">
        <v>12</v>
      </c>
      <c r="G345" s="363" t="s">
        <v>12</v>
      </c>
      <c r="H345" s="363" t="s">
        <v>12</v>
      </c>
      <c r="I345" s="347">
        <f>SUM(I346:I350)</f>
        <v>0</v>
      </c>
      <c r="J345" s="347">
        <f>SUM(J346:J350)</f>
        <v>0</v>
      </c>
      <c r="K345" s="347">
        <f>SUM(K346:K350)</f>
        <v>0</v>
      </c>
      <c r="L345" s="351"/>
      <c r="M345" s="347">
        <f>SUM(M346:M350)</f>
        <v>0</v>
      </c>
      <c r="N345" s="364"/>
      <c r="O345" s="346"/>
      <c r="P345" s="346"/>
      <c r="Q345" s="346"/>
      <c r="R345" s="346"/>
      <c r="S345" s="346"/>
      <c r="T345" s="346"/>
      <c r="U345" s="346"/>
      <c r="V345" s="346"/>
      <c r="W345" s="346"/>
      <c r="X345" s="346"/>
      <c r="Y345" s="311"/>
      <c r="Z345" s="311"/>
      <c r="AA345" s="311"/>
      <c r="AB345" s="311"/>
      <c r="AC345" s="311"/>
      <c r="AD345" s="311"/>
      <c r="AE345" s="311"/>
      <c r="AF345" s="311"/>
      <c r="AG345" s="311"/>
      <c r="AH345" s="311"/>
      <c r="AI345" s="351" t="s">
        <v>7</v>
      </c>
      <c r="AJ345" s="311"/>
      <c r="AK345" s="311"/>
      <c r="AL345" s="311"/>
      <c r="AM345" s="311"/>
      <c r="AN345" s="311"/>
      <c r="AO345" s="311"/>
      <c r="AP345" s="311"/>
      <c r="AQ345" s="311"/>
      <c r="AR345" s="311"/>
      <c r="AS345" s="347">
        <f>SUM(AJ346:AJ350)</f>
        <v>0</v>
      </c>
      <c r="AT345" s="347">
        <f>SUM(AK346:AK350)</f>
        <v>0</v>
      </c>
      <c r="AU345" s="347">
        <f>SUM(AL346:AL350)</f>
        <v>0</v>
      </c>
      <c r="AV345" s="311"/>
      <c r="AW345" s="311"/>
      <c r="AX345" s="311"/>
      <c r="AY345" s="311"/>
      <c r="AZ345" s="311"/>
      <c r="BA345" s="311"/>
      <c r="BB345" s="311"/>
      <c r="BC345" s="311"/>
      <c r="BD345" s="311"/>
      <c r="BE345" s="311"/>
      <c r="BF345" s="311"/>
      <c r="BG345" s="311"/>
      <c r="BH345" s="311"/>
      <c r="BI345" s="311"/>
      <c r="BJ345" s="311"/>
      <c r="BK345" s="311"/>
      <c r="BL345" s="311"/>
      <c r="BM345" s="311"/>
      <c r="BN345" s="311"/>
      <c r="BO345" s="311"/>
      <c r="BP345" s="311"/>
      <c r="BQ345" s="311"/>
      <c r="BR345" s="311"/>
      <c r="BS345" s="311"/>
      <c r="BT345" s="311"/>
      <c r="BU345" s="311"/>
    </row>
    <row r="346" spans="1:73" ht="15" customHeight="1">
      <c r="A346" s="365" t="s">
        <v>29</v>
      </c>
      <c r="B346" s="366" t="s">
        <v>7</v>
      </c>
      <c r="C346" s="366" t="s">
        <v>28</v>
      </c>
      <c r="D346" s="304" t="s">
        <v>27</v>
      </c>
      <c r="E346" s="304"/>
      <c r="F346" s="366" t="s">
        <v>8</v>
      </c>
      <c r="G346" s="367">
        <f>'[2]Stavební rozpočet'!G319</f>
        <v>1</v>
      </c>
      <c r="H346" s="328">
        <v>0</v>
      </c>
      <c r="I346" s="367">
        <f>G346*AO346</f>
        <v>0</v>
      </c>
      <c r="J346" s="367">
        <f>G346*AP346</f>
        <v>0</v>
      </c>
      <c r="K346" s="367">
        <f>G346*H346</f>
        <v>0</v>
      </c>
      <c r="L346" s="367">
        <f>'[2]Stavební rozpočet'!L319</f>
        <v>0</v>
      </c>
      <c r="M346" s="367">
        <f>G346*L346</f>
        <v>0</v>
      </c>
      <c r="N346" s="368"/>
      <c r="O346" s="346"/>
      <c r="P346" s="346"/>
      <c r="Q346" s="346"/>
      <c r="R346" s="346"/>
      <c r="S346" s="346"/>
      <c r="T346" s="346"/>
      <c r="U346" s="346"/>
      <c r="V346" s="346"/>
      <c r="W346" s="346"/>
      <c r="X346" s="346"/>
      <c r="Y346" s="311"/>
      <c r="Z346" s="367">
        <f>IF(AQ346="5",BJ346,0)</f>
        <v>0</v>
      </c>
      <c r="AA346" s="311"/>
      <c r="AB346" s="367">
        <f>IF(AQ346="1",BH346,0)</f>
        <v>0</v>
      </c>
      <c r="AC346" s="367">
        <f>IF(AQ346="1",BI346,0)</f>
        <v>0</v>
      </c>
      <c r="AD346" s="367">
        <f>IF(AQ346="7",BH346,0)</f>
        <v>0</v>
      </c>
      <c r="AE346" s="367">
        <f>IF(AQ346="7",BI346,0)</f>
        <v>0</v>
      </c>
      <c r="AF346" s="367">
        <f>IF(AQ346="2",BH346,0)</f>
        <v>0</v>
      </c>
      <c r="AG346" s="367">
        <f>IF(AQ346="2",BI346,0)</f>
        <v>0</v>
      </c>
      <c r="AH346" s="367">
        <f>IF(AQ346="0",BJ346,0)</f>
        <v>0</v>
      </c>
      <c r="AI346" s="351" t="s">
        <v>7</v>
      </c>
      <c r="AJ346" s="367">
        <f>IF(AN346=0,K346,0)</f>
        <v>0</v>
      </c>
      <c r="AK346" s="367">
        <f>IF(AN346=15,K346,0)</f>
        <v>0</v>
      </c>
      <c r="AL346" s="367">
        <f>IF(AN346=21,K346,0)</f>
        <v>0</v>
      </c>
      <c r="AM346" s="311"/>
      <c r="AN346" s="367">
        <v>21</v>
      </c>
      <c r="AO346" s="367">
        <f>H346*0</f>
        <v>0</v>
      </c>
      <c r="AP346" s="367">
        <f>H346*(1-0)</f>
        <v>0</v>
      </c>
      <c r="AQ346" s="369" t="s">
        <v>6</v>
      </c>
      <c r="AR346" s="311"/>
      <c r="AS346" s="311"/>
      <c r="AT346" s="311"/>
      <c r="AU346" s="311"/>
      <c r="AV346" s="367">
        <f>AW346+AX346</f>
        <v>0</v>
      </c>
      <c r="AW346" s="367">
        <f>G346*AO346</f>
        <v>0</v>
      </c>
      <c r="AX346" s="367">
        <f>G346*AP346</f>
        <v>0</v>
      </c>
      <c r="AY346" s="369" t="s">
        <v>20</v>
      </c>
      <c r="AZ346" s="369" t="s">
        <v>4</v>
      </c>
      <c r="BA346" s="351" t="s">
        <v>3</v>
      </c>
      <c r="BB346" s="311"/>
      <c r="BC346" s="367">
        <f>AW346+AX346</f>
        <v>0</v>
      </c>
      <c r="BD346" s="367">
        <f>H346/(100-BE346)*100</f>
        <v>0</v>
      </c>
      <c r="BE346" s="367">
        <v>0</v>
      </c>
      <c r="BF346" s="367">
        <f>M346</f>
        <v>0</v>
      </c>
      <c r="BG346" s="311"/>
      <c r="BH346" s="367">
        <f>G346*AO346</f>
        <v>0</v>
      </c>
      <c r="BI346" s="367">
        <f>G346*AP346</f>
        <v>0</v>
      </c>
      <c r="BJ346" s="367">
        <f>G346*H346</f>
        <v>0</v>
      </c>
      <c r="BK346" s="367"/>
      <c r="BL346" s="367"/>
      <c r="BM346" s="311"/>
      <c r="BN346" s="311"/>
      <c r="BO346" s="367">
        <f>G346*H346</f>
        <v>0</v>
      </c>
      <c r="BP346" s="311"/>
      <c r="BQ346" s="311"/>
      <c r="BR346" s="311"/>
      <c r="BS346" s="311"/>
      <c r="BT346" s="311"/>
      <c r="BU346" s="311"/>
    </row>
    <row r="347" spans="1:73" ht="15" customHeight="1">
      <c r="A347" s="370"/>
      <c r="B347" s="311"/>
      <c r="C347" s="311"/>
      <c r="D347" s="371" t="s">
        <v>2</v>
      </c>
      <c r="E347" s="372"/>
      <c r="F347" s="311"/>
      <c r="G347" s="373">
        <v>1</v>
      </c>
      <c r="H347" s="327"/>
      <c r="I347" s="311"/>
      <c r="J347" s="311"/>
      <c r="K347" s="311"/>
      <c r="L347" s="311"/>
      <c r="M347" s="311"/>
      <c r="N347" s="374"/>
      <c r="O347" s="346"/>
      <c r="P347" s="346"/>
      <c r="Q347" s="346"/>
      <c r="R347" s="346"/>
      <c r="S347" s="346"/>
      <c r="T347" s="346"/>
      <c r="U347" s="346"/>
      <c r="V347" s="346"/>
      <c r="W347" s="346"/>
      <c r="X347" s="346"/>
      <c r="Y347" s="311"/>
      <c r="Z347" s="311"/>
      <c r="AA347" s="311"/>
      <c r="AB347" s="311"/>
      <c r="AC347" s="311"/>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1"/>
      <c r="AY347" s="311"/>
      <c r="AZ347" s="311"/>
      <c r="BA347" s="311"/>
      <c r="BB347" s="311"/>
      <c r="BC347" s="311"/>
      <c r="BD347" s="311"/>
      <c r="BE347" s="311"/>
      <c r="BF347" s="311"/>
      <c r="BG347" s="311"/>
      <c r="BH347" s="311"/>
      <c r="BI347" s="311"/>
      <c r="BJ347" s="311"/>
      <c r="BK347" s="311"/>
      <c r="BL347" s="311"/>
      <c r="BM347" s="311"/>
      <c r="BN347" s="311"/>
      <c r="BO347" s="311"/>
      <c r="BP347" s="311"/>
      <c r="BQ347" s="311"/>
      <c r="BR347" s="311"/>
      <c r="BS347" s="311"/>
      <c r="BT347" s="311"/>
      <c r="BU347" s="311"/>
    </row>
    <row r="348" spans="1:73" ht="15" customHeight="1">
      <c r="A348" s="365" t="s">
        <v>26</v>
      </c>
      <c r="B348" s="366" t="s">
        <v>7</v>
      </c>
      <c r="C348" s="366" t="s">
        <v>25</v>
      </c>
      <c r="D348" s="304" t="s">
        <v>24</v>
      </c>
      <c r="E348" s="304"/>
      <c r="F348" s="366" t="s">
        <v>8</v>
      </c>
      <c r="G348" s="367">
        <f>'[2]Stavební rozpočet'!G321</f>
        <v>1</v>
      </c>
      <c r="H348" s="328">
        <v>0</v>
      </c>
      <c r="I348" s="367">
        <f>G348*AO348</f>
        <v>0</v>
      </c>
      <c r="J348" s="367">
        <f>G348*AP348</f>
        <v>0</v>
      </c>
      <c r="K348" s="367">
        <f>G348*H348</f>
        <v>0</v>
      </c>
      <c r="L348" s="367">
        <f>'[2]Stavební rozpočet'!L321</f>
        <v>0</v>
      </c>
      <c r="M348" s="367">
        <f>G348*L348</f>
        <v>0</v>
      </c>
      <c r="N348" s="368"/>
      <c r="O348" s="346"/>
      <c r="P348" s="346"/>
      <c r="Q348" s="346"/>
      <c r="R348" s="346"/>
      <c r="S348" s="346"/>
      <c r="T348" s="346"/>
      <c r="U348" s="346"/>
      <c r="V348" s="346"/>
      <c r="W348" s="346"/>
      <c r="X348" s="346"/>
      <c r="Y348" s="311"/>
      <c r="Z348" s="367">
        <f>IF(AQ348="5",BJ348,0)</f>
        <v>0</v>
      </c>
      <c r="AA348" s="311"/>
      <c r="AB348" s="367">
        <f>IF(AQ348="1",BH348,0)</f>
        <v>0</v>
      </c>
      <c r="AC348" s="367">
        <f>IF(AQ348="1",BI348,0)</f>
        <v>0</v>
      </c>
      <c r="AD348" s="367">
        <f>IF(AQ348="7",BH348,0)</f>
        <v>0</v>
      </c>
      <c r="AE348" s="367">
        <f>IF(AQ348="7",BI348,0)</f>
        <v>0</v>
      </c>
      <c r="AF348" s="367">
        <f>IF(AQ348="2",BH348,0)</f>
        <v>0</v>
      </c>
      <c r="AG348" s="367">
        <f>IF(AQ348="2",BI348,0)</f>
        <v>0</v>
      </c>
      <c r="AH348" s="367">
        <f>IF(AQ348="0",BJ348,0)</f>
        <v>0</v>
      </c>
      <c r="AI348" s="351" t="s">
        <v>7</v>
      </c>
      <c r="AJ348" s="367">
        <f>IF(AN348=0,K348,0)</f>
        <v>0</v>
      </c>
      <c r="AK348" s="367">
        <f>IF(AN348=15,K348,0)</f>
        <v>0</v>
      </c>
      <c r="AL348" s="367">
        <f>IF(AN348=21,K348,0)</f>
        <v>0</v>
      </c>
      <c r="AM348" s="311"/>
      <c r="AN348" s="367">
        <v>21</v>
      </c>
      <c r="AO348" s="367">
        <f>H348*0</f>
        <v>0</v>
      </c>
      <c r="AP348" s="367">
        <f>H348*(1-0)</f>
        <v>0</v>
      </c>
      <c r="AQ348" s="369" t="s">
        <v>6</v>
      </c>
      <c r="AR348" s="311"/>
      <c r="AS348" s="311"/>
      <c r="AT348" s="311"/>
      <c r="AU348" s="311"/>
      <c r="AV348" s="367">
        <f>AW348+AX348</f>
        <v>0</v>
      </c>
      <c r="AW348" s="367">
        <f>G348*AO348</f>
        <v>0</v>
      </c>
      <c r="AX348" s="367">
        <f>G348*AP348</f>
        <v>0</v>
      </c>
      <c r="AY348" s="369" t="s">
        <v>20</v>
      </c>
      <c r="AZ348" s="369" t="s">
        <v>4</v>
      </c>
      <c r="BA348" s="351" t="s">
        <v>3</v>
      </c>
      <c r="BB348" s="311"/>
      <c r="BC348" s="367">
        <f>AW348+AX348</f>
        <v>0</v>
      </c>
      <c r="BD348" s="367">
        <f>H348/(100-BE348)*100</f>
        <v>0</v>
      </c>
      <c r="BE348" s="367">
        <v>0</v>
      </c>
      <c r="BF348" s="367">
        <f>M348</f>
        <v>0</v>
      </c>
      <c r="BG348" s="311"/>
      <c r="BH348" s="367">
        <f>G348*AO348</f>
        <v>0</v>
      </c>
      <c r="BI348" s="367">
        <f>G348*AP348</f>
        <v>0</v>
      </c>
      <c r="BJ348" s="367">
        <f>G348*H348</f>
        <v>0</v>
      </c>
      <c r="BK348" s="367"/>
      <c r="BL348" s="367"/>
      <c r="BM348" s="311"/>
      <c r="BN348" s="311"/>
      <c r="BO348" s="367">
        <f>G348*H348</f>
        <v>0</v>
      </c>
      <c r="BP348" s="311"/>
      <c r="BQ348" s="311"/>
      <c r="BR348" s="311"/>
      <c r="BS348" s="311"/>
      <c r="BT348" s="311"/>
      <c r="BU348" s="311"/>
    </row>
    <row r="349" spans="1:73" ht="15" customHeight="1">
      <c r="A349" s="370"/>
      <c r="B349" s="311"/>
      <c r="C349" s="311"/>
      <c r="D349" s="371" t="s">
        <v>2</v>
      </c>
      <c r="E349" s="372"/>
      <c r="F349" s="311"/>
      <c r="G349" s="373">
        <v>1</v>
      </c>
      <c r="H349" s="327"/>
      <c r="I349" s="311"/>
      <c r="J349" s="311"/>
      <c r="K349" s="311"/>
      <c r="L349" s="311"/>
      <c r="M349" s="311"/>
      <c r="N349" s="374"/>
      <c r="O349" s="346"/>
      <c r="P349" s="346"/>
      <c r="Q349" s="346"/>
      <c r="R349" s="346"/>
      <c r="S349" s="346"/>
      <c r="T349" s="346"/>
      <c r="U349" s="346"/>
      <c r="V349" s="346"/>
      <c r="W349" s="346"/>
      <c r="X349" s="346"/>
      <c r="Y349" s="311"/>
      <c r="Z349" s="311"/>
      <c r="AA349" s="311"/>
      <c r="AB349" s="311"/>
      <c r="AC349" s="311"/>
      <c r="AD349" s="311"/>
      <c r="AE349" s="311"/>
      <c r="AF349" s="311"/>
      <c r="AG349" s="311"/>
      <c r="AH349" s="311"/>
      <c r="AI349" s="311"/>
      <c r="AJ349" s="311"/>
      <c r="AK349" s="311"/>
      <c r="AL349" s="311"/>
      <c r="AM349" s="311"/>
      <c r="AN349" s="311"/>
      <c r="AO349" s="311"/>
      <c r="AP349" s="311"/>
      <c r="AQ349" s="311"/>
      <c r="AR349" s="311"/>
      <c r="AS349" s="311"/>
      <c r="AT349" s="311"/>
      <c r="AU349" s="311"/>
      <c r="AV349" s="311"/>
      <c r="AW349" s="311"/>
      <c r="AX349" s="311"/>
      <c r="AY349" s="311"/>
      <c r="AZ349" s="311"/>
      <c r="BA349" s="311"/>
      <c r="BB349" s="311"/>
      <c r="BC349" s="311"/>
      <c r="BD349" s="311"/>
      <c r="BE349" s="311"/>
      <c r="BF349" s="311"/>
      <c r="BG349" s="311"/>
      <c r="BH349" s="311"/>
      <c r="BI349" s="311"/>
      <c r="BJ349" s="311"/>
      <c r="BK349" s="311"/>
      <c r="BL349" s="311"/>
      <c r="BM349" s="311"/>
      <c r="BN349" s="311"/>
      <c r="BO349" s="311"/>
      <c r="BP349" s="311"/>
      <c r="BQ349" s="311"/>
      <c r="BR349" s="311"/>
      <c r="BS349" s="311"/>
      <c r="BT349" s="311"/>
      <c r="BU349" s="311"/>
    </row>
    <row r="350" spans="1:73" ht="15" customHeight="1">
      <c r="A350" s="365" t="s">
        <v>23</v>
      </c>
      <c r="B350" s="366" t="s">
        <v>7</v>
      </c>
      <c r="C350" s="366" t="s">
        <v>22</v>
      </c>
      <c r="D350" s="304" t="s">
        <v>21</v>
      </c>
      <c r="E350" s="304"/>
      <c r="F350" s="366" t="s">
        <v>8</v>
      </c>
      <c r="G350" s="367">
        <f>'[2]Stavební rozpočet'!G323</f>
        <v>1</v>
      </c>
      <c r="H350" s="328">
        <v>0</v>
      </c>
      <c r="I350" s="367">
        <f>G350*AO350</f>
        <v>0</v>
      </c>
      <c r="J350" s="367">
        <f>G350*AP350</f>
        <v>0</v>
      </c>
      <c r="K350" s="367">
        <f>G350*H350</f>
        <v>0</v>
      </c>
      <c r="L350" s="367">
        <f>'[2]Stavební rozpočet'!L323</f>
        <v>0</v>
      </c>
      <c r="M350" s="367">
        <f>G350*L350</f>
        <v>0</v>
      </c>
      <c r="N350" s="368"/>
      <c r="O350" s="346"/>
      <c r="P350" s="346"/>
      <c r="Q350" s="346"/>
      <c r="R350" s="346"/>
      <c r="S350" s="346"/>
      <c r="T350" s="346"/>
      <c r="U350" s="346"/>
      <c r="V350" s="346"/>
      <c r="W350" s="346"/>
      <c r="X350" s="346"/>
      <c r="Y350" s="311"/>
      <c r="Z350" s="367">
        <f>IF(AQ350="5",BJ350,0)</f>
        <v>0</v>
      </c>
      <c r="AA350" s="311"/>
      <c r="AB350" s="367">
        <f>IF(AQ350="1",BH350,0)</f>
        <v>0</v>
      </c>
      <c r="AC350" s="367">
        <f>IF(AQ350="1",BI350,0)</f>
        <v>0</v>
      </c>
      <c r="AD350" s="367">
        <f>IF(AQ350="7",BH350,0)</f>
        <v>0</v>
      </c>
      <c r="AE350" s="367">
        <f>IF(AQ350="7",BI350,0)</f>
        <v>0</v>
      </c>
      <c r="AF350" s="367">
        <f>IF(AQ350="2",BH350,0)</f>
        <v>0</v>
      </c>
      <c r="AG350" s="367">
        <f>IF(AQ350="2",BI350,0)</f>
        <v>0</v>
      </c>
      <c r="AH350" s="367">
        <f>IF(AQ350="0",BJ350,0)</f>
        <v>0</v>
      </c>
      <c r="AI350" s="351" t="s">
        <v>7</v>
      </c>
      <c r="AJ350" s="367">
        <f>IF(AN350=0,K350,0)</f>
        <v>0</v>
      </c>
      <c r="AK350" s="367">
        <f>IF(AN350=15,K350,0)</f>
        <v>0</v>
      </c>
      <c r="AL350" s="367">
        <f>IF(AN350=21,K350,0)</f>
        <v>0</v>
      </c>
      <c r="AM350" s="311"/>
      <c r="AN350" s="367">
        <v>21</v>
      </c>
      <c r="AO350" s="367">
        <f>H350*0</f>
        <v>0</v>
      </c>
      <c r="AP350" s="367">
        <f>H350*(1-0)</f>
        <v>0</v>
      </c>
      <c r="AQ350" s="369" t="s">
        <v>6</v>
      </c>
      <c r="AR350" s="311"/>
      <c r="AS350" s="311"/>
      <c r="AT350" s="311"/>
      <c r="AU350" s="311"/>
      <c r="AV350" s="367">
        <f>AW350+AX350</f>
        <v>0</v>
      </c>
      <c r="AW350" s="367">
        <f>G350*AO350</f>
        <v>0</v>
      </c>
      <c r="AX350" s="367">
        <f>G350*AP350</f>
        <v>0</v>
      </c>
      <c r="AY350" s="369" t="s">
        <v>20</v>
      </c>
      <c r="AZ350" s="369" t="s">
        <v>4</v>
      </c>
      <c r="BA350" s="351" t="s">
        <v>3</v>
      </c>
      <c r="BB350" s="311"/>
      <c r="BC350" s="367">
        <f>AW350+AX350</f>
        <v>0</v>
      </c>
      <c r="BD350" s="367">
        <f>H350/(100-BE350)*100</f>
        <v>0</v>
      </c>
      <c r="BE350" s="367">
        <v>0</v>
      </c>
      <c r="BF350" s="367">
        <f>M350</f>
        <v>0</v>
      </c>
      <c r="BG350" s="311"/>
      <c r="BH350" s="367">
        <f>G350*AO350</f>
        <v>0</v>
      </c>
      <c r="BI350" s="367">
        <f>G350*AP350</f>
        <v>0</v>
      </c>
      <c r="BJ350" s="367">
        <f>G350*H350</f>
        <v>0</v>
      </c>
      <c r="BK350" s="367"/>
      <c r="BL350" s="367"/>
      <c r="BM350" s="311"/>
      <c r="BN350" s="311"/>
      <c r="BO350" s="367">
        <f>G350*H350</f>
        <v>0</v>
      </c>
      <c r="BP350" s="311"/>
      <c r="BQ350" s="311"/>
      <c r="BR350" s="311"/>
      <c r="BS350" s="311"/>
      <c r="BT350" s="311"/>
      <c r="BU350" s="311"/>
    </row>
    <row r="351" spans="1:73" ht="15" customHeight="1">
      <c r="A351" s="370"/>
      <c r="B351" s="311"/>
      <c r="C351" s="311"/>
      <c r="D351" s="371" t="s">
        <v>2</v>
      </c>
      <c r="E351" s="372"/>
      <c r="F351" s="311"/>
      <c r="G351" s="373">
        <v>1</v>
      </c>
      <c r="H351" s="327"/>
      <c r="I351" s="311"/>
      <c r="J351" s="311"/>
      <c r="K351" s="311"/>
      <c r="L351" s="311"/>
      <c r="M351" s="311"/>
      <c r="N351" s="374"/>
      <c r="O351" s="346"/>
      <c r="P351" s="346"/>
      <c r="Q351" s="346"/>
      <c r="R351" s="346"/>
      <c r="S351" s="346"/>
      <c r="T351" s="346"/>
      <c r="U351" s="346"/>
      <c r="V351" s="346"/>
      <c r="W351" s="346"/>
      <c r="X351" s="346"/>
      <c r="Y351" s="311"/>
      <c r="Z351" s="311"/>
      <c r="AA351" s="311"/>
      <c r="AB351" s="311"/>
      <c r="AC351" s="311"/>
      <c r="AD351" s="311"/>
      <c r="AE351" s="311"/>
      <c r="AF351" s="311"/>
      <c r="AG351" s="311"/>
      <c r="AH351" s="311"/>
      <c r="AI351" s="311"/>
      <c r="AJ351" s="311"/>
      <c r="AK351" s="311"/>
      <c r="AL351" s="311"/>
      <c r="AM351" s="311"/>
      <c r="AN351" s="311"/>
      <c r="AO351" s="311"/>
      <c r="AP351" s="311"/>
      <c r="AQ351" s="311"/>
      <c r="AR351" s="311"/>
      <c r="AS351" s="311"/>
      <c r="AT351" s="311"/>
      <c r="AU351" s="311"/>
      <c r="AV351" s="311"/>
      <c r="AW351" s="311"/>
      <c r="AX351" s="311"/>
      <c r="AY351" s="311"/>
      <c r="AZ351" s="311"/>
      <c r="BA351" s="311"/>
      <c r="BB351" s="311"/>
      <c r="BC351" s="311"/>
      <c r="BD351" s="311"/>
      <c r="BE351" s="311"/>
      <c r="BF351" s="311"/>
      <c r="BG351" s="311"/>
      <c r="BH351" s="311"/>
      <c r="BI351" s="311"/>
      <c r="BJ351" s="311"/>
      <c r="BK351" s="311"/>
      <c r="BL351" s="311"/>
      <c r="BM351" s="311"/>
      <c r="BN351" s="311"/>
      <c r="BO351" s="311"/>
      <c r="BP351" s="311"/>
      <c r="BQ351" s="311"/>
      <c r="BR351" s="311"/>
      <c r="BS351" s="311"/>
      <c r="BT351" s="311"/>
      <c r="BU351" s="311"/>
    </row>
    <row r="352" spans="1:73" ht="15" customHeight="1">
      <c r="A352" s="360"/>
      <c r="B352" s="361" t="s">
        <v>7</v>
      </c>
      <c r="C352" s="361" t="s">
        <v>19</v>
      </c>
      <c r="D352" s="362" t="s">
        <v>16</v>
      </c>
      <c r="E352" s="362"/>
      <c r="F352" s="363" t="s">
        <v>12</v>
      </c>
      <c r="G352" s="363" t="s">
        <v>12</v>
      </c>
      <c r="H352" s="363" t="s">
        <v>12</v>
      </c>
      <c r="I352" s="347">
        <f>SUM(I353:I353)</f>
        <v>0</v>
      </c>
      <c r="J352" s="347">
        <f>SUM(J353:J353)</f>
        <v>0</v>
      </c>
      <c r="K352" s="347">
        <f>SUM(K353:K353)</f>
        <v>0</v>
      </c>
      <c r="L352" s="351"/>
      <c r="M352" s="347">
        <f>SUM(M353:M353)</f>
        <v>0</v>
      </c>
      <c r="N352" s="364"/>
      <c r="O352" s="346"/>
      <c r="P352" s="346"/>
      <c r="Q352" s="346"/>
      <c r="R352" s="346"/>
      <c r="S352" s="346"/>
      <c r="T352" s="346"/>
      <c r="U352" s="346"/>
      <c r="V352" s="346"/>
      <c r="W352" s="346"/>
      <c r="X352" s="346"/>
      <c r="Y352" s="311"/>
      <c r="Z352" s="311"/>
      <c r="AA352" s="311"/>
      <c r="AB352" s="311"/>
      <c r="AC352" s="311"/>
      <c r="AD352" s="311"/>
      <c r="AE352" s="311"/>
      <c r="AF352" s="311"/>
      <c r="AG352" s="311"/>
      <c r="AH352" s="311"/>
      <c r="AI352" s="351" t="s">
        <v>7</v>
      </c>
      <c r="AJ352" s="311"/>
      <c r="AK352" s="311"/>
      <c r="AL352" s="311"/>
      <c r="AM352" s="311"/>
      <c r="AN352" s="311"/>
      <c r="AO352" s="311"/>
      <c r="AP352" s="311"/>
      <c r="AQ352" s="311"/>
      <c r="AR352" s="311"/>
      <c r="AS352" s="347">
        <f>SUM(AJ353:AJ353)</f>
        <v>0</v>
      </c>
      <c r="AT352" s="347">
        <f>SUM(AK353:AK353)</f>
        <v>0</v>
      </c>
      <c r="AU352" s="347">
        <f>SUM(AL353:AL353)</f>
        <v>0</v>
      </c>
      <c r="AV352" s="311"/>
      <c r="AW352" s="311"/>
      <c r="AX352" s="311"/>
      <c r="AY352" s="311"/>
      <c r="AZ352" s="311"/>
      <c r="BA352" s="311"/>
      <c r="BB352" s="311"/>
      <c r="BC352" s="311"/>
      <c r="BD352" s="311"/>
      <c r="BE352" s="311"/>
      <c r="BF352" s="311"/>
      <c r="BG352" s="311"/>
      <c r="BH352" s="311"/>
      <c r="BI352" s="311"/>
      <c r="BJ352" s="311"/>
      <c r="BK352" s="311"/>
      <c r="BL352" s="311"/>
      <c r="BM352" s="311"/>
      <c r="BN352" s="311"/>
      <c r="BO352" s="311"/>
      <c r="BP352" s="311"/>
      <c r="BQ352" s="311"/>
      <c r="BR352" s="311"/>
      <c r="BS352" s="311"/>
      <c r="BT352" s="311"/>
      <c r="BU352" s="311"/>
    </row>
    <row r="353" spans="1:73" ht="15" customHeight="1">
      <c r="A353" s="365" t="s">
        <v>18</v>
      </c>
      <c r="B353" s="366" t="s">
        <v>7</v>
      </c>
      <c r="C353" s="366" t="s">
        <v>17</v>
      </c>
      <c r="D353" s="304" t="s">
        <v>16</v>
      </c>
      <c r="E353" s="304"/>
      <c r="F353" s="366" t="s">
        <v>8</v>
      </c>
      <c r="G353" s="367">
        <f>'[2]Stavební rozpočet'!G326</f>
        <v>1</v>
      </c>
      <c r="H353" s="328">
        <v>0</v>
      </c>
      <c r="I353" s="367">
        <f>G353*AO353</f>
        <v>0</v>
      </c>
      <c r="J353" s="367">
        <f>G353*AP353</f>
        <v>0</v>
      </c>
      <c r="K353" s="367">
        <f>G353*H353</f>
        <v>0</v>
      </c>
      <c r="L353" s="367">
        <f>'[2]Stavební rozpočet'!L326</f>
        <v>0</v>
      </c>
      <c r="M353" s="367">
        <f>G353*L353</f>
        <v>0</v>
      </c>
      <c r="N353" s="368"/>
      <c r="O353" s="346"/>
      <c r="P353" s="346"/>
      <c r="Q353" s="346"/>
      <c r="R353" s="346"/>
      <c r="S353" s="346"/>
      <c r="T353" s="346"/>
      <c r="U353" s="346"/>
      <c r="V353" s="346"/>
      <c r="W353" s="346"/>
      <c r="X353" s="346"/>
      <c r="Y353" s="311"/>
      <c r="Z353" s="367">
        <f>IF(AQ353="5",BJ353,0)</f>
        <v>0</v>
      </c>
      <c r="AA353" s="311"/>
      <c r="AB353" s="367">
        <f>IF(AQ353="1",BH353,0)</f>
        <v>0</v>
      </c>
      <c r="AC353" s="367">
        <f>IF(AQ353="1",BI353,0)</f>
        <v>0</v>
      </c>
      <c r="AD353" s="367">
        <f>IF(AQ353="7",BH353,0)</f>
        <v>0</v>
      </c>
      <c r="AE353" s="367">
        <f>IF(AQ353="7",BI353,0)</f>
        <v>0</v>
      </c>
      <c r="AF353" s="367">
        <f>IF(AQ353="2",BH353,0)</f>
        <v>0</v>
      </c>
      <c r="AG353" s="367">
        <f>IF(AQ353="2",BI353,0)</f>
        <v>0</v>
      </c>
      <c r="AH353" s="367">
        <f>IF(AQ353="0",BJ353,0)</f>
        <v>0</v>
      </c>
      <c r="AI353" s="351" t="s">
        <v>7</v>
      </c>
      <c r="AJ353" s="367">
        <f>IF(AN353=0,K353,0)</f>
        <v>0</v>
      </c>
      <c r="AK353" s="367">
        <f>IF(AN353=15,K353,0)</f>
        <v>0</v>
      </c>
      <c r="AL353" s="367">
        <f>IF(AN353=21,K353,0)</f>
        <v>0</v>
      </c>
      <c r="AM353" s="311"/>
      <c r="AN353" s="367">
        <v>21</v>
      </c>
      <c r="AO353" s="367">
        <f>H353*0</f>
        <v>0</v>
      </c>
      <c r="AP353" s="367">
        <f>H353*(1-0)</f>
        <v>0</v>
      </c>
      <c r="AQ353" s="369" t="s">
        <v>6</v>
      </c>
      <c r="AR353" s="311"/>
      <c r="AS353" s="311"/>
      <c r="AT353" s="311"/>
      <c r="AU353" s="311"/>
      <c r="AV353" s="367">
        <f>AW353+AX353</f>
        <v>0</v>
      </c>
      <c r="AW353" s="367">
        <f>G353*AO353</f>
        <v>0</v>
      </c>
      <c r="AX353" s="367">
        <f>G353*AP353</f>
        <v>0</v>
      </c>
      <c r="AY353" s="369" t="s">
        <v>15</v>
      </c>
      <c r="AZ353" s="369" t="s">
        <v>4</v>
      </c>
      <c r="BA353" s="351" t="s">
        <v>3</v>
      </c>
      <c r="BB353" s="311"/>
      <c r="BC353" s="367">
        <f>AW353+AX353</f>
        <v>0</v>
      </c>
      <c r="BD353" s="367">
        <f>H353/(100-BE353)*100</f>
        <v>0</v>
      </c>
      <c r="BE353" s="367">
        <v>0</v>
      </c>
      <c r="BF353" s="367">
        <f>M353</f>
        <v>0</v>
      </c>
      <c r="BG353" s="311"/>
      <c r="BH353" s="367">
        <f>G353*AO353</f>
        <v>0</v>
      </c>
      <c r="BI353" s="367">
        <f>G353*AP353</f>
        <v>0</v>
      </c>
      <c r="BJ353" s="367">
        <f>G353*H353</f>
        <v>0</v>
      </c>
      <c r="BK353" s="367"/>
      <c r="BL353" s="367"/>
      <c r="BM353" s="311"/>
      <c r="BN353" s="311"/>
      <c r="BO353" s="311"/>
      <c r="BP353" s="367">
        <f>G353*H353</f>
        <v>0</v>
      </c>
      <c r="BQ353" s="311"/>
      <c r="BR353" s="311"/>
      <c r="BS353" s="311"/>
      <c r="BT353" s="311"/>
      <c r="BU353" s="311"/>
    </row>
    <row r="354" spans="1:73" ht="15" customHeight="1">
      <c r="A354" s="370"/>
      <c r="B354" s="311"/>
      <c r="C354" s="311"/>
      <c r="D354" s="371" t="s">
        <v>2</v>
      </c>
      <c r="E354" s="372"/>
      <c r="F354" s="311"/>
      <c r="G354" s="373">
        <v>1</v>
      </c>
      <c r="H354" s="327"/>
      <c r="I354" s="311"/>
      <c r="J354" s="311"/>
      <c r="K354" s="311"/>
      <c r="L354" s="311"/>
      <c r="M354" s="311"/>
      <c r="N354" s="374"/>
      <c r="O354" s="346"/>
      <c r="P354" s="346"/>
      <c r="Q354" s="346"/>
      <c r="R354" s="346"/>
      <c r="S354" s="346"/>
      <c r="T354" s="346"/>
      <c r="U354" s="346"/>
      <c r="V354" s="346"/>
      <c r="W354" s="346"/>
      <c r="X354" s="346"/>
      <c r="Y354" s="311"/>
      <c r="Z354" s="311"/>
      <c r="AA354" s="311"/>
      <c r="AB354" s="311"/>
      <c r="AC354" s="311"/>
      <c r="AD354" s="311"/>
      <c r="AE354" s="311"/>
      <c r="AF354" s="311"/>
      <c r="AG354" s="311"/>
      <c r="AH354" s="311"/>
      <c r="AI354" s="311"/>
      <c r="AJ354" s="311"/>
      <c r="AK354" s="311"/>
      <c r="AL354" s="311"/>
      <c r="AM354" s="311"/>
      <c r="AN354" s="311"/>
      <c r="AO354" s="311"/>
      <c r="AP354" s="311"/>
      <c r="AQ354" s="311"/>
      <c r="AR354" s="311"/>
      <c r="AS354" s="311"/>
      <c r="AT354" s="311"/>
      <c r="AU354" s="311"/>
      <c r="AV354" s="311"/>
      <c r="AW354" s="311"/>
      <c r="AX354" s="311"/>
      <c r="AY354" s="311"/>
      <c r="AZ354" s="311"/>
      <c r="BA354" s="311"/>
      <c r="BB354" s="311"/>
      <c r="BC354" s="311"/>
      <c r="BD354" s="311"/>
      <c r="BE354" s="311"/>
      <c r="BF354" s="311"/>
      <c r="BG354" s="311"/>
      <c r="BH354" s="311"/>
      <c r="BI354" s="311"/>
      <c r="BJ354" s="311"/>
      <c r="BK354" s="311"/>
      <c r="BL354" s="311"/>
      <c r="BM354" s="311"/>
      <c r="BN354" s="311"/>
      <c r="BO354" s="311"/>
      <c r="BP354" s="311"/>
      <c r="BQ354" s="311"/>
      <c r="BR354" s="311"/>
      <c r="BS354" s="311"/>
      <c r="BT354" s="311"/>
      <c r="BU354" s="311"/>
    </row>
    <row r="355" spans="1:73" ht="15" customHeight="1">
      <c r="A355" s="360"/>
      <c r="B355" s="361" t="s">
        <v>7</v>
      </c>
      <c r="C355" s="361" t="s">
        <v>14</v>
      </c>
      <c r="D355" s="362" t="s">
        <v>13</v>
      </c>
      <c r="E355" s="362"/>
      <c r="F355" s="363" t="s">
        <v>12</v>
      </c>
      <c r="G355" s="363" t="s">
        <v>12</v>
      </c>
      <c r="H355" s="363" t="s">
        <v>12</v>
      </c>
      <c r="I355" s="347">
        <f>SUM(I356:I356)</f>
        <v>0</v>
      </c>
      <c r="J355" s="347">
        <f>SUM(J356:J356)</f>
        <v>0</v>
      </c>
      <c r="K355" s="347">
        <f>SUM(K356:K356)</f>
        <v>0</v>
      </c>
      <c r="L355" s="351"/>
      <c r="M355" s="347">
        <f>SUM(M356:M356)</f>
        <v>0</v>
      </c>
      <c r="N355" s="364"/>
      <c r="O355" s="346"/>
      <c r="P355" s="346"/>
      <c r="Q355" s="346"/>
      <c r="R355" s="346"/>
      <c r="S355" s="346"/>
      <c r="T355" s="346"/>
      <c r="U355" s="346"/>
      <c r="V355" s="346"/>
      <c r="W355" s="346"/>
      <c r="X355" s="346"/>
      <c r="Y355" s="311"/>
      <c r="Z355" s="311"/>
      <c r="AA355" s="311"/>
      <c r="AB355" s="311"/>
      <c r="AC355" s="311"/>
      <c r="AD355" s="311"/>
      <c r="AE355" s="311"/>
      <c r="AF355" s="311"/>
      <c r="AG355" s="311"/>
      <c r="AH355" s="311"/>
      <c r="AI355" s="351" t="s">
        <v>7</v>
      </c>
      <c r="AJ355" s="311"/>
      <c r="AK355" s="311"/>
      <c r="AL355" s="311"/>
      <c r="AM355" s="311"/>
      <c r="AN355" s="311"/>
      <c r="AO355" s="311"/>
      <c r="AP355" s="311"/>
      <c r="AQ355" s="311"/>
      <c r="AR355" s="311"/>
      <c r="AS355" s="347">
        <f>SUM(AJ356:AJ356)</f>
        <v>0</v>
      </c>
      <c r="AT355" s="347">
        <f>SUM(AK356:AK356)</f>
        <v>0</v>
      </c>
      <c r="AU355" s="347">
        <f>SUM(AL356:AL356)</f>
        <v>0</v>
      </c>
      <c r="AV355" s="311"/>
      <c r="AW355" s="311"/>
      <c r="AX355" s="311"/>
      <c r="AY355" s="311"/>
      <c r="AZ355" s="311"/>
      <c r="BA355" s="311"/>
      <c r="BB355" s="311"/>
      <c r="BC355" s="311"/>
      <c r="BD355" s="311"/>
      <c r="BE355" s="311"/>
      <c r="BF355" s="311"/>
      <c r="BG355" s="311"/>
      <c r="BH355" s="311"/>
      <c r="BI355" s="311"/>
      <c r="BJ355" s="311"/>
      <c r="BK355" s="311"/>
      <c r="BL355" s="311"/>
      <c r="BM355" s="311"/>
      <c r="BN355" s="311"/>
      <c r="BO355" s="311"/>
      <c r="BP355" s="311"/>
      <c r="BQ355" s="311"/>
      <c r="BR355" s="311"/>
      <c r="BS355" s="311"/>
      <c r="BT355" s="311"/>
      <c r="BU355" s="311"/>
    </row>
    <row r="356" spans="1:73" ht="15" customHeight="1">
      <c r="A356" s="365" t="s">
        <v>11</v>
      </c>
      <c r="B356" s="366" t="s">
        <v>7</v>
      </c>
      <c r="C356" s="366" t="s">
        <v>10</v>
      </c>
      <c r="D356" s="304" t="s">
        <v>9</v>
      </c>
      <c r="E356" s="304"/>
      <c r="F356" s="366" t="s">
        <v>8</v>
      </c>
      <c r="G356" s="367">
        <f>'[2]Stavební rozpočet'!G332</f>
        <v>1</v>
      </c>
      <c r="H356" s="328">
        <v>0</v>
      </c>
      <c r="I356" s="367">
        <f>G356*AO356</f>
        <v>0</v>
      </c>
      <c r="J356" s="367">
        <f>G356*AP356</f>
        <v>0</v>
      </c>
      <c r="K356" s="367">
        <f>G356*H356</f>
        <v>0</v>
      </c>
      <c r="L356" s="367">
        <f>'[2]Stavební rozpočet'!L332</f>
        <v>0</v>
      </c>
      <c r="M356" s="367">
        <f>G356*L356</f>
        <v>0</v>
      </c>
      <c r="N356" s="368"/>
      <c r="O356" s="346"/>
      <c r="P356" s="346"/>
      <c r="Q356" s="346"/>
      <c r="R356" s="346"/>
      <c r="S356" s="346"/>
      <c r="T356" s="346"/>
      <c r="U356" s="346"/>
      <c r="V356" s="346"/>
      <c r="W356" s="346"/>
      <c r="X356" s="346"/>
      <c r="Y356" s="311"/>
      <c r="Z356" s="367">
        <f>IF(AQ356="5",BJ356,0)</f>
        <v>0</v>
      </c>
      <c r="AA356" s="311"/>
      <c r="AB356" s="367">
        <f>IF(AQ356="1",BH356,0)</f>
        <v>0</v>
      </c>
      <c r="AC356" s="367">
        <f>IF(AQ356="1",BI356,0)</f>
        <v>0</v>
      </c>
      <c r="AD356" s="367">
        <f>IF(AQ356="7",BH356,0)</f>
        <v>0</v>
      </c>
      <c r="AE356" s="367">
        <f>IF(AQ356="7",BI356,0)</f>
        <v>0</v>
      </c>
      <c r="AF356" s="367">
        <f>IF(AQ356="2",BH356,0)</f>
        <v>0</v>
      </c>
      <c r="AG356" s="367">
        <f>IF(AQ356="2",BI356,0)</f>
        <v>0</v>
      </c>
      <c r="AH356" s="367">
        <f>IF(AQ356="0",BJ356,0)</f>
        <v>0</v>
      </c>
      <c r="AI356" s="351" t="s">
        <v>7</v>
      </c>
      <c r="AJ356" s="367">
        <f>IF(AN356=0,K356,0)</f>
        <v>0</v>
      </c>
      <c r="AK356" s="367">
        <f>IF(AN356=15,K356,0)</f>
        <v>0</v>
      </c>
      <c r="AL356" s="367">
        <f>IF(AN356=21,K356,0)</f>
        <v>0</v>
      </c>
      <c r="AM356" s="311"/>
      <c r="AN356" s="367">
        <v>21</v>
      </c>
      <c r="AO356" s="367">
        <f>H356*0</f>
        <v>0</v>
      </c>
      <c r="AP356" s="367">
        <f>H356*(1-0)</f>
        <v>0</v>
      </c>
      <c r="AQ356" s="369" t="s">
        <v>6</v>
      </c>
      <c r="AR356" s="311"/>
      <c r="AS356" s="311"/>
      <c r="AT356" s="311"/>
      <c r="AU356" s="311"/>
      <c r="AV356" s="367">
        <f>AW356+AX356</f>
        <v>0</v>
      </c>
      <c r="AW356" s="367">
        <f>G356*AO356</f>
        <v>0</v>
      </c>
      <c r="AX356" s="367">
        <f>G356*AP356</f>
        <v>0</v>
      </c>
      <c r="AY356" s="369" t="s">
        <v>5</v>
      </c>
      <c r="AZ356" s="369" t="s">
        <v>4</v>
      </c>
      <c r="BA356" s="351" t="s">
        <v>3</v>
      </c>
      <c r="BB356" s="311"/>
      <c r="BC356" s="367">
        <f>AW356+AX356</f>
        <v>0</v>
      </c>
      <c r="BD356" s="367">
        <f>H356/(100-BE356)*100</f>
        <v>0</v>
      </c>
      <c r="BE356" s="367">
        <v>0</v>
      </c>
      <c r="BF356" s="367">
        <f>M356</f>
        <v>0</v>
      </c>
      <c r="BG356" s="311"/>
      <c r="BH356" s="367">
        <f>G356*AO356</f>
        <v>0</v>
      </c>
      <c r="BI356" s="367">
        <f>G356*AP356</f>
        <v>0</v>
      </c>
      <c r="BJ356" s="367">
        <f>G356*H356</f>
        <v>0</v>
      </c>
      <c r="BK356" s="367"/>
      <c r="BL356" s="367"/>
      <c r="BM356" s="311"/>
      <c r="BN356" s="311"/>
      <c r="BO356" s="311"/>
      <c r="BP356" s="311"/>
      <c r="BQ356" s="311"/>
      <c r="BR356" s="311"/>
      <c r="BS356" s="311"/>
      <c r="BT356" s="311"/>
      <c r="BU356" s="367">
        <f>G356*H356</f>
        <v>0</v>
      </c>
    </row>
    <row r="357" spans="1:73" ht="15" customHeight="1">
      <c r="A357" s="376"/>
      <c r="B357" s="377"/>
      <c r="C357" s="377"/>
      <c r="D357" s="378" t="s">
        <v>2</v>
      </c>
      <c r="E357" s="379"/>
      <c r="F357" s="377"/>
      <c r="G357" s="380">
        <v>1</v>
      </c>
      <c r="H357" s="329"/>
      <c r="I357" s="377"/>
      <c r="J357" s="377"/>
      <c r="K357" s="377"/>
      <c r="L357" s="377"/>
      <c r="M357" s="377"/>
      <c r="N357" s="381"/>
      <c r="O357" s="346"/>
      <c r="P357" s="346"/>
      <c r="Q357" s="346"/>
      <c r="R357" s="346"/>
      <c r="S357" s="346"/>
      <c r="T357" s="346"/>
      <c r="U357" s="346"/>
      <c r="V357" s="346"/>
      <c r="W357" s="346"/>
      <c r="X357" s="346"/>
      <c r="Y357" s="311"/>
      <c r="Z357" s="311"/>
      <c r="AA357" s="311"/>
      <c r="AB357" s="311"/>
      <c r="AC357" s="311"/>
      <c r="AD357" s="311"/>
      <c r="AE357" s="311"/>
      <c r="AF357" s="311"/>
      <c r="AG357" s="311"/>
      <c r="AH357" s="311"/>
      <c r="AI357" s="311"/>
      <c r="AJ357" s="311"/>
      <c r="AK357" s="311"/>
      <c r="AL357" s="311"/>
      <c r="AM357" s="311"/>
      <c r="AN357" s="311"/>
      <c r="AO357" s="311"/>
      <c r="AP357" s="311"/>
      <c r="AQ357" s="311"/>
      <c r="AR357" s="311"/>
      <c r="AS357" s="311"/>
      <c r="AT357" s="311"/>
      <c r="AU357" s="311"/>
      <c r="AV357" s="311"/>
      <c r="AW357" s="311"/>
      <c r="AX357" s="311"/>
      <c r="AY357" s="311"/>
      <c r="AZ357" s="311"/>
      <c r="BA357" s="311"/>
      <c r="BB357" s="311"/>
      <c r="BC357" s="311"/>
      <c r="BD357" s="311"/>
      <c r="BE357" s="311"/>
      <c r="BF357" s="311"/>
      <c r="BG357" s="311"/>
      <c r="BH357" s="311"/>
      <c r="BI357" s="311"/>
      <c r="BJ357" s="311"/>
      <c r="BK357" s="311"/>
      <c r="BL357" s="311"/>
      <c r="BM357" s="311"/>
      <c r="BN357" s="311"/>
      <c r="BO357" s="311"/>
      <c r="BP357" s="311"/>
      <c r="BQ357" s="311"/>
      <c r="BR357" s="311"/>
      <c r="BS357" s="311"/>
      <c r="BT357" s="311"/>
      <c r="BU357" s="311"/>
    </row>
    <row r="358" spans="1:73" ht="15" customHeight="1">
      <c r="A358" s="311"/>
      <c r="B358" s="311"/>
      <c r="C358" s="311"/>
      <c r="D358" s="311"/>
      <c r="E358" s="311"/>
      <c r="F358" s="311"/>
      <c r="G358" s="311"/>
      <c r="H358" s="311"/>
      <c r="I358" s="382" t="s">
        <v>1</v>
      </c>
      <c r="J358" s="382"/>
      <c r="K358" s="383">
        <f>ROUND(K13+K20+K27+K34+K42+K71+K81+K109+K178+K185+K206+K209+K261+K267+K274+K283+K292+K312+K329+K331+K345+K352+K355,0)</f>
        <v>0</v>
      </c>
      <c r="L358" s="311"/>
      <c r="M358" s="311"/>
      <c r="N358" s="311"/>
      <c r="O358" s="346"/>
      <c r="P358" s="346"/>
      <c r="Q358" s="346"/>
      <c r="R358" s="346"/>
      <c r="S358" s="346"/>
      <c r="T358" s="346"/>
      <c r="U358" s="346"/>
      <c r="V358" s="346"/>
      <c r="W358" s="346"/>
      <c r="X358" s="346"/>
      <c r="Y358" s="311"/>
      <c r="Z358" s="311"/>
      <c r="AA358" s="311"/>
      <c r="AB358" s="311"/>
      <c r="AC358" s="311"/>
      <c r="AD358" s="311"/>
      <c r="AE358" s="311"/>
      <c r="AF358" s="311"/>
      <c r="AG358" s="311"/>
      <c r="AH358" s="311"/>
      <c r="AI358" s="311"/>
      <c r="AJ358" s="311"/>
      <c r="AK358" s="311"/>
      <c r="AL358" s="311"/>
      <c r="AM358" s="311"/>
      <c r="AN358" s="311"/>
      <c r="AO358" s="311"/>
      <c r="AP358" s="311"/>
      <c r="AQ358" s="311"/>
      <c r="AR358" s="311"/>
      <c r="AS358" s="311"/>
      <c r="AT358" s="311"/>
      <c r="AU358" s="311"/>
      <c r="AV358" s="311"/>
      <c r="AW358" s="311"/>
      <c r="AX358" s="311"/>
      <c r="AY358" s="311"/>
      <c r="AZ358" s="311"/>
      <c r="BA358" s="311"/>
      <c r="BB358" s="311"/>
      <c r="BC358" s="311"/>
      <c r="BD358" s="311"/>
      <c r="BE358" s="311"/>
      <c r="BF358" s="311"/>
      <c r="BG358" s="311"/>
      <c r="BH358" s="311"/>
      <c r="BI358" s="311"/>
      <c r="BJ358" s="311"/>
      <c r="BK358" s="311"/>
      <c r="BL358" s="311"/>
      <c r="BM358" s="311"/>
      <c r="BN358" s="311"/>
      <c r="BO358" s="311"/>
      <c r="BP358" s="311"/>
      <c r="BQ358" s="311"/>
      <c r="BR358" s="311"/>
      <c r="BS358" s="311"/>
      <c r="BT358" s="311"/>
      <c r="BU358" s="311"/>
    </row>
    <row r="359" spans="1:73" ht="15" customHeight="1">
      <c r="A359" s="324" t="s">
        <v>0</v>
      </c>
      <c r="B359" s="311"/>
      <c r="C359" s="311"/>
      <c r="D359" s="311"/>
      <c r="E359" s="311"/>
      <c r="F359" s="311"/>
      <c r="G359" s="311"/>
      <c r="H359" s="311"/>
      <c r="I359" s="311"/>
      <c r="J359" s="311"/>
      <c r="K359" s="311"/>
      <c r="L359" s="311"/>
      <c r="M359" s="311"/>
      <c r="N359" s="311"/>
      <c r="O359" s="346"/>
      <c r="P359" s="346"/>
      <c r="Q359" s="346"/>
      <c r="R359" s="346"/>
      <c r="S359" s="346"/>
      <c r="T359" s="346"/>
      <c r="U359" s="346"/>
      <c r="V359" s="346"/>
      <c r="W359" s="346"/>
      <c r="X359" s="346"/>
      <c r="Y359" s="311"/>
      <c r="Z359" s="311"/>
      <c r="AA359" s="311"/>
      <c r="AB359" s="311"/>
      <c r="AC359" s="311"/>
      <c r="AD359" s="311"/>
      <c r="AE359" s="311"/>
      <c r="AF359" s="311"/>
      <c r="AG359" s="311"/>
      <c r="AH359" s="311"/>
      <c r="AI359" s="311"/>
      <c r="AJ359" s="311"/>
      <c r="AK359" s="311"/>
      <c r="AL359" s="311"/>
      <c r="AM359" s="311"/>
      <c r="AN359" s="311"/>
      <c r="AO359" s="311"/>
      <c r="AP359" s="311"/>
      <c r="AQ359" s="311"/>
      <c r="AR359" s="311"/>
      <c r="AS359" s="311"/>
      <c r="AT359" s="311"/>
      <c r="AU359" s="311"/>
      <c r="AV359" s="311"/>
      <c r="AW359" s="311"/>
      <c r="AX359" s="311"/>
      <c r="AY359" s="311"/>
      <c r="AZ359" s="311"/>
      <c r="BA359" s="311"/>
      <c r="BB359" s="311"/>
      <c r="BC359" s="311"/>
      <c r="BD359" s="311"/>
      <c r="BE359" s="311"/>
      <c r="BF359" s="311"/>
      <c r="BG359" s="311"/>
      <c r="BH359" s="311"/>
      <c r="BI359" s="311"/>
      <c r="BJ359" s="311"/>
      <c r="BK359" s="311"/>
      <c r="BL359" s="311"/>
      <c r="BM359" s="311"/>
      <c r="BN359" s="311"/>
      <c r="BO359" s="311"/>
      <c r="BP359" s="311"/>
      <c r="BQ359" s="311"/>
      <c r="BR359" s="311"/>
      <c r="BS359" s="311"/>
      <c r="BT359" s="311"/>
      <c r="BU359" s="311"/>
    </row>
    <row r="360" spans="1:14" ht="12.75" customHeight="1">
      <c r="A360" s="325"/>
      <c r="B360" s="325"/>
      <c r="C360" s="325"/>
      <c r="D360" s="325"/>
      <c r="E360" s="325"/>
      <c r="F360" s="325"/>
      <c r="G360" s="325"/>
      <c r="H360" s="325"/>
      <c r="I360" s="325"/>
      <c r="J360" s="325"/>
      <c r="K360" s="325"/>
      <c r="L360" s="325"/>
      <c r="M360" s="325"/>
      <c r="N360" s="325"/>
    </row>
  </sheetData>
  <sheetProtection algorithmName="SHA-512" hashValue="0ZS1tLwS9WEE3uu9b/fruucV9V4k9x1tkpemQG5uk8L7qkqSJYVJYGlgGhXvQnLC/QIkT6mmg0JHjhWfOg3RNw==" saltValue="Jo0lXYuGdaM2ai0ZtVS3FA==" spinCount="100000" sheet="1" objects="1" scenarios="1" selectLockedCells="1"/>
  <mergeCells count="194">
    <mergeCell ref="A1:N1"/>
    <mergeCell ref="A2:C3"/>
    <mergeCell ref="D2:D3"/>
    <mergeCell ref="E2:E3"/>
    <mergeCell ref="F2:G3"/>
    <mergeCell ref="H2:H3"/>
    <mergeCell ref="I2:N3"/>
    <mergeCell ref="A4:C5"/>
    <mergeCell ref="D4:D5"/>
    <mergeCell ref="E4:E5"/>
    <mergeCell ref="F4:G5"/>
    <mergeCell ref="H4:H5"/>
    <mergeCell ref="I4:N5"/>
    <mergeCell ref="A6:C7"/>
    <mergeCell ref="D6:D7"/>
    <mergeCell ref="E6:E7"/>
    <mergeCell ref="F6:G7"/>
    <mergeCell ref="H6:H7"/>
    <mergeCell ref="I6:N7"/>
    <mergeCell ref="A8:C9"/>
    <mergeCell ref="D8:D9"/>
    <mergeCell ref="E8:E9"/>
    <mergeCell ref="F8:G9"/>
    <mergeCell ref="H8:H9"/>
    <mergeCell ref="I8:N9"/>
    <mergeCell ref="D10:E10"/>
    <mergeCell ref="I10:K10"/>
    <mergeCell ref="L10:M10"/>
    <mergeCell ref="D11:E11"/>
    <mergeCell ref="D12:E12"/>
    <mergeCell ref="D13:E13"/>
    <mergeCell ref="D14:E14"/>
    <mergeCell ref="D16:E16"/>
    <mergeCell ref="D18:E18"/>
    <mergeCell ref="D20:E20"/>
    <mergeCell ref="D21:E21"/>
    <mergeCell ref="D23:E23"/>
    <mergeCell ref="D25:E25"/>
    <mergeCell ref="D27:E27"/>
    <mergeCell ref="D28:E28"/>
    <mergeCell ref="D30:E30"/>
    <mergeCell ref="D34:E34"/>
    <mergeCell ref="D35:E35"/>
    <mergeCell ref="D37:E37"/>
    <mergeCell ref="D38:N38"/>
    <mergeCell ref="D40:E40"/>
    <mergeCell ref="D42:E42"/>
    <mergeCell ref="D43:E43"/>
    <mergeCell ref="D61:E61"/>
    <mergeCell ref="D66:E66"/>
    <mergeCell ref="D68:E68"/>
    <mergeCell ref="D69:N69"/>
    <mergeCell ref="D71:E71"/>
    <mergeCell ref="D72:E72"/>
    <mergeCell ref="D74:E74"/>
    <mergeCell ref="D75:N75"/>
    <mergeCell ref="D77:E77"/>
    <mergeCell ref="D79:E79"/>
    <mergeCell ref="D81:E81"/>
    <mergeCell ref="D82:E82"/>
    <mergeCell ref="D85:E85"/>
    <mergeCell ref="D87:E87"/>
    <mergeCell ref="D89:E89"/>
    <mergeCell ref="D91:E91"/>
    <mergeCell ref="D93:E93"/>
    <mergeCell ref="D95:E95"/>
    <mergeCell ref="D97:E97"/>
    <mergeCell ref="D100:E100"/>
    <mergeCell ref="D101:N101"/>
    <mergeCell ref="D103:E103"/>
    <mergeCell ref="D105:E105"/>
    <mergeCell ref="D107:E107"/>
    <mergeCell ref="D109:E109"/>
    <mergeCell ref="D110:E110"/>
    <mergeCell ref="D113:E113"/>
    <mergeCell ref="D115:E115"/>
    <mergeCell ref="D117:E117"/>
    <mergeCell ref="D120:E120"/>
    <mergeCell ref="D122:E122"/>
    <mergeCell ref="D125:E125"/>
    <mergeCell ref="D127:E127"/>
    <mergeCell ref="D128:N128"/>
    <mergeCell ref="D130:E130"/>
    <mergeCell ref="D131:N131"/>
    <mergeCell ref="D133:E133"/>
    <mergeCell ref="D134:N134"/>
    <mergeCell ref="D136:E136"/>
    <mergeCell ref="D137:N137"/>
    <mergeCell ref="D139:E139"/>
    <mergeCell ref="D140:N140"/>
    <mergeCell ref="D142:E142"/>
    <mergeCell ref="D143:N143"/>
    <mergeCell ref="D145:E145"/>
    <mergeCell ref="D146:N146"/>
    <mergeCell ref="D148:E148"/>
    <mergeCell ref="D149:N149"/>
    <mergeCell ref="D151:E151"/>
    <mergeCell ref="D152:N152"/>
    <mergeCell ref="D154:E154"/>
    <mergeCell ref="D155:N155"/>
    <mergeCell ref="D157:E157"/>
    <mergeCell ref="D158:N158"/>
    <mergeCell ref="D160:E160"/>
    <mergeCell ref="D161:N161"/>
    <mergeCell ref="D163:E163"/>
    <mergeCell ref="D164:N164"/>
    <mergeCell ref="D166:E166"/>
    <mergeCell ref="D167:N167"/>
    <mergeCell ref="D169:E169"/>
    <mergeCell ref="D171:E171"/>
    <mergeCell ref="D172:N172"/>
    <mergeCell ref="D174:E174"/>
    <mergeCell ref="D175:N175"/>
    <mergeCell ref="D177:E177"/>
    <mergeCell ref="D178:E178"/>
    <mergeCell ref="D179:E179"/>
    <mergeCell ref="D180:N180"/>
    <mergeCell ref="D182:E182"/>
    <mergeCell ref="D183:N183"/>
    <mergeCell ref="D185:E185"/>
    <mergeCell ref="D186:E186"/>
    <mergeCell ref="D188:E188"/>
    <mergeCell ref="D190:E190"/>
    <mergeCell ref="D193:E193"/>
    <mergeCell ref="D195:E195"/>
    <mergeCell ref="D197:E197"/>
    <mergeCell ref="D199:E199"/>
    <mergeCell ref="D202:E202"/>
    <mergeCell ref="D203:N203"/>
    <mergeCell ref="D205:E205"/>
    <mergeCell ref="D206:E206"/>
    <mergeCell ref="D207:E207"/>
    <mergeCell ref="D209:E209"/>
    <mergeCell ref="D210:E210"/>
    <mergeCell ref="D215:E215"/>
    <mergeCell ref="D216:N216"/>
    <mergeCell ref="D230:E230"/>
    <mergeCell ref="D244:E244"/>
    <mergeCell ref="D258:E258"/>
    <mergeCell ref="D261:E261"/>
    <mergeCell ref="D262:E262"/>
    <mergeCell ref="D267:E267"/>
    <mergeCell ref="D268:E268"/>
    <mergeCell ref="D269:N269"/>
    <mergeCell ref="D271:E271"/>
    <mergeCell ref="D274:E274"/>
    <mergeCell ref="D275:E275"/>
    <mergeCell ref="D277:E277"/>
    <mergeCell ref="D279:E279"/>
    <mergeCell ref="D281:E281"/>
    <mergeCell ref="D283:E283"/>
    <mergeCell ref="D284:E284"/>
    <mergeCell ref="D286:E286"/>
    <mergeCell ref="D287:N287"/>
    <mergeCell ref="D289:E289"/>
    <mergeCell ref="D290:N290"/>
    <mergeCell ref="D292:E292"/>
    <mergeCell ref="D293:E293"/>
    <mergeCell ref="D295:E295"/>
    <mergeCell ref="D297:E297"/>
    <mergeCell ref="D299:E299"/>
    <mergeCell ref="D301:E301"/>
    <mergeCell ref="D303:E303"/>
    <mergeCell ref="D305:E305"/>
    <mergeCell ref="D308:E308"/>
    <mergeCell ref="D310:E310"/>
    <mergeCell ref="D312:E312"/>
    <mergeCell ref="D313:E313"/>
    <mergeCell ref="D315:E315"/>
    <mergeCell ref="D317:E317"/>
    <mergeCell ref="D319:E319"/>
    <mergeCell ref="D322:E322"/>
    <mergeCell ref="D325:E325"/>
    <mergeCell ref="D327:E327"/>
    <mergeCell ref="D329:E329"/>
    <mergeCell ref="D330:E330"/>
    <mergeCell ref="D331:E331"/>
    <mergeCell ref="D332:E332"/>
    <mergeCell ref="D334:E334"/>
    <mergeCell ref="D336:E336"/>
    <mergeCell ref="D338:E338"/>
    <mergeCell ref="D340:E340"/>
    <mergeCell ref="D342:E342"/>
    <mergeCell ref="D344:E344"/>
    <mergeCell ref="D345:E345"/>
    <mergeCell ref="D346:E346"/>
    <mergeCell ref="D348:E348"/>
    <mergeCell ref="D356:E356"/>
    <mergeCell ref="I358:J358"/>
    <mergeCell ref="A360:N360"/>
    <mergeCell ref="D350:E350"/>
    <mergeCell ref="D352:E352"/>
    <mergeCell ref="D353:E353"/>
    <mergeCell ref="D355:E355"/>
  </mergeCells>
  <printOptions/>
  <pageMargins left="0.39375" right="0.39375" top="0.5909722222222222" bottom="0.5909722222222222" header="0.5118110236220472" footer="0.5118110236220472"/>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94251-A201-4C47-AE94-33A8799D844B}">
  <sheetPr>
    <pageSetUpPr fitToPage="1"/>
  </sheetPr>
  <dimension ref="A1:I60"/>
  <sheetViews>
    <sheetView showGridLines="0" workbookViewId="0" topLeftCell="A7">
      <selection activeCell="F20" sqref="F20"/>
    </sheetView>
  </sheetViews>
  <sheetFormatPr defaultColWidth="9.00390625" defaultRowHeight="15"/>
  <cols>
    <col min="1" max="1" width="4.28125" style="23" customWidth="1"/>
    <col min="2" max="2" width="8.00390625" style="22" customWidth="1"/>
    <col min="3" max="3" width="45.57421875" style="22" customWidth="1"/>
    <col min="4" max="4" width="4.7109375" style="22" customWidth="1"/>
    <col min="5" max="5" width="9.7109375" style="20" customWidth="1"/>
    <col min="6" max="6" width="11.421875" style="21" customWidth="1"/>
    <col min="7" max="7" width="15.28125" style="21" customWidth="1"/>
    <col min="8" max="8" width="11.421875" style="20" customWidth="1"/>
    <col min="9" max="9" width="11.421875" style="19" customWidth="1"/>
    <col min="10" max="10" width="19.421875" style="19" customWidth="1"/>
    <col min="11" max="255" width="9.00390625" style="19" customWidth="1"/>
    <col min="256" max="256" width="3.28125" style="19" customWidth="1"/>
    <col min="257" max="257" width="10.28125" style="19" customWidth="1"/>
    <col min="258" max="258" width="44.00390625" style="19" customWidth="1"/>
    <col min="259" max="259" width="4.7109375" style="19" customWidth="1"/>
    <col min="260" max="260" width="9.7109375" style="19" customWidth="1"/>
    <col min="261" max="261" width="11.421875" style="19" customWidth="1"/>
    <col min="262" max="262" width="15.28125" style="19" customWidth="1"/>
    <col min="263" max="263" width="11.421875" style="19" customWidth="1"/>
    <col min="264" max="511" width="9.00390625" style="19" customWidth="1"/>
    <col min="512" max="512" width="3.28125" style="19" customWidth="1"/>
    <col min="513" max="513" width="10.28125" style="19" customWidth="1"/>
    <col min="514" max="514" width="44.00390625" style="19" customWidth="1"/>
    <col min="515" max="515" width="4.7109375" style="19" customWidth="1"/>
    <col min="516" max="516" width="9.7109375" style="19" customWidth="1"/>
    <col min="517" max="517" width="11.421875" style="19" customWidth="1"/>
    <col min="518" max="518" width="15.28125" style="19" customWidth="1"/>
    <col min="519" max="519" width="11.421875" style="19" customWidth="1"/>
    <col min="520" max="767" width="9.00390625" style="19" customWidth="1"/>
    <col min="768" max="768" width="3.28125" style="19" customWidth="1"/>
    <col min="769" max="769" width="10.28125" style="19" customWidth="1"/>
    <col min="770" max="770" width="44.00390625" style="19" customWidth="1"/>
    <col min="771" max="771" width="4.7109375" style="19" customWidth="1"/>
    <col min="772" max="772" width="9.7109375" style="19" customWidth="1"/>
    <col min="773" max="773" width="11.421875" style="19" customWidth="1"/>
    <col min="774" max="774" width="15.28125" style="19" customWidth="1"/>
    <col min="775" max="775" width="11.421875" style="19" customWidth="1"/>
    <col min="776" max="1023" width="9.00390625" style="19" customWidth="1"/>
    <col min="1024" max="1024" width="3.28125" style="19" customWidth="1"/>
    <col min="1025" max="16384" width="9.00390625" style="18" customWidth="1"/>
  </cols>
  <sheetData>
    <row r="1" spans="1:8" s="19" customFormat="1" ht="27.75" customHeight="1">
      <c r="A1" s="261" t="s">
        <v>652</v>
      </c>
      <c r="B1" s="261"/>
      <c r="C1" s="261"/>
      <c r="D1" s="261"/>
      <c r="E1" s="261"/>
      <c r="F1" s="261"/>
      <c r="G1" s="261"/>
      <c r="H1" s="261"/>
    </row>
    <row r="2" spans="1:9" s="19" customFormat="1" ht="12.75" customHeight="1">
      <c r="A2" s="262" t="s">
        <v>651</v>
      </c>
      <c r="B2" s="262"/>
      <c r="C2" s="262"/>
      <c r="D2" s="262"/>
      <c r="E2" s="262"/>
      <c r="F2" s="262"/>
      <c r="G2" s="262"/>
      <c r="H2" s="262"/>
      <c r="I2" s="262"/>
    </row>
    <row r="3" spans="1:8" s="19" customFormat="1" ht="12.75" customHeight="1">
      <c r="A3" s="63"/>
      <c r="B3" s="63"/>
      <c r="C3" s="63"/>
      <c r="D3" s="63"/>
      <c r="E3" s="63"/>
      <c r="F3" s="63"/>
      <c r="G3" s="63"/>
      <c r="H3" s="63"/>
    </row>
    <row r="4" spans="1:8" s="19" customFormat="1" ht="13.5" customHeight="1">
      <c r="A4" s="64"/>
      <c r="B4" s="63"/>
      <c r="C4" s="64"/>
      <c r="D4" s="63"/>
      <c r="E4" s="63"/>
      <c r="F4" s="63"/>
      <c r="G4" s="63"/>
      <c r="H4" s="63"/>
    </row>
    <row r="5" spans="1:8" s="19" customFormat="1" ht="6.75" customHeight="1">
      <c r="A5" s="62"/>
      <c r="B5" s="60"/>
      <c r="C5" s="61"/>
      <c r="D5" s="60"/>
      <c r="E5" s="59"/>
      <c r="F5" s="58"/>
      <c r="G5" s="58"/>
      <c r="H5" s="57"/>
    </row>
    <row r="6" spans="1:8" s="19" customFormat="1" ht="12.75" customHeight="1">
      <c r="A6" s="53" t="s">
        <v>650</v>
      </c>
      <c r="B6" s="53"/>
      <c r="C6" s="53"/>
      <c r="D6" s="53"/>
      <c r="E6" s="53"/>
      <c r="F6" s="53"/>
      <c r="G6" s="53"/>
      <c r="H6" s="53"/>
    </row>
    <row r="7" spans="1:8" s="19" customFormat="1" ht="12.75" customHeight="1">
      <c r="A7" s="53" t="s">
        <v>649</v>
      </c>
      <c r="B7" s="53"/>
      <c r="C7" s="53" t="s">
        <v>648</v>
      </c>
      <c r="D7" s="53"/>
      <c r="E7" s="53"/>
      <c r="F7" s="53"/>
      <c r="G7" s="53" t="s">
        <v>647</v>
      </c>
      <c r="H7" s="53"/>
    </row>
    <row r="8" spans="1:8" s="19" customFormat="1" ht="12.75" customHeight="1">
      <c r="A8" s="53" t="s">
        <v>646</v>
      </c>
      <c r="B8" s="56"/>
      <c r="C8" s="56"/>
      <c r="D8" s="56"/>
      <c r="E8" s="55"/>
      <c r="F8" s="54"/>
      <c r="G8" s="53" t="s">
        <v>645</v>
      </c>
      <c r="H8" s="52">
        <v>45057</v>
      </c>
    </row>
    <row r="9" spans="1:8" s="19" customFormat="1" ht="6.75" customHeight="1">
      <c r="A9" s="49"/>
      <c r="B9" s="49"/>
      <c r="C9" s="49"/>
      <c r="D9" s="49"/>
      <c r="E9" s="49"/>
      <c r="F9" s="49"/>
      <c r="G9" s="49"/>
      <c r="H9" s="49"/>
    </row>
    <row r="10" spans="1:9" s="19" customFormat="1" ht="28.5" customHeight="1">
      <c r="A10" s="50" t="s">
        <v>644</v>
      </c>
      <c r="B10" s="50" t="s">
        <v>643</v>
      </c>
      <c r="C10" s="50" t="s">
        <v>642</v>
      </c>
      <c r="D10" s="50" t="s">
        <v>557</v>
      </c>
      <c r="E10" s="50" t="s">
        <v>641</v>
      </c>
      <c r="F10" s="50" t="s">
        <v>640</v>
      </c>
      <c r="G10" s="50" t="s">
        <v>639</v>
      </c>
      <c r="H10" s="50" t="s">
        <v>638</v>
      </c>
      <c r="I10" s="51" t="s">
        <v>637</v>
      </c>
    </row>
    <row r="11" spans="1:9" s="19" customFormat="1" ht="12.75" customHeight="1" hidden="1">
      <c r="A11" s="50" t="s">
        <v>2</v>
      </c>
      <c r="B11" s="50" t="s">
        <v>151</v>
      </c>
      <c r="C11" s="50" t="s">
        <v>320</v>
      </c>
      <c r="D11" s="50" t="s">
        <v>517</v>
      </c>
      <c r="E11" s="50" t="s">
        <v>35</v>
      </c>
      <c r="F11" s="50" t="s">
        <v>510</v>
      </c>
      <c r="G11" s="50" t="s">
        <v>178</v>
      </c>
      <c r="H11" s="50" t="s">
        <v>501</v>
      </c>
      <c r="I11" s="44"/>
    </row>
    <row r="12" spans="1:9" s="19" customFormat="1" ht="5.25" customHeight="1">
      <c r="A12" s="49"/>
      <c r="B12" s="49"/>
      <c r="C12" s="49"/>
      <c r="D12" s="49"/>
      <c r="E12" s="49"/>
      <c r="F12" s="49"/>
      <c r="G12" s="49"/>
      <c r="H12" s="49"/>
      <c r="I12" s="44"/>
    </row>
    <row r="13" spans="1:9" s="19" customFormat="1" ht="30.75" customHeight="1">
      <c r="A13" s="48"/>
      <c r="B13" s="47" t="s">
        <v>636</v>
      </c>
      <c r="C13" s="47" t="s">
        <v>635</v>
      </c>
      <c r="D13" s="47"/>
      <c r="E13" s="45"/>
      <c r="F13" s="46"/>
      <c r="G13" s="46">
        <f>G14+G46</f>
        <v>0</v>
      </c>
      <c r="H13" s="45"/>
      <c r="I13" s="44"/>
    </row>
    <row r="14" spans="1:9" s="19" customFormat="1" ht="28.5" customHeight="1">
      <c r="A14" s="36"/>
      <c r="B14" s="35"/>
      <c r="C14" s="35" t="s">
        <v>634</v>
      </c>
      <c r="D14" s="35"/>
      <c r="E14" s="33"/>
      <c r="F14" s="34"/>
      <c r="G14" s="34">
        <f>SUM(G15:G43)</f>
        <v>0</v>
      </c>
      <c r="H14" s="33"/>
      <c r="I14" s="44"/>
    </row>
    <row r="15" spans="1:9" s="19" customFormat="1" ht="12.95" customHeight="1">
      <c r="A15" s="30"/>
      <c r="B15" s="29"/>
      <c r="C15" s="28" t="s">
        <v>633</v>
      </c>
      <c r="D15" s="27" t="s">
        <v>143</v>
      </c>
      <c r="E15" s="26">
        <v>1</v>
      </c>
      <c r="F15" s="384">
        <v>0</v>
      </c>
      <c r="G15" s="26">
        <f aca="true" t="shared" si="0" ref="G15:G29">E15*F15</f>
        <v>0</v>
      </c>
      <c r="H15" s="25"/>
      <c r="I15" s="24"/>
    </row>
    <row r="16" spans="1:9" s="19" customFormat="1" ht="12.95" customHeight="1">
      <c r="A16" s="30"/>
      <c r="B16" s="29"/>
      <c r="C16" s="28" t="s">
        <v>632</v>
      </c>
      <c r="D16" s="27" t="s">
        <v>143</v>
      </c>
      <c r="E16" s="26">
        <v>1</v>
      </c>
      <c r="F16" s="384">
        <v>0</v>
      </c>
      <c r="G16" s="26">
        <f t="shared" si="0"/>
        <v>0</v>
      </c>
      <c r="H16" s="25"/>
      <c r="I16" s="24"/>
    </row>
    <row r="17" spans="1:9" s="19" customFormat="1" ht="12.95" customHeight="1">
      <c r="A17" s="30"/>
      <c r="B17" s="29"/>
      <c r="C17" s="28" t="s">
        <v>631</v>
      </c>
      <c r="D17" s="27" t="s">
        <v>143</v>
      </c>
      <c r="E17" s="26">
        <v>1</v>
      </c>
      <c r="F17" s="384">
        <v>0</v>
      </c>
      <c r="G17" s="26">
        <f t="shared" si="0"/>
        <v>0</v>
      </c>
      <c r="H17" s="25"/>
      <c r="I17" s="24"/>
    </row>
    <row r="18" spans="1:9" s="19" customFormat="1" ht="12.95" customHeight="1">
      <c r="A18" s="30"/>
      <c r="B18" s="29"/>
      <c r="C18" s="28" t="s">
        <v>630</v>
      </c>
      <c r="D18" s="27" t="s">
        <v>143</v>
      </c>
      <c r="E18" s="26">
        <v>1</v>
      </c>
      <c r="F18" s="384">
        <v>0</v>
      </c>
      <c r="G18" s="26">
        <f t="shared" si="0"/>
        <v>0</v>
      </c>
      <c r="H18" s="25"/>
      <c r="I18" s="24"/>
    </row>
    <row r="19" spans="1:9" s="19" customFormat="1" ht="12.95" customHeight="1">
      <c r="A19" s="30"/>
      <c r="B19" s="29"/>
      <c r="C19" s="28" t="s">
        <v>629</v>
      </c>
      <c r="D19" s="27" t="s">
        <v>143</v>
      </c>
      <c r="E19" s="26">
        <v>1</v>
      </c>
      <c r="F19" s="384">
        <v>0</v>
      </c>
      <c r="G19" s="26">
        <f t="shared" si="0"/>
        <v>0</v>
      </c>
      <c r="H19" s="25"/>
      <c r="I19" s="24"/>
    </row>
    <row r="20" spans="1:9" s="19" customFormat="1" ht="12.95" customHeight="1">
      <c r="A20" s="30"/>
      <c r="B20" s="29"/>
      <c r="C20" s="28" t="s">
        <v>628</v>
      </c>
      <c r="D20" s="27" t="s">
        <v>143</v>
      </c>
      <c r="E20" s="26">
        <v>1</v>
      </c>
      <c r="F20" s="384">
        <v>0</v>
      </c>
      <c r="G20" s="26">
        <f t="shared" si="0"/>
        <v>0</v>
      </c>
      <c r="H20" s="25"/>
      <c r="I20" s="24"/>
    </row>
    <row r="21" spans="1:9" s="19" customFormat="1" ht="12.95" customHeight="1">
      <c r="A21" s="30"/>
      <c r="B21" s="29"/>
      <c r="C21" s="28" t="s">
        <v>627</v>
      </c>
      <c r="D21" s="27" t="s">
        <v>143</v>
      </c>
      <c r="E21" s="26">
        <v>2</v>
      </c>
      <c r="F21" s="384">
        <v>0</v>
      </c>
      <c r="G21" s="26">
        <f t="shared" si="0"/>
        <v>0</v>
      </c>
      <c r="H21" s="25"/>
      <c r="I21" s="24"/>
    </row>
    <row r="22" spans="1:9" s="19" customFormat="1" ht="12.95" customHeight="1">
      <c r="A22" s="30"/>
      <c r="B22" s="29"/>
      <c r="C22" s="28" t="s">
        <v>626</v>
      </c>
      <c r="D22" s="27" t="s">
        <v>143</v>
      </c>
      <c r="E22" s="26">
        <v>1</v>
      </c>
      <c r="F22" s="384">
        <v>0</v>
      </c>
      <c r="G22" s="26">
        <f t="shared" si="0"/>
        <v>0</v>
      </c>
      <c r="H22" s="25"/>
      <c r="I22" s="24"/>
    </row>
    <row r="23" spans="1:9" s="19" customFormat="1" ht="12.95" customHeight="1">
      <c r="A23" s="30"/>
      <c r="B23" s="29"/>
      <c r="C23" s="28" t="s">
        <v>625</v>
      </c>
      <c r="D23" s="27" t="s">
        <v>143</v>
      </c>
      <c r="E23" s="26">
        <v>1</v>
      </c>
      <c r="F23" s="384">
        <v>0</v>
      </c>
      <c r="G23" s="26">
        <f t="shared" si="0"/>
        <v>0</v>
      </c>
      <c r="H23" s="25"/>
      <c r="I23" s="24"/>
    </row>
    <row r="24" spans="1:9" s="19" customFormat="1" ht="12.95" customHeight="1">
      <c r="A24" s="30"/>
      <c r="B24" s="29"/>
      <c r="C24" s="28" t="s">
        <v>624</v>
      </c>
      <c r="D24" s="27" t="s">
        <v>143</v>
      </c>
      <c r="E24" s="26">
        <v>1</v>
      </c>
      <c r="F24" s="384">
        <v>0</v>
      </c>
      <c r="G24" s="26">
        <f t="shared" si="0"/>
        <v>0</v>
      </c>
      <c r="H24" s="25"/>
      <c r="I24" s="24"/>
    </row>
    <row r="25" spans="1:8" s="19" customFormat="1" ht="12.95" customHeight="1">
      <c r="A25" s="30"/>
      <c r="B25" s="29"/>
      <c r="C25" s="28" t="s">
        <v>623</v>
      </c>
      <c r="D25" s="27" t="s">
        <v>143</v>
      </c>
      <c r="E25" s="26">
        <v>1</v>
      </c>
      <c r="F25" s="384">
        <v>0</v>
      </c>
      <c r="G25" s="26">
        <f t="shared" si="0"/>
        <v>0</v>
      </c>
      <c r="H25" s="25"/>
    </row>
    <row r="26" spans="1:9" s="19" customFormat="1" ht="12.95" customHeight="1">
      <c r="A26" s="30"/>
      <c r="B26" s="29"/>
      <c r="C26" s="28" t="s">
        <v>622</v>
      </c>
      <c r="D26" s="27" t="s">
        <v>143</v>
      </c>
      <c r="E26" s="26">
        <v>2</v>
      </c>
      <c r="F26" s="384">
        <v>0</v>
      </c>
      <c r="G26" s="26">
        <f t="shared" si="0"/>
        <v>0</v>
      </c>
      <c r="H26" s="25"/>
      <c r="I26" s="24"/>
    </row>
    <row r="27" spans="1:9" s="19" customFormat="1" ht="12.95" customHeight="1">
      <c r="A27" s="30"/>
      <c r="B27" s="29"/>
      <c r="C27" s="43" t="s">
        <v>621</v>
      </c>
      <c r="D27" s="27" t="s">
        <v>69</v>
      </c>
      <c r="E27" s="26">
        <v>14</v>
      </c>
      <c r="F27" s="384">
        <v>0</v>
      </c>
      <c r="G27" s="26">
        <f t="shared" si="0"/>
        <v>0</v>
      </c>
      <c r="H27" s="25"/>
      <c r="I27" s="24"/>
    </row>
    <row r="28" spans="1:9" s="19" customFormat="1" ht="12.95" customHeight="1">
      <c r="A28" s="30"/>
      <c r="B28" s="29"/>
      <c r="C28" s="43" t="s">
        <v>620</v>
      </c>
      <c r="D28" s="27" t="s">
        <v>69</v>
      </c>
      <c r="E28" s="26">
        <v>14</v>
      </c>
      <c r="F28" s="384">
        <v>0</v>
      </c>
      <c r="G28" s="26">
        <f t="shared" si="0"/>
        <v>0</v>
      </c>
      <c r="H28" s="25"/>
      <c r="I28" s="24"/>
    </row>
    <row r="29" spans="1:9" s="19" customFormat="1" ht="12.95" customHeight="1">
      <c r="A29" s="30"/>
      <c r="B29" s="29"/>
      <c r="C29" s="43" t="s">
        <v>619</v>
      </c>
      <c r="D29" s="27" t="s">
        <v>143</v>
      </c>
      <c r="E29" s="26">
        <v>1</v>
      </c>
      <c r="F29" s="384">
        <v>0</v>
      </c>
      <c r="G29" s="26">
        <f t="shared" si="0"/>
        <v>0</v>
      </c>
      <c r="H29" s="25"/>
      <c r="I29" s="24"/>
    </row>
    <row r="30" spans="1:9" s="19" customFormat="1" ht="12.95" customHeight="1">
      <c r="A30" s="30"/>
      <c r="B30" s="29"/>
      <c r="C30" s="43"/>
      <c r="D30" s="27"/>
      <c r="E30" s="26"/>
      <c r="F30" s="384"/>
      <c r="G30" s="26"/>
      <c r="H30" s="25"/>
      <c r="I30" s="24"/>
    </row>
    <row r="31" spans="1:9" s="19" customFormat="1" ht="12.95" customHeight="1">
      <c r="A31" s="30"/>
      <c r="B31" s="29"/>
      <c r="C31" s="28" t="s">
        <v>618</v>
      </c>
      <c r="D31" s="27" t="s">
        <v>69</v>
      </c>
      <c r="E31" s="26">
        <v>1</v>
      </c>
      <c r="F31" s="384">
        <v>0</v>
      </c>
      <c r="G31" s="26">
        <f aca="true" t="shared" si="1" ref="G31:G36">E31*F31</f>
        <v>0</v>
      </c>
      <c r="H31" s="25"/>
      <c r="I31" s="24"/>
    </row>
    <row r="32" spans="1:9" s="19" customFormat="1" ht="12.95" customHeight="1">
      <c r="A32" s="30"/>
      <c r="B32" s="29"/>
      <c r="C32" s="28" t="s">
        <v>617</v>
      </c>
      <c r="D32" s="27" t="s">
        <v>69</v>
      </c>
      <c r="E32" s="26">
        <v>7</v>
      </c>
      <c r="F32" s="384">
        <v>0</v>
      </c>
      <c r="G32" s="26">
        <f t="shared" si="1"/>
        <v>0</v>
      </c>
      <c r="H32" s="25"/>
      <c r="I32" s="24"/>
    </row>
    <row r="33" spans="1:9" s="19" customFormat="1" ht="12.95" customHeight="1">
      <c r="A33" s="30"/>
      <c r="B33" s="29"/>
      <c r="C33" s="28" t="s">
        <v>616</v>
      </c>
      <c r="D33" s="27" t="s">
        <v>69</v>
      </c>
      <c r="E33" s="26">
        <v>3</v>
      </c>
      <c r="F33" s="384">
        <v>0</v>
      </c>
      <c r="G33" s="26">
        <f t="shared" si="1"/>
        <v>0</v>
      </c>
      <c r="H33" s="25"/>
      <c r="I33" s="24"/>
    </row>
    <row r="34" spans="1:9" s="19" customFormat="1" ht="12.95" customHeight="1">
      <c r="A34" s="30"/>
      <c r="B34" s="29"/>
      <c r="C34" s="28" t="s">
        <v>615</v>
      </c>
      <c r="D34" s="27" t="s">
        <v>69</v>
      </c>
      <c r="E34" s="26">
        <v>2</v>
      </c>
      <c r="F34" s="384">
        <v>0</v>
      </c>
      <c r="G34" s="26">
        <f t="shared" si="1"/>
        <v>0</v>
      </c>
      <c r="H34" s="25"/>
      <c r="I34" s="24"/>
    </row>
    <row r="35" spans="1:9" s="19" customFormat="1" ht="21.75">
      <c r="A35" s="30"/>
      <c r="B35" s="29"/>
      <c r="C35" s="32" t="s">
        <v>614</v>
      </c>
      <c r="D35" s="27" t="s">
        <v>143</v>
      </c>
      <c r="E35" s="26">
        <v>2</v>
      </c>
      <c r="F35" s="384">
        <v>0</v>
      </c>
      <c r="G35" s="26">
        <f t="shared" si="1"/>
        <v>0</v>
      </c>
      <c r="H35" s="25"/>
      <c r="I35" s="24"/>
    </row>
    <row r="36" spans="1:9" s="19" customFormat="1" ht="12.95" customHeight="1">
      <c r="A36" s="30"/>
      <c r="B36" s="29"/>
      <c r="C36" s="28" t="s">
        <v>613</v>
      </c>
      <c r="D36" s="27" t="s">
        <v>143</v>
      </c>
      <c r="E36" s="26">
        <v>2</v>
      </c>
      <c r="F36" s="384">
        <v>0</v>
      </c>
      <c r="G36" s="26">
        <f t="shared" si="1"/>
        <v>0</v>
      </c>
      <c r="H36" s="25"/>
      <c r="I36" s="24"/>
    </row>
    <row r="37" spans="1:9" s="19" customFormat="1" ht="12.95" customHeight="1">
      <c r="A37" s="30"/>
      <c r="B37" s="29"/>
      <c r="C37" s="28"/>
      <c r="D37" s="27"/>
      <c r="E37" s="26"/>
      <c r="F37" s="384"/>
      <c r="G37" s="26"/>
      <c r="H37" s="25"/>
      <c r="I37" s="24"/>
    </row>
    <row r="38" spans="1:9" s="19" customFormat="1" ht="21.75">
      <c r="A38" s="30"/>
      <c r="B38" s="29"/>
      <c r="C38" s="32" t="s">
        <v>612</v>
      </c>
      <c r="D38" s="27" t="s">
        <v>143</v>
      </c>
      <c r="E38" s="26">
        <v>2</v>
      </c>
      <c r="F38" s="384">
        <v>0</v>
      </c>
      <c r="G38" s="26">
        <f aca="true" t="shared" si="2" ref="G38:G43">E38*F38</f>
        <v>0</v>
      </c>
      <c r="H38" s="25"/>
      <c r="I38" s="24"/>
    </row>
    <row r="39" spans="1:9" s="19" customFormat="1" ht="12.95" customHeight="1">
      <c r="A39" s="30"/>
      <c r="B39" s="29"/>
      <c r="C39" s="32" t="s">
        <v>611</v>
      </c>
      <c r="D39" s="27" t="s">
        <v>143</v>
      </c>
      <c r="E39" s="26">
        <v>2</v>
      </c>
      <c r="F39" s="384">
        <v>0</v>
      </c>
      <c r="G39" s="26">
        <f t="shared" si="2"/>
        <v>0</v>
      </c>
      <c r="H39" s="25"/>
      <c r="I39" s="24"/>
    </row>
    <row r="40" spans="1:9" s="19" customFormat="1" ht="12.95" customHeight="1">
      <c r="A40" s="30"/>
      <c r="B40" s="29"/>
      <c r="C40" s="28" t="s">
        <v>610</v>
      </c>
      <c r="D40" s="27" t="s">
        <v>143</v>
      </c>
      <c r="E40" s="26">
        <v>1</v>
      </c>
      <c r="F40" s="384">
        <v>0</v>
      </c>
      <c r="G40" s="26">
        <f t="shared" si="2"/>
        <v>0</v>
      </c>
      <c r="H40" s="25"/>
      <c r="I40" s="24"/>
    </row>
    <row r="41" spans="1:9" s="19" customFormat="1" ht="12.95" customHeight="1">
      <c r="A41" s="30"/>
      <c r="B41" s="29"/>
      <c r="C41" s="28" t="s">
        <v>609</v>
      </c>
      <c r="D41" s="27" t="s">
        <v>143</v>
      </c>
      <c r="E41" s="26">
        <v>1</v>
      </c>
      <c r="F41" s="384">
        <v>0</v>
      </c>
      <c r="G41" s="26">
        <f t="shared" si="2"/>
        <v>0</v>
      </c>
      <c r="H41" s="25"/>
      <c r="I41" s="24"/>
    </row>
    <row r="42" spans="1:9" s="19" customFormat="1" ht="12.95" customHeight="1">
      <c r="A42" s="30"/>
      <c r="B42" s="29"/>
      <c r="C42" s="28" t="s">
        <v>608</v>
      </c>
      <c r="D42" s="27" t="s">
        <v>143</v>
      </c>
      <c r="E42" s="26">
        <v>1</v>
      </c>
      <c r="F42" s="384">
        <v>0</v>
      </c>
      <c r="G42" s="26">
        <f t="shared" si="2"/>
        <v>0</v>
      </c>
      <c r="H42" s="25"/>
      <c r="I42" s="24"/>
    </row>
    <row r="43" spans="1:9" s="19" customFormat="1" ht="12.95" customHeight="1">
      <c r="A43" s="30"/>
      <c r="B43" s="29"/>
      <c r="C43" s="28" t="s">
        <v>607</v>
      </c>
      <c r="D43" s="27" t="s">
        <v>143</v>
      </c>
      <c r="E43" s="26">
        <v>1</v>
      </c>
      <c r="F43" s="384">
        <v>0</v>
      </c>
      <c r="G43" s="26">
        <f t="shared" si="2"/>
        <v>0</v>
      </c>
      <c r="H43" s="25"/>
      <c r="I43" s="24"/>
    </row>
    <row r="44" spans="1:9" s="19" customFormat="1" ht="12.95" customHeight="1">
      <c r="A44" s="42"/>
      <c r="B44" s="41"/>
      <c r="C44" s="40"/>
      <c r="D44" s="39"/>
      <c r="E44" s="38"/>
      <c r="F44" s="38"/>
      <c r="G44" s="38"/>
      <c r="H44" s="33"/>
      <c r="I44" s="37"/>
    </row>
    <row r="45" spans="1:9" s="19" customFormat="1" ht="12.95" customHeight="1">
      <c r="A45" s="42"/>
      <c r="B45" s="41"/>
      <c r="C45" s="40"/>
      <c r="D45" s="39"/>
      <c r="E45" s="38"/>
      <c r="F45" s="38"/>
      <c r="G45" s="38"/>
      <c r="H45" s="33"/>
      <c r="I45" s="37"/>
    </row>
    <row r="46" spans="1:8" s="19" customFormat="1" ht="12.95" customHeight="1">
      <c r="A46" s="36"/>
      <c r="B46" s="35"/>
      <c r="C46" s="35" t="s">
        <v>606</v>
      </c>
      <c r="D46" s="35"/>
      <c r="E46" s="33"/>
      <c r="F46" s="34"/>
      <c r="G46" s="34">
        <f>SUM(G47:G60)</f>
        <v>0</v>
      </c>
      <c r="H46" s="33"/>
    </row>
    <row r="47" spans="1:9" s="19" customFormat="1" ht="12.95" customHeight="1">
      <c r="A47" s="30"/>
      <c r="B47" s="29"/>
      <c r="C47" s="28" t="s">
        <v>605</v>
      </c>
      <c r="D47" s="27" t="s">
        <v>143</v>
      </c>
      <c r="E47" s="26">
        <v>4</v>
      </c>
      <c r="F47" s="384">
        <v>0</v>
      </c>
      <c r="G47" s="26">
        <f aca="true" t="shared" si="3" ref="G47:G60">E47*F47</f>
        <v>0</v>
      </c>
      <c r="H47" s="25"/>
      <c r="I47" s="24"/>
    </row>
    <row r="48" spans="1:9" s="19" customFormat="1" ht="21.75">
      <c r="A48" s="30"/>
      <c r="B48" s="29"/>
      <c r="C48" s="32" t="s">
        <v>604</v>
      </c>
      <c r="D48" s="27" t="s">
        <v>143</v>
      </c>
      <c r="E48" s="26">
        <v>1</v>
      </c>
      <c r="F48" s="384">
        <v>0</v>
      </c>
      <c r="G48" s="26">
        <f t="shared" si="3"/>
        <v>0</v>
      </c>
      <c r="H48" s="25"/>
      <c r="I48" s="24"/>
    </row>
    <row r="49" spans="1:9" s="19" customFormat="1" ht="12.95" customHeight="1">
      <c r="A49" s="30"/>
      <c r="B49" s="29"/>
      <c r="C49" s="28" t="s">
        <v>599</v>
      </c>
      <c r="D49" s="27" t="s">
        <v>69</v>
      </c>
      <c r="E49" s="26">
        <v>11</v>
      </c>
      <c r="F49" s="384">
        <v>0</v>
      </c>
      <c r="G49" s="26">
        <f t="shared" si="3"/>
        <v>0</v>
      </c>
      <c r="H49" s="25"/>
      <c r="I49" s="24"/>
    </row>
    <row r="50" spans="1:9" s="19" customFormat="1" ht="12.95" customHeight="1">
      <c r="A50" s="30"/>
      <c r="B50" s="29"/>
      <c r="C50" s="28" t="s">
        <v>598</v>
      </c>
      <c r="D50" s="27" t="s">
        <v>69</v>
      </c>
      <c r="E50" s="26">
        <v>11</v>
      </c>
      <c r="F50" s="384">
        <v>0</v>
      </c>
      <c r="G50" s="26">
        <f t="shared" si="3"/>
        <v>0</v>
      </c>
      <c r="H50" s="25"/>
      <c r="I50" s="24"/>
    </row>
    <row r="51" spans="1:9" s="19" customFormat="1" ht="21.75">
      <c r="A51" s="30"/>
      <c r="B51" s="29"/>
      <c r="C51" s="32" t="s">
        <v>603</v>
      </c>
      <c r="D51" s="27" t="s">
        <v>143</v>
      </c>
      <c r="E51" s="26">
        <v>1</v>
      </c>
      <c r="F51" s="384">
        <v>0</v>
      </c>
      <c r="G51" s="26">
        <f t="shared" si="3"/>
        <v>0</v>
      </c>
      <c r="H51" s="25"/>
      <c r="I51" s="24"/>
    </row>
    <row r="52" spans="1:9" s="19" customFormat="1" ht="12.95" customHeight="1">
      <c r="A52" s="30"/>
      <c r="B52" s="29"/>
      <c r="C52" s="28" t="s">
        <v>602</v>
      </c>
      <c r="D52" s="27" t="s">
        <v>143</v>
      </c>
      <c r="E52" s="26">
        <v>1</v>
      </c>
      <c r="F52" s="384">
        <v>0</v>
      </c>
      <c r="G52" s="26">
        <f t="shared" si="3"/>
        <v>0</v>
      </c>
      <c r="H52" s="25"/>
      <c r="I52" s="24"/>
    </row>
    <row r="53" spans="1:9" s="19" customFormat="1" ht="21.75">
      <c r="A53" s="30"/>
      <c r="B53" s="29"/>
      <c r="C53" s="31" t="s">
        <v>601</v>
      </c>
      <c r="D53" s="27" t="s">
        <v>143</v>
      </c>
      <c r="E53" s="26">
        <v>1</v>
      </c>
      <c r="F53" s="384">
        <v>0</v>
      </c>
      <c r="G53" s="26">
        <f t="shared" si="3"/>
        <v>0</v>
      </c>
      <c r="H53" s="25"/>
      <c r="I53" s="24"/>
    </row>
    <row r="54" spans="1:9" s="19" customFormat="1" ht="12.95" customHeight="1">
      <c r="A54" s="30"/>
      <c r="B54" s="29"/>
      <c r="C54" s="28" t="s">
        <v>600</v>
      </c>
      <c r="D54" s="27" t="s">
        <v>143</v>
      </c>
      <c r="E54" s="26">
        <v>1</v>
      </c>
      <c r="F54" s="384">
        <v>0</v>
      </c>
      <c r="G54" s="26">
        <f t="shared" si="3"/>
        <v>0</v>
      </c>
      <c r="H54" s="25"/>
      <c r="I54" s="24"/>
    </row>
    <row r="55" spans="1:9" s="19" customFormat="1" ht="12.95" customHeight="1">
      <c r="A55" s="30"/>
      <c r="B55" s="29"/>
      <c r="C55" s="28" t="s">
        <v>599</v>
      </c>
      <c r="D55" s="27" t="s">
        <v>69</v>
      </c>
      <c r="E55" s="26">
        <v>9.5</v>
      </c>
      <c r="F55" s="384">
        <v>0</v>
      </c>
      <c r="G55" s="26">
        <f t="shared" si="3"/>
        <v>0</v>
      </c>
      <c r="H55" s="25"/>
      <c r="I55" s="24"/>
    </row>
    <row r="56" spans="1:9" s="19" customFormat="1" ht="12.95" customHeight="1">
      <c r="A56" s="30"/>
      <c r="B56" s="29"/>
      <c r="C56" s="28" t="s">
        <v>598</v>
      </c>
      <c r="D56" s="27" t="s">
        <v>69</v>
      </c>
      <c r="E56" s="26">
        <v>6</v>
      </c>
      <c r="F56" s="384">
        <v>0</v>
      </c>
      <c r="G56" s="26">
        <f t="shared" si="3"/>
        <v>0</v>
      </c>
      <c r="H56" s="25"/>
      <c r="I56" s="24"/>
    </row>
    <row r="57" spans="1:9" s="19" customFormat="1" ht="12.95" customHeight="1">
      <c r="A57" s="30"/>
      <c r="B57" s="29"/>
      <c r="C57" s="28" t="s">
        <v>597</v>
      </c>
      <c r="D57" s="27" t="s">
        <v>143</v>
      </c>
      <c r="E57" s="26">
        <v>2</v>
      </c>
      <c r="F57" s="384">
        <v>0</v>
      </c>
      <c r="G57" s="26">
        <f t="shared" si="3"/>
        <v>0</v>
      </c>
      <c r="H57" s="25"/>
      <c r="I57" s="24"/>
    </row>
    <row r="58" spans="1:9" s="19" customFormat="1" ht="12.95" customHeight="1">
      <c r="A58" s="30"/>
      <c r="B58" s="29"/>
      <c r="C58" s="28" t="s">
        <v>596</v>
      </c>
      <c r="D58" s="27" t="s">
        <v>143</v>
      </c>
      <c r="E58" s="26">
        <v>1</v>
      </c>
      <c r="F58" s="384">
        <v>0</v>
      </c>
      <c r="G58" s="26">
        <f t="shared" si="3"/>
        <v>0</v>
      </c>
      <c r="H58" s="25"/>
      <c r="I58" s="24"/>
    </row>
    <row r="59" spans="1:9" s="19" customFormat="1" ht="12.95" customHeight="1">
      <c r="A59" s="30"/>
      <c r="B59" s="29"/>
      <c r="C59" s="28" t="s">
        <v>595</v>
      </c>
      <c r="D59" s="27" t="s">
        <v>143</v>
      </c>
      <c r="E59" s="26">
        <v>3</v>
      </c>
      <c r="F59" s="384">
        <v>0</v>
      </c>
      <c r="G59" s="26">
        <f t="shared" si="3"/>
        <v>0</v>
      </c>
      <c r="H59" s="25"/>
      <c r="I59" s="24"/>
    </row>
    <row r="60" spans="1:9" s="19" customFormat="1" ht="12.95" customHeight="1">
      <c r="A60" s="30"/>
      <c r="B60" s="29"/>
      <c r="C60" s="28" t="s">
        <v>594</v>
      </c>
      <c r="D60" s="27" t="s">
        <v>593</v>
      </c>
      <c r="E60" s="26">
        <v>16</v>
      </c>
      <c r="F60" s="384">
        <v>0</v>
      </c>
      <c r="G60" s="26">
        <f t="shared" si="3"/>
        <v>0</v>
      </c>
      <c r="H60" s="25"/>
      <c r="I60" s="24"/>
    </row>
    <row r="61" ht="12" customHeight="1"/>
    <row r="1048402" ht="12.75" customHeight="1"/>
    <row r="1048403" ht="12.75" customHeight="1"/>
    <row r="1048404" ht="12.75" customHeight="1"/>
    <row r="1048405" ht="12.75" customHeight="1"/>
    <row r="1048406" ht="12.75" customHeight="1"/>
    <row r="1048407" ht="12.75" customHeight="1"/>
    <row r="1048408" ht="12.75" customHeight="1"/>
    <row r="1048409" ht="12.75" customHeight="1"/>
    <row r="1048410" ht="12.75" customHeight="1"/>
    <row r="1048411" ht="12.75" customHeight="1"/>
    <row r="1048412" ht="12.75" customHeight="1"/>
    <row r="1048413" ht="12.75" customHeight="1"/>
    <row r="1048414" ht="12.75" customHeight="1"/>
    <row r="1048415" ht="12.75" customHeight="1"/>
    <row r="1048416" ht="12.75" customHeight="1"/>
    <row r="1048417" ht="12.75" customHeight="1"/>
    <row r="1048418" ht="12.75" customHeight="1"/>
    <row r="1048419" ht="12.75" customHeight="1"/>
    <row r="1048420" ht="12.75" customHeight="1"/>
    <row r="1048421" ht="12.75" customHeight="1"/>
    <row r="1048422" ht="12.75" customHeight="1"/>
    <row r="1048423" ht="12.75" customHeight="1"/>
    <row r="1048424" ht="12.75" customHeight="1"/>
    <row r="1048425" ht="12.75" customHeight="1"/>
    <row r="1048426" ht="12.75" customHeight="1"/>
    <row r="1048427" ht="12.75" customHeight="1"/>
    <row r="1048428" ht="12.75" customHeight="1"/>
    <row r="1048429" ht="12.75" customHeight="1"/>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algorithmName="SHA-512" hashValue="DADdDFswkJOHVMenAmP73hREtou9w95mfQ6Cjrlk6kuSsgYSa/zSIBKpMb7CSwwSuQMDIpoU1Uu21nFeKpnm+Q==" saltValue="EEcSPkZTBV2aaTPftXZpLQ==" spinCount="100000" sheet="1" objects="1" scenarios="1" selectLockedCells="1"/>
  <mergeCells count="2">
    <mergeCell ref="A1:H1"/>
    <mergeCell ref="A2:I2"/>
  </mergeCells>
  <printOptions/>
  <pageMargins left="0.39375" right="0.39375" top="0.7875" bottom="0.7875" header="0.511805555555555" footer="0"/>
  <pageSetup fitToHeight="100" fitToWidth="1" horizontalDpi="300" verticalDpi="300" orientation="portrait" paperSize="9"/>
  <headerFooter>
    <oddFooter>&amp;C   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8685A-F8BC-4960-A2CC-7FFDB64B98FB}">
  <sheetPr>
    <pageSetUpPr fitToPage="1"/>
  </sheetPr>
  <dimension ref="A1:I55"/>
  <sheetViews>
    <sheetView showGridLines="0" workbookViewId="0" topLeftCell="A4">
      <selection activeCell="H19" sqref="H19"/>
    </sheetView>
  </sheetViews>
  <sheetFormatPr defaultColWidth="9.00390625" defaultRowHeight="15"/>
  <cols>
    <col min="1" max="1" width="4.28125" style="23" customWidth="1"/>
    <col min="2" max="2" width="8.00390625" style="22" customWidth="1"/>
    <col min="3" max="3" width="45.57421875" style="22" customWidth="1"/>
    <col min="4" max="4" width="4.7109375" style="22" customWidth="1"/>
    <col min="5" max="5" width="9.7109375" style="20" customWidth="1"/>
    <col min="6" max="6" width="11.421875" style="21" customWidth="1"/>
    <col min="7" max="7" width="19.8515625" style="21" customWidth="1"/>
    <col min="8" max="8" width="11.421875" style="20" customWidth="1"/>
    <col min="9" max="9" width="11.421875" style="19" customWidth="1"/>
    <col min="10" max="10" width="19.421875" style="19" customWidth="1"/>
    <col min="11" max="255" width="9.00390625" style="19" customWidth="1"/>
    <col min="256" max="256" width="3.28125" style="19" customWidth="1"/>
    <col min="257" max="257" width="10.28125" style="19" customWidth="1"/>
    <col min="258" max="258" width="44.00390625" style="19" customWidth="1"/>
    <col min="259" max="259" width="4.7109375" style="19" customWidth="1"/>
    <col min="260" max="260" width="9.7109375" style="19" customWidth="1"/>
    <col min="261" max="261" width="11.421875" style="19" customWidth="1"/>
    <col min="262" max="262" width="15.28125" style="19" customWidth="1"/>
    <col min="263" max="263" width="11.421875" style="19" customWidth="1"/>
    <col min="264" max="511" width="9.00390625" style="19" customWidth="1"/>
    <col min="512" max="512" width="3.28125" style="19" customWidth="1"/>
    <col min="513" max="513" width="10.28125" style="19" customWidth="1"/>
    <col min="514" max="514" width="44.00390625" style="19" customWidth="1"/>
    <col min="515" max="515" width="4.7109375" style="19" customWidth="1"/>
    <col min="516" max="516" width="9.7109375" style="19" customWidth="1"/>
    <col min="517" max="517" width="11.421875" style="19" customWidth="1"/>
    <col min="518" max="518" width="15.28125" style="19" customWidth="1"/>
    <col min="519" max="519" width="11.421875" style="19" customWidth="1"/>
    <col min="520" max="767" width="9.00390625" style="19" customWidth="1"/>
    <col min="768" max="768" width="3.28125" style="19" customWidth="1"/>
    <col min="769" max="769" width="10.28125" style="19" customWidth="1"/>
    <col min="770" max="770" width="44.00390625" style="19" customWidth="1"/>
    <col min="771" max="771" width="4.7109375" style="19" customWidth="1"/>
    <col min="772" max="772" width="9.7109375" style="19" customWidth="1"/>
    <col min="773" max="773" width="11.421875" style="19" customWidth="1"/>
    <col min="774" max="774" width="15.28125" style="19" customWidth="1"/>
    <col min="775" max="775" width="11.421875" style="19" customWidth="1"/>
    <col min="776" max="1023" width="9.00390625" style="19" customWidth="1"/>
    <col min="1024" max="1024" width="3.28125" style="19" customWidth="1"/>
    <col min="1025" max="16384" width="9.00390625" style="18" customWidth="1"/>
  </cols>
  <sheetData>
    <row r="1" spans="1:8" s="19" customFormat="1" ht="27.75" customHeight="1">
      <c r="A1" s="261" t="s">
        <v>652</v>
      </c>
      <c r="B1" s="261"/>
      <c r="C1" s="261"/>
      <c r="D1" s="261"/>
      <c r="E1" s="261"/>
      <c r="F1" s="261"/>
      <c r="G1" s="261"/>
      <c r="H1" s="261"/>
    </row>
    <row r="2" spans="1:9" s="19" customFormat="1" ht="12.75" customHeight="1">
      <c r="A2" s="262" t="s">
        <v>651</v>
      </c>
      <c r="B2" s="262"/>
      <c r="C2" s="262"/>
      <c r="D2" s="262"/>
      <c r="E2" s="262"/>
      <c r="F2" s="262"/>
      <c r="G2" s="262"/>
      <c r="H2" s="262"/>
      <c r="I2" s="262"/>
    </row>
    <row r="3" spans="1:8" s="19" customFormat="1" ht="12.75" customHeight="1">
      <c r="A3" s="63"/>
      <c r="B3" s="63"/>
      <c r="C3" s="63"/>
      <c r="D3" s="63"/>
      <c r="E3" s="63"/>
      <c r="F3" s="63"/>
      <c r="G3" s="63"/>
      <c r="H3" s="63"/>
    </row>
    <row r="4" spans="1:8" s="19" customFormat="1" ht="13.5" customHeight="1">
      <c r="A4" s="64"/>
      <c r="B4" s="63"/>
      <c r="C4" s="64"/>
      <c r="D4" s="63"/>
      <c r="E4" s="63"/>
      <c r="F4" s="63"/>
      <c r="G4" s="63"/>
      <c r="H4" s="63"/>
    </row>
    <row r="5" spans="1:8" s="19" customFormat="1" ht="6.75" customHeight="1">
      <c r="A5" s="62"/>
      <c r="B5" s="60"/>
      <c r="C5" s="61"/>
      <c r="D5" s="60"/>
      <c r="E5" s="59"/>
      <c r="F5" s="58"/>
      <c r="G5" s="58"/>
      <c r="H5" s="57"/>
    </row>
    <row r="6" spans="1:8" s="19" customFormat="1" ht="12.75" customHeight="1">
      <c r="A6" s="53" t="s">
        <v>650</v>
      </c>
      <c r="B6" s="53"/>
      <c r="C6" s="53"/>
      <c r="D6" s="53"/>
      <c r="E6" s="53"/>
      <c r="F6" s="53"/>
      <c r="G6" s="53"/>
      <c r="H6" s="53"/>
    </row>
    <row r="7" spans="1:8" s="19" customFormat="1" ht="12.75" customHeight="1">
      <c r="A7" s="53" t="s">
        <v>649</v>
      </c>
      <c r="B7" s="53"/>
      <c r="C7" s="53" t="s">
        <v>648</v>
      </c>
      <c r="D7" s="53"/>
      <c r="E7" s="53"/>
      <c r="F7" s="53"/>
      <c r="G7" s="53" t="s">
        <v>647</v>
      </c>
      <c r="H7" s="53"/>
    </row>
    <row r="8" spans="1:8" s="19" customFormat="1" ht="12.75" customHeight="1">
      <c r="A8" s="53" t="s">
        <v>646</v>
      </c>
      <c r="B8" s="56"/>
      <c r="C8" s="56"/>
      <c r="D8" s="56"/>
      <c r="E8" s="55"/>
      <c r="F8" s="54"/>
      <c r="G8" s="53" t="s">
        <v>645</v>
      </c>
      <c r="H8" s="52">
        <v>45057</v>
      </c>
    </row>
    <row r="9" spans="1:8" s="19" customFormat="1" ht="6.75" customHeight="1">
      <c r="A9" s="49"/>
      <c r="B9" s="49"/>
      <c r="C9" s="49"/>
      <c r="D9" s="49"/>
      <c r="E9" s="49"/>
      <c r="F9" s="49"/>
      <c r="G9" s="49"/>
      <c r="H9" s="49"/>
    </row>
    <row r="10" spans="1:9" s="19" customFormat="1" ht="28.5" customHeight="1">
      <c r="A10" s="50" t="s">
        <v>644</v>
      </c>
      <c r="B10" s="50" t="s">
        <v>643</v>
      </c>
      <c r="C10" s="50" t="s">
        <v>642</v>
      </c>
      <c r="D10" s="50" t="s">
        <v>557</v>
      </c>
      <c r="E10" s="50" t="s">
        <v>641</v>
      </c>
      <c r="F10" s="50" t="s">
        <v>640</v>
      </c>
      <c r="G10" s="50" t="s">
        <v>639</v>
      </c>
      <c r="H10" s="50" t="s">
        <v>638</v>
      </c>
      <c r="I10" s="51" t="s">
        <v>637</v>
      </c>
    </row>
    <row r="11" spans="1:9" s="19" customFormat="1" ht="12.75" customHeight="1" hidden="1">
      <c r="A11" s="50" t="s">
        <v>2</v>
      </c>
      <c r="B11" s="50" t="s">
        <v>151</v>
      </c>
      <c r="C11" s="50" t="s">
        <v>320</v>
      </c>
      <c r="D11" s="50" t="s">
        <v>517</v>
      </c>
      <c r="E11" s="50" t="s">
        <v>35</v>
      </c>
      <c r="F11" s="50" t="s">
        <v>510</v>
      </c>
      <c r="G11" s="50" t="s">
        <v>178</v>
      </c>
      <c r="H11" s="50" t="s">
        <v>501</v>
      </c>
      <c r="I11" s="44"/>
    </row>
    <row r="12" spans="1:9" s="19" customFormat="1" ht="5.25" customHeight="1">
      <c r="A12" s="49"/>
      <c r="B12" s="49"/>
      <c r="C12" s="49"/>
      <c r="D12" s="49"/>
      <c r="E12" s="49"/>
      <c r="F12" s="49"/>
      <c r="G12" s="49"/>
      <c r="H12" s="49"/>
      <c r="I12" s="44"/>
    </row>
    <row r="13" spans="1:9" s="19" customFormat="1" ht="30.75" customHeight="1">
      <c r="A13" s="48"/>
      <c r="B13" s="47" t="s">
        <v>636</v>
      </c>
      <c r="C13" s="47" t="s">
        <v>635</v>
      </c>
      <c r="D13" s="47"/>
      <c r="E13" s="45"/>
      <c r="F13" s="46"/>
      <c r="G13" s="46">
        <f>G15+G48</f>
        <v>0</v>
      </c>
      <c r="H13" s="45"/>
      <c r="I13" s="44"/>
    </row>
    <row r="14" spans="1:9" s="19" customFormat="1" ht="12.95" customHeight="1">
      <c r="A14" s="42"/>
      <c r="B14" s="41"/>
      <c r="C14" s="40"/>
      <c r="D14" s="39"/>
      <c r="E14" s="38"/>
      <c r="F14" s="38"/>
      <c r="G14" s="38"/>
      <c r="H14" s="33"/>
      <c r="I14" s="37"/>
    </row>
    <row r="15" spans="1:8" s="19" customFormat="1" ht="12.95" customHeight="1">
      <c r="A15" s="36"/>
      <c r="B15" s="35"/>
      <c r="C15" s="35" t="s">
        <v>688</v>
      </c>
      <c r="D15" s="35"/>
      <c r="E15" s="33"/>
      <c r="F15" s="34"/>
      <c r="G15" s="34">
        <f>SUM(G16:G45)</f>
        <v>0</v>
      </c>
      <c r="H15" s="33"/>
    </row>
    <row r="16" spans="1:9" s="19" customFormat="1" ht="12.6" customHeight="1">
      <c r="A16" s="30"/>
      <c r="B16" s="29"/>
      <c r="C16" s="28" t="s">
        <v>687</v>
      </c>
      <c r="D16" s="27" t="s">
        <v>143</v>
      </c>
      <c r="E16" s="26">
        <v>1</v>
      </c>
      <c r="F16" s="384">
        <v>0</v>
      </c>
      <c r="G16" s="26">
        <f aca="true" t="shared" si="0" ref="G16:G23">E16*F16</f>
        <v>0</v>
      </c>
      <c r="H16" s="25"/>
      <c r="I16" s="24"/>
    </row>
    <row r="17" spans="1:9" s="19" customFormat="1" ht="12.6" customHeight="1">
      <c r="A17" s="30"/>
      <c r="B17" s="29"/>
      <c r="C17" s="28" t="s">
        <v>686</v>
      </c>
      <c r="D17" s="27" t="s">
        <v>143</v>
      </c>
      <c r="E17" s="26">
        <v>1</v>
      </c>
      <c r="F17" s="384">
        <v>0</v>
      </c>
      <c r="G17" s="26">
        <f t="shared" si="0"/>
        <v>0</v>
      </c>
      <c r="H17" s="25"/>
      <c r="I17" s="24"/>
    </row>
    <row r="18" spans="1:9" s="19" customFormat="1" ht="12.6" customHeight="1">
      <c r="A18" s="30"/>
      <c r="B18" s="29"/>
      <c r="C18" s="28" t="s">
        <v>685</v>
      </c>
      <c r="D18" s="27" t="s">
        <v>143</v>
      </c>
      <c r="E18" s="26">
        <v>1</v>
      </c>
      <c r="F18" s="384">
        <v>0</v>
      </c>
      <c r="G18" s="26">
        <f t="shared" si="0"/>
        <v>0</v>
      </c>
      <c r="H18" s="25"/>
      <c r="I18" s="24"/>
    </row>
    <row r="19" spans="1:9" s="19" customFormat="1" ht="12.6" customHeight="1">
      <c r="A19" s="30"/>
      <c r="B19" s="29"/>
      <c r="C19" s="28" t="s">
        <v>684</v>
      </c>
      <c r="D19" s="27" t="s">
        <v>143</v>
      </c>
      <c r="E19" s="26">
        <v>20</v>
      </c>
      <c r="F19" s="384">
        <v>0</v>
      </c>
      <c r="G19" s="26">
        <f t="shared" si="0"/>
        <v>0</v>
      </c>
      <c r="H19" s="25"/>
      <c r="I19" s="24"/>
    </row>
    <row r="20" spans="1:9" s="19" customFormat="1" ht="12.6" customHeight="1">
      <c r="A20" s="30"/>
      <c r="B20" s="29"/>
      <c r="C20" s="28" t="s">
        <v>671</v>
      </c>
      <c r="D20" s="27" t="s">
        <v>69</v>
      </c>
      <c r="E20" s="26">
        <v>5</v>
      </c>
      <c r="F20" s="384">
        <v>0</v>
      </c>
      <c r="G20" s="26">
        <f t="shared" si="0"/>
        <v>0</v>
      </c>
      <c r="H20" s="25"/>
      <c r="I20" s="24"/>
    </row>
    <row r="21" spans="1:9" s="19" customFormat="1" ht="12.6" customHeight="1">
      <c r="A21" s="30"/>
      <c r="B21" s="29"/>
      <c r="C21" s="28" t="s">
        <v>669</v>
      </c>
      <c r="D21" s="27" t="s">
        <v>69</v>
      </c>
      <c r="E21" s="26">
        <v>4</v>
      </c>
      <c r="F21" s="384">
        <v>0</v>
      </c>
      <c r="G21" s="26">
        <f t="shared" si="0"/>
        <v>0</v>
      </c>
      <c r="H21" s="25"/>
      <c r="I21" s="24"/>
    </row>
    <row r="22" spans="1:9" s="19" customFormat="1" ht="12.6" customHeight="1">
      <c r="A22" s="30"/>
      <c r="B22" s="29"/>
      <c r="C22" s="28" t="s">
        <v>683</v>
      </c>
      <c r="D22" s="27" t="s">
        <v>143</v>
      </c>
      <c r="E22" s="26">
        <v>1</v>
      </c>
      <c r="F22" s="384">
        <v>0</v>
      </c>
      <c r="G22" s="26">
        <f t="shared" si="0"/>
        <v>0</v>
      </c>
      <c r="H22" s="25"/>
      <c r="I22" s="24"/>
    </row>
    <row r="23" spans="1:9" s="19" customFormat="1" ht="12.6" customHeight="1">
      <c r="A23" s="30"/>
      <c r="B23" s="29"/>
      <c r="C23" s="28" t="s">
        <v>682</v>
      </c>
      <c r="D23" s="27" t="s">
        <v>143</v>
      </c>
      <c r="E23" s="26">
        <v>1</v>
      </c>
      <c r="F23" s="384">
        <v>0</v>
      </c>
      <c r="G23" s="26">
        <f t="shared" si="0"/>
        <v>0</v>
      </c>
      <c r="H23" s="25"/>
      <c r="I23" s="24"/>
    </row>
    <row r="24" spans="1:9" s="19" customFormat="1" ht="12.6" customHeight="1">
      <c r="A24" s="30"/>
      <c r="B24" s="29"/>
      <c r="C24" s="28"/>
      <c r="D24" s="27"/>
      <c r="E24" s="26"/>
      <c r="F24" s="384"/>
      <c r="G24" s="26"/>
      <c r="H24" s="25"/>
      <c r="I24" s="24"/>
    </row>
    <row r="25" spans="1:9" s="19" customFormat="1" ht="21.75">
      <c r="A25" s="30"/>
      <c r="B25" s="29"/>
      <c r="C25" s="32" t="s">
        <v>681</v>
      </c>
      <c r="D25" s="27" t="s">
        <v>143</v>
      </c>
      <c r="E25" s="26">
        <v>1</v>
      </c>
      <c r="F25" s="384">
        <v>0</v>
      </c>
      <c r="G25" s="26">
        <f aca="true" t="shared" si="1" ref="G25:G45">E25*F25</f>
        <v>0</v>
      </c>
      <c r="H25" s="25"/>
      <c r="I25" s="24"/>
    </row>
    <row r="26" spans="1:9" s="19" customFormat="1" ht="21.75">
      <c r="A26" s="30"/>
      <c r="B26" s="29"/>
      <c r="C26" s="32" t="s">
        <v>680</v>
      </c>
      <c r="D26" s="27" t="s">
        <v>143</v>
      </c>
      <c r="E26" s="26">
        <v>2</v>
      </c>
      <c r="F26" s="384">
        <v>0</v>
      </c>
      <c r="G26" s="26">
        <f t="shared" si="1"/>
        <v>0</v>
      </c>
      <c r="H26" s="25"/>
      <c r="I26" s="24"/>
    </row>
    <row r="27" spans="1:9" s="19" customFormat="1" ht="21.75">
      <c r="A27" s="30"/>
      <c r="B27" s="29"/>
      <c r="C27" s="32" t="s">
        <v>679</v>
      </c>
      <c r="D27" s="27" t="s">
        <v>143</v>
      </c>
      <c r="E27" s="26">
        <v>1</v>
      </c>
      <c r="F27" s="384">
        <v>0</v>
      </c>
      <c r="G27" s="26">
        <f t="shared" si="1"/>
        <v>0</v>
      </c>
      <c r="H27" s="25"/>
      <c r="I27" s="24"/>
    </row>
    <row r="28" spans="1:9" s="19" customFormat="1" ht="21.75">
      <c r="A28" s="30"/>
      <c r="B28" s="29"/>
      <c r="C28" s="32" t="s">
        <v>678</v>
      </c>
      <c r="D28" s="27" t="s">
        <v>143</v>
      </c>
      <c r="E28" s="26">
        <v>5</v>
      </c>
      <c r="F28" s="384">
        <v>0</v>
      </c>
      <c r="G28" s="26">
        <f t="shared" si="1"/>
        <v>0</v>
      </c>
      <c r="H28" s="25"/>
      <c r="I28" s="24"/>
    </row>
    <row r="29" spans="1:9" s="19" customFormat="1" ht="12.6" customHeight="1">
      <c r="A29" s="30"/>
      <c r="B29" s="29"/>
      <c r="C29" s="65" t="s">
        <v>677</v>
      </c>
      <c r="D29" s="27" t="s">
        <v>143</v>
      </c>
      <c r="E29" s="26">
        <v>9</v>
      </c>
      <c r="F29" s="384">
        <v>0</v>
      </c>
      <c r="G29" s="26">
        <f t="shared" si="1"/>
        <v>0</v>
      </c>
      <c r="H29" s="25"/>
      <c r="I29" s="24"/>
    </row>
    <row r="30" spans="1:9" s="19" customFormat="1" ht="12.6" customHeight="1">
      <c r="A30" s="30"/>
      <c r="B30" s="29"/>
      <c r="C30" s="28" t="s">
        <v>676</v>
      </c>
      <c r="D30" s="27" t="s">
        <v>143</v>
      </c>
      <c r="E30" s="26">
        <v>11</v>
      </c>
      <c r="F30" s="384">
        <v>0</v>
      </c>
      <c r="G30" s="26">
        <f t="shared" si="1"/>
        <v>0</v>
      </c>
      <c r="H30" s="25"/>
      <c r="I30" s="24"/>
    </row>
    <row r="31" spans="1:9" s="19" customFormat="1" ht="12.6" customHeight="1">
      <c r="A31" s="30"/>
      <c r="B31" s="29"/>
      <c r="C31" s="28" t="s">
        <v>675</v>
      </c>
      <c r="D31" s="27" t="s">
        <v>143</v>
      </c>
      <c r="E31" s="26">
        <v>7</v>
      </c>
      <c r="F31" s="384">
        <v>0</v>
      </c>
      <c r="G31" s="26">
        <f t="shared" si="1"/>
        <v>0</v>
      </c>
      <c r="H31" s="25"/>
      <c r="I31" s="24"/>
    </row>
    <row r="32" spans="1:9" s="19" customFormat="1" ht="12.6" customHeight="1">
      <c r="A32" s="30"/>
      <c r="B32" s="29"/>
      <c r="C32" s="28" t="s">
        <v>674</v>
      </c>
      <c r="D32" s="27" t="s">
        <v>143</v>
      </c>
      <c r="E32" s="26">
        <v>2</v>
      </c>
      <c r="F32" s="384">
        <v>0</v>
      </c>
      <c r="G32" s="26">
        <f t="shared" si="1"/>
        <v>0</v>
      </c>
      <c r="H32" s="25"/>
      <c r="I32" s="24"/>
    </row>
    <row r="33" spans="1:9" s="19" customFormat="1" ht="12.6" customHeight="1">
      <c r="A33" s="30"/>
      <c r="B33" s="29"/>
      <c r="C33" s="28" t="s">
        <v>673</v>
      </c>
      <c r="D33" s="27" t="s">
        <v>143</v>
      </c>
      <c r="E33" s="26">
        <v>1</v>
      </c>
      <c r="F33" s="384">
        <v>0</v>
      </c>
      <c r="G33" s="26">
        <f t="shared" si="1"/>
        <v>0</v>
      </c>
      <c r="H33" s="25"/>
      <c r="I33" s="24"/>
    </row>
    <row r="34" spans="1:9" s="19" customFormat="1" ht="12.6" customHeight="1">
      <c r="A34" s="30"/>
      <c r="B34" s="29"/>
      <c r="C34" s="28" t="s">
        <v>672</v>
      </c>
      <c r="D34" s="27" t="s">
        <v>143</v>
      </c>
      <c r="E34" s="26">
        <v>1</v>
      </c>
      <c r="F34" s="384">
        <v>0</v>
      </c>
      <c r="G34" s="26">
        <f t="shared" si="1"/>
        <v>0</v>
      </c>
      <c r="H34" s="25"/>
      <c r="I34" s="24"/>
    </row>
    <row r="35" spans="1:9" s="19" customFormat="1" ht="12.6" customHeight="1">
      <c r="A35" s="30"/>
      <c r="B35" s="29"/>
      <c r="C35" s="28" t="s">
        <v>671</v>
      </c>
      <c r="D35" s="27" t="s">
        <v>69</v>
      </c>
      <c r="E35" s="26">
        <f>20+48+11+36</f>
        <v>115</v>
      </c>
      <c r="F35" s="384">
        <v>0</v>
      </c>
      <c r="G35" s="26">
        <f t="shared" si="1"/>
        <v>0</v>
      </c>
      <c r="H35" s="25"/>
      <c r="I35" s="24"/>
    </row>
    <row r="36" spans="1:9" s="19" customFormat="1" ht="12.6" customHeight="1">
      <c r="A36" s="30"/>
      <c r="B36" s="29"/>
      <c r="C36" s="28" t="s">
        <v>670</v>
      </c>
      <c r="D36" s="27" t="s">
        <v>69</v>
      </c>
      <c r="E36" s="26">
        <v>56</v>
      </c>
      <c r="F36" s="384">
        <v>0</v>
      </c>
      <c r="G36" s="26">
        <f t="shared" si="1"/>
        <v>0</v>
      </c>
      <c r="H36" s="25"/>
      <c r="I36" s="24"/>
    </row>
    <row r="37" spans="1:9" s="19" customFormat="1" ht="12.6" customHeight="1">
      <c r="A37" s="30"/>
      <c r="B37" s="29"/>
      <c r="C37" s="28" t="s">
        <v>669</v>
      </c>
      <c r="D37" s="27" t="s">
        <v>69</v>
      </c>
      <c r="E37" s="26">
        <f>115-36</f>
        <v>79</v>
      </c>
      <c r="F37" s="384">
        <v>0</v>
      </c>
      <c r="G37" s="26">
        <f t="shared" si="1"/>
        <v>0</v>
      </c>
      <c r="H37" s="25"/>
      <c r="I37" s="24"/>
    </row>
    <row r="38" spans="1:9" s="19" customFormat="1" ht="12.6" customHeight="1">
      <c r="A38" s="30"/>
      <c r="B38" s="29"/>
      <c r="C38" s="28" t="s">
        <v>668</v>
      </c>
      <c r="D38" s="27" t="s">
        <v>69</v>
      </c>
      <c r="E38" s="26">
        <v>56</v>
      </c>
      <c r="F38" s="384">
        <v>0</v>
      </c>
      <c r="G38" s="26">
        <f t="shared" si="1"/>
        <v>0</v>
      </c>
      <c r="H38" s="25"/>
      <c r="I38" s="24"/>
    </row>
    <row r="39" spans="1:9" s="19" customFormat="1" ht="12.6" customHeight="1">
      <c r="A39" s="30"/>
      <c r="B39" s="29"/>
      <c r="C39" s="28" t="s">
        <v>667</v>
      </c>
      <c r="D39" s="27" t="s">
        <v>69</v>
      </c>
      <c r="E39" s="26">
        <v>105</v>
      </c>
      <c r="F39" s="384">
        <v>0</v>
      </c>
      <c r="G39" s="26">
        <f t="shared" si="1"/>
        <v>0</v>
      </c>
      <c r="H39" s="25"/>
      <c r="I39" s="24"/>
    </row>
    <row r="40" spans="1:9" s="19" customFormat="1" ht="12.6" customHeight="1">
      <c r="A40" s="30"/>
      <c r="B40" s="29"/>
      <c r="C40" s="28" t="s">
        <v>666</v>
      </c>
      <c r="D40" s="27" t="s">
        <v>69</v>
      </c>
      <c r="E40" s="26">
        <v>36</v>
      </c>
      <c r="F40" s="384">
        <v>0</v>
      </c>
      <c r="G40" s="26">
        <f t="shared" si="1"/>
        <v>0</v>
      </c>
      <c r="H40" s="25"/>
      <c r="I40" s="24"/>
    </row>
    <row r="41" spans="1:9" s="19" customFormat="1" ht="12.6" customHeight="1">
      <c r="A41" s="30"/>
      <c r="B41" s="29"/>
      <c r="C41" s="28" t="s">
        <v>665</v>
      </c>
      <c r="D41" s="27" t="s">
        <v>143</v>
      </c>
      <c r="E41" s="26">
        <v>3</v>
      </c>
      <c r="F41" s="384">
        <v>0</v>
      </c>
      <c r="G41" s="26">
        <f t="shared" si="1"/>
        <v>0</v>
      </c>
      <c r="H41" s="25"/>
      <c r="I41" s="24"/>
    </row>
    <row r="42" spans="1:9" s="19" customFormat="1" ht="12.6" customHeight="1">
      <c r="A42" s="30"/>
      <c r="B42" s="29"/>
      <c r="C42" s="43" t="s">
        <v>664</v>
      </c>
      <c r="D42" s="27" t="s">
        <v>143</v>
      </c>
      <c r="E42" s="26">
        <v>1</v>
      </c>
      <c r="F42" s="384">
        <v>0</v>
      </c>
      <c r="G42" s="26">
        <f t="shared" si="1"/>
        <v>0</v>
      </c>
      <c r="H42" s="25"/>
      <c r="I42" s="24"/>
    </row>
    <row r="43" spans="1:9" s="19" customFormat="1" ht="12.6" customHeight="1">
      <c r="A43" s="30"/>
      <c r="B43" s="29"/>
      <c r="C43" s="28" t="s">
        <v>663</v>
      </c>
      <c r="D43" s="27" t="s">
        <v>143</v>
      </c>
      <c r="E43" s="26">
        <v>10</v>
      </c>
      <c r="F43" s="384">
        <v>0</v>
      </c>
      <c r="G43" s="26">
        <f t="shared" si="1"/>
        <v>0</v>
      </c>
      <c r="H43" s="25"/>
      <c r="I43" s="24"/>
    </row>
    <row r="44" spans="1:9" s="19" customFormat="1" ht="12.6" customHeight="1">
      <c r="A44" s="30"/>
      <c r="B44" s="29"/>
      <c r="C44" s="28" t="s">
        <v>607</v>
      </c>
      <c r="D44" s="27" t="s">
        <v>593</v>
      </c>
      <c r="E44" s="26">
        <v>12</v>
      </c>
      <c r="F44" s="384">
        <v>0</v>
      </c>
      <c r="G44" s="26">
        <f t="shared" si="1"/>
        <v>0</v>
      </c>
      <c r="H44" s="25"/>
      <c r="I44" s="24"/>
    </row>
    <row r="45" spans="1:9" s="19" customFormat="1" ht="12.6" customHeight="1">
      <c r="A45" s="30"/>
      <c r="B45" s="29"/>
      <c r="C45" s="28" t="s">
        <v>662</v>
      </c>
      <c r="D45" s="27" t="s">
        <v>593</v>
      </c>
      <c r="E45" s="26">
        <v>12</v>
      </c>
      <c r="F45" s="384">
        <v>0</v>
      </c>
      <c r="G45" s="26">
        <f t="shared" si="1"/>
        <v>0</v>
      </c>
      <c r="H45" s="25"/>
      <c r="I45" s="24"/>
    </row>
    <row r="46" spans="1:9" s="19" customFormat="1" ht="12.95" customHeight="1">
      <c r="A46" s="42"/>
      <c r="B46" s="41"/>
      <c r="C46" s="40"/>
      <c r="D46" s="39"/>
      <c r="E46" s="38"/>
      <c r="F46" s="38"/>
      <c r="G46" s="38"/>
      <c r="H46" s="33"/>
      <c r="I46" s="37"/>
    </row>
    <row r="47" ht="12" customHeight="1"/>
    <row r="48" spans="1:8" ht="12" customHeight="1">
      <c r="A48" s="36"/>
      <c r="B48" s="35"/>
      <c r="C48" s="35" t="s">
        <v>661</v>
      </c>
      <c r="D48" s="35"/>
      <c r="E48" s="33"/>
      <c r="F48" s="34"/>
      <c r="G48" s="34">
        <f>SUM(G49:G55)</f>
        <v>0</v>
      </c>
      <c r="H48" s="33"/>
    </row>
    <row r="49" spans="1:9" ht="32.25">
      <c r="A49" s="30"/>
      <c r="B49" s="29"/>
      <c r="C49" s="32" t="s">
        <v>660</v>
      </c>
      <c r="D49" s="27" t="s">
        <v>143</v>
      </c>
      <c r="E49" s="26">
        <v>1</v>
      </c>
      <c r="F49" s="384">
        <v>0</v>
      </c>
      <c r="G49" s="26">
        <f aca="true" t="shared" si="2" ref="G49:G55">E49*F49</f>
        <v>0</v>
      </c>
      <c r="H49" s="25"/>
      <c r="I49" s="24"/>
    </row>
    <row r="50" spans="1:9" ht="15">
      <c r="A50" s="30"/>
      <c r="B50" s="29"/>
      <c r="C50" s="28" t="s">
        <v>659</v>
      </c>
      <c r="D50" s="27" t="s">
        <v>69</v>
      </c>
      <c r="E50" s="26">
        <v>48</v>
      </c>
      <c r="F50" s="384">
        <v>0</v>
      </c>
      <c r="G50" s="26">
        <f t="shared" si="2"/>
        <v>0</v>
      </c>
      <c r="H50" s="25"/>
      <c r="I50" s="24"/>
    </row>
    <row r="51" spans="1:9" ht="15">
      <c r="A51" s="30"/>
      <c r="B51" s="29"/>
      <c r="C51" s="28" t="s">
        <v>658</v>
      </c>
      <c r="D51" s="27" t="s">
        <v>143</v>
      </c>
      <c r="E51" s="26">
        <v>1</v>
      </c>
      <c r="F51" s="384">
        <v>0</v>
      </c>
      <c r="G51" s="26">
        <f t="shared" si="2"/>
        <v>0</v>
      </c>
      <c r="H51" s="25"/>
      <c r="I51" s="24"/>
    </row>
    <row r="52" spans="1:9" ht="15">
      <c r="A52" s="30"/>
      <c r="B52" s="29"/>
      <c r="C52" s="32" t="s">
        <v>657</v>
      </c>
      <c r="D52" s="27" t="s">
        <v>656</v>
      </c>
      <c r="E52" s="26">
        <v>1</v>
      </c>
      <c r="F52" s="384">
        <v>0</v>
      </c>
      <c r="G52" s="26">
        <f t="shared" si="2"/>
        <v>0</v>
      </c>
      <c r="H52" s="25"/>
      <c r="I52" s="24"/>
    </row>
    <row r="53" spans="1:9" ht="15">
      <c r="A53" s="30"/>
      <c r="B53" s="29"/>
      <c r="C53" s="28" t="s">
        <v>655</v>
      </c>
      <c r="D53" s="27" t="s">
        <v>143</v>
      </c>
      <c r="E53" s="26">
        <v>2</v>
      </c>
      <c r="F53" s="384">
        <v>0</v>
      </c>
      <c r="G53" s="26">
        <f t="shared" si="2"/>
        <v>0</v>
      </c>
      <c r="H53" s="25"/>
      <c r="I53" s="24"/>
    </row>
    <row r="54" spans="1:9" ht="15">
      <c r="A54" s="30"/>
      <c r="B54" s="29"/>
      <c r="C54" s="28" t="s">
        <v>654</v>
      </c>
      <c r="D54" s="27" t="s">
        <v>653</v>
      </c>
      <c r="E54" s="26">
        <v>25</v>
      </c>
      <c r="F54" s="384">
        <v>0</v>
      </c>
      <c r="G54" s="26">
        <f t="shared" si="2"/>
        <v>0</v>
      </c>
      <c r="H54" s="25"/>
      <c r="I54" s="24"/>
    </row>
    <row r="55" spans="1:9" ht="15">
      <c r="A55" s="30"/>
      <c r="B55" s="29"/>
      <c r="C55" s="28" t="s">
        <v>594</v>
      </c>
      <c r="D55" s="27" t="s">
        <v>593</v>
      </c>
      <c r="E55" s="26">
        <v>20</v>
      </c>
      <c r="F55" s="384">
        <v>0</v>
      </c>
      <c r="G55" s="26">
        <f t="shared" si="2"/>
        <v>0</v>
      </c>
      <c r="H55" s="25"/>
      <c r="I55" s="24"/>
    </row>
    <row r="1048397" ht="12.75" customHeight="1"/>
    <row r="1048398" ht="12.75" customHeight="1"/>
    <row r="1048399" ht="12.75" customHeight="1"/>
    <row r="1048400" ht="12.75" customHeight="1"/>
    <row r="1048401" ht="12.75" customHeight="1"/>
    <row r="1048402" ht="12.75" customHeight="1"/>
    <row r="1048403" ht="12.75" customHeight="1"/>
    <row r="1048404" ht="12.75" customHeight="1"/>
    <row r="1048405" ht="12.75" customHeight="1"/>
    <row r="1048406" ht="12.75" customHeight="1"/>
    <row r="1048407" ht="12.75" customHeight="1"/>
    <row r="1048408" ht="12.75" customHeight="1"/>
    <row r="1048409" ht="12.75" customHeight="1"/>
    <row r="1048410" ht="12.75" customHeight="1"/>
    <row r="1048411" ht="12.75" customHeight="1"/>
    <row r="1048412" ht="12.75" customHeight="1"/>
    <row r="1048413" ht="12.75" customHeight="1"/>
    <row r="1048414" ht="12.75" customHeight="1"/>
    <row r="1048415" ht="12.75" customHeight="1"/>
    <row r="1048416" ht="12.75" customHeight="1"/>
    <row r="1048417" ht="12.75" customHeight="1"/>
    <row r="1048418" ht="12.75" customHeight="1"/>
    <row r="1048419" ht="12.75" customHeight="1"/>
    <row r="1048420" ht="12.75" customHeight="1"/>
    <row r="1048421" ht="12.75" customHeight="1"/>
    <row r="1048422" ht="12.75" customHeight="1"/>
    <row r="1048423" ht="12.75" customHeight="1"/>
    <row r="1048424" ht="12.75" customHeight="1"/>
    <row r="1048425" ht="12.75" customHeight="1"/>
    <row r="1048426" ht="12.75" customHeight="1"/>
    <row r="1048427" ht="12.75" customHeight="1"/>
    <row r="1048428" ht="12.75" customHeight="1"/>
    <row r="1048429" ht="12.75" customHeight="1"/>
    <row r="1048430" ht="12.75" customHeight="1"/>
    <row r="1048431" ht="12.75" customHeight="1"/>
    <row r="1048432" ht="12.75" customHeight="1"/>
    <row r="1048433" ht="12.75" customHeight="1"/>
    <row r="1048434" ht="12.75" customHeight="1"/>
    <row r="1048435" ht="12.75" customHeight="1"/>
    <row r="1048436" ht="12.75" customHeight="1"/>
    <row r="1048437" ht="12.75" customHeight="1"/>
    <row r="1048438" ht="12.75" customHeight="1"/>
    <row r="1048439" ht="12.75" customHeight="1"/>
    <row r="1048440" ht="12.75" customHeight="1"/>
    <row r="1048441" ht="12.75" customHeight="1"/>
    <row r="1048442" ht="12.75" customHeight="1"/>
    <row r="1048443" ht="12.75" customHeight="1"/>
    <row r="1048444" ht="12.75" customHeight="1"/>
    <row r="1048445" ht="12.75" customHeight="1"/>
    <row r="1048446" ht="12.75" customHeight="1"/>
    <row r="1048447" ht="12.75" customHeight="1"/>
    <row r="1048448" ht="12.75" customHeight="1"/>
    <row r="1048449" ht="12.75" customHeight="1"/>
    <row r="1048450" ht="12.75" customHeight="1"/>
    <row r="1048451" ht="12.75" customHeight="1"/>
    <row r="1048452" ht="12.75" customHeight="1"/>
    <row r="1048453" ht="12.75" customHeight="1"/>
    <row r="1048454" ht="12.75" customHeight="1"/>
    <row r="1048455" ht="12.75" customHeight="1"/>
    <row r="1048456" ht="12.75" customHeight="1"/>
    <row r="1048457" ht="12.75" customHeight="1"/>
    <row r="1048458" ht="12.75" customHeight="1"/>
    <row r="1048459" ht="12.75" customHeight="1"/>
    <row r="1048460" ht="12.75" customHeight="1"/>
    <row r="1048461" ht="12.75" customHeight="1"/>
    <row r="1048462" ht="12.75" customHeight="1"/>
    <row r="1048463" ht="12.75" customHeight="1"/>
    <row r="1048464" ht="12.75" customHeight="1"/>
    <row r="1048465" ht="12.75" customHeight="1"/>
    <row r="1048466" ht="12.75" customHeight="1"/>
    <row r="1048467" ht="12.75" customHeight="1"/>
    <row r="1048468" ht="12.75" customHeight="1"/>
    <row r="1048469" ht="12.75" customHeight="1"/>
    <row r="1048470" ht="12.75" customHeight="1"/>
    <row r="1048471" ht="12.75" customHeight="1"/>
    <row r="1048472" ht="12.75" customHeight="1"/>
    <row r="1048473" ht="12.75" customHeight="1"/>
    <row r="1048474" ht="12.75" customHeight="1"/>
    <row r="1048475" ht="12.75" customHeight="1"/>
    <row r="1048476" ht="12.75" customHeight="1"/>
    <row r="1048477" ht="12.75" customHeight="1"/>
    <row r="1048478" ht="12.75" customHeight="1"/>
    <row r="1048479" ht="12.75" customHeight="1"/>
    <row r="1048480" ht="12.75" customHeight="1"/>
    <row r="1048481" ht="12.75" customHeight="1"/>
    <row r="1048482" ht="12.75" customHeight="1"/>
    <row r="1048483" ht="12.75" customHeight="1"/>
    <row r="1048484" ht="12.75" customHeight="1"/>
    <row r="1048485" ht="12.75" customHeight="1"/>
    <row r="1048486" ht="12.75" customHeight="1"/>
    <row r="1048487" ht="12.75" customHeight="1"/>
    <row r="1048488" ht="12.75" customHeight="1"/>
    <row r="1048489" ht="12.75" customHeight="1"/>
    <row r="1048490" ht="12.75" customHeight="1"/>
    <row r="1048491" ht="12.75" customHeight="1"/>
    <row r="1048492" ht="12.75" customHeight="1"/>
    <row r="1048493" ht="12.75" customHeight="1"/>
    <row r="1048494" ht="12.75" customHeight="1"/>
    <row r="1048495" ht="12.75" customHeight="1"/>
    <row r="1048496" ht="12.75" customHeight="1"/>
    <row r="1048497" ht="12.75" customHeight="1"/>
    <row r="1048498" ht="12.75" customHeight="1"/>
    <row r="1048499" ht="12.75" customHeight="1"/>
    <row r="1048500" ht="12.75" customHeight="1"/>
    <row r="1048501" ht="12.75" customHeight="1"/>
    <row r="1048502" ht="12.75" customHeight="1"/>
    <row r="1048503" ht="12.75" customHeight="1"/>
    <row r="1048504" ht="12.75" customHeight="1"/>
    <row r="1048505" ht="12.75" customHeight="1"/>
    <row r="1048506" ht="12.75" customHeight="1"/>
    <row r="1048507" ht="12.75" customHeight="1"/>
    <row r="1048508" ht="12.75" customHeight="1"/>
    <row r="1048509" ht="12.75" customHeight="1"/>
    <row r="1048510" ht="12.75" customHeight="1"/>
    <row r="1048511" ht="12.75" customHeight="1"/>
    <row r="1048512" ht="12.75" customHeight="1"/>
    <row r="1048513" ht="12.75" customHeight="1"/>
    <row r="1048514" ht="12.75" customHeight="1"/>
    <row r="1048515" ht="12.75" customHeight="1"/>
    <row r="1048516" ht="12.75" customHeight="1"/>
    <row r="1048517" ht="12.75" customHeight="1"/>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sheetProtection algorithmName="SHA-512" hashValue="N1pgqYLTvYViH6tIK5Omvf6o8ft+r+zv87FNMA3mcOC5AEzjP5tPcGj8xNc3UkOiqOkzRJVV5dFW1m4n/03bJA==" saltValue="J/IMbpaeU8DGaar5qWeAMA==" spinCount="100000" sheet="1" objects="1" scenarios="1" selectLockedCells="1"/>
  <mergeCells count="2">
    <mergeCell ref="A1:H1"/>
    <mergeCell ref="A2:I2"/>
  </mergeCells>
  <printOptions/>
  <pageMargins left="0.39375" right="0.39375" top="0.7875" bottom="0.7875" header="0.511805555555555" footer="0"/>
  <pageSetup fitToHeight="100" fitToWidth="1" horizontalDpi="300" verticalDpi="300" orientation="portrait" paperSize="9"/>
  <headerFooter>
    <oddFooter>&amp;C   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04443-C286-4ADB-A0A0-2524F876F367}">
  <dimension ref="A1:G146"/>
  <sheetViews>
    <sheetView workbookViewId="0" topLeftCell="A25">
      <selection activeCell="F54" sqref="F54"/>
    </sheetView>
  </sheetViews>
  <sheetFormatPr defaultColWidth="9.140625" defaultRowHeight="15"/>
  <cols>
    <col min="1" max="1" width="5.7109375" style="389" customWidth="1"/>
    <col min="2" max="2" width="8.00390625" style="389" customWidth="1"/>
    <col min="3" max="3" width="82.7109375" style="389" customWidth="1"/>
    <col min="4" max="4" width="4.28125" style="389" customWidth="1"/>
    <col min="5" max="5" width="8.00390625" style="400" customWidth="1"/>
    <col min="6" max="6" width="7.8515625" style="389" customWidth="1"/>
    <col min="7" max="7" width="12.421875" style="389" customWidth="1"/>
    <col min="8" max="9" width="9.140625" style="389" customWidth="1"/>
    <col min="10" max="16384" width="9.140625" style="389" customWidth="1"/>
  </cols>
  <sheetData>
    <row r="1" spans="1:7" ht="15">
      <c r="A1" s="385" t="s">
        <v>698</v>
      </c>
      <c r="B1" s="385" t="s">
        <v>710</v>
      </c>
      <c r="C1" s="386" t="s">
        <v>793</v>
      </c>
      <c r="D1" s="387" t="s">
        <v>557</v>
      </c>
      <c r="E1" s="387" t="s">
        <v>695</v>
      </c>
      <c r="F1" s="386" t="s">
        <v>694</v>
      </c>
      <c r="G1" s="388" t="s">
        <v>693</v>
      </c>
    </row>
    <row r="2" spans="1:7" ht="15">
      <c r="A2" s="390" t="s">
        <v>690</v>
      </c>
      <c r="B2" s="390">
        <v>1</v>
      </c>
      <c r="C2" s="391" t="s">
        <v>792</v>
      </c>
      <c r="D2" s="392" t="s">
        <v>593</v>
      </c>
      <c r="E2" s="393">
        <v>16</v>
      </c>
      <c r="F2" s="68">
        <v>0</v>
      </c>
      <c r="G2" s="394">
        <f aca="true" t="shared" si="0" ref="G2:G36">E2*F2</f>
        <v>0</v>
      </c>
    </row>
    <row r="3" spans="1:7" ht="15">
      <c r="A3" s="390" t="s">
        <v>690</v>
      </c>
      <c r="B3" s="390">
        <v>2</v>
      </c>
      <c r="C3" s="391" t="s">
        <v>791</v>
      </c>
      <c r="D3" s="392" t="s">
        <v>143</v>
      </c>
      <c r="E3" s="393">
        <v>1</v>
      </c>
      <c r="F3" s="68">
        <v>0</v>
      </c>
      <c r="G3" s="394">
        <f t="shared" si="0"/>
        <v>0</v>
      </c>
    </row>
    <row r="4" spans="1:7" ht="15">
      <c r="A4" s="390" t="s">
        <v>690</v>
      </c>
      <c r="B4" s="390">
        <v>3</v>
      </c>
      <c r="C4" s="392" t="s">
        <v>790</v>
      </c>
      <c r="D4" s="392" t="s">
        <v>702</v>
      </c>
      <c r="E4" s="393">
        <v>15</v>
      </c>
      <c r="F4" s="68">
        <v>0</v>
      </c>
      <c r="G4" s="394">
        <f t="shared" si="0"/>
        <v>0</v>
      </c>
    </row>
    <row r="5" spans="1:7" ht="15">
      <c r="A5" s="390" t="s">
        <v>690</v>
      </c>
      <c r="B5" s="390">
        <v>4</v>
      </c>
      <c r="C5" s="392" t="s">
        <v>789</v>
      </c>
      <c r="D5" s="392" t="s">
        <v>702</v>
      </c>
      <c r="E5" s="393">
        <v>15</v>
      </c>
      <c r="F5" s="68">
        <v>0</v>
      </c>
      <c r="G5" s="394">
        <f t="shared" si="0"/>
        <v>0</v>
      </c>
    </row>
    <row r="6" spans="1:7" ht="15">
      <c r="A6" s="390" t="s">
        <v>690</v>
      </c>
      <c r="B6" s="390">
        <v>5</v>
      </c>
      <c r="C6" s="391" t="s">
        <v>788</v>
      </c>
      <c r="D6" s="392" t="s">
        <v>143</v>
      </c>
      <c r="E6" s="393">
        <v>4</v>
      </c>
      <c r="F6" s="68">
        <v>0</v>
      </c>
      <c r="G6" s="394">
        <f t="shared" si="0"/>
        <v>0</v>
      </c>
    </row>
    <row r="7" spans="1:7" ht="15">
      <c r="A7" s="390" t="s">
        <v>690</v>
      </c>
      <c r="B7" s="390">
        <v>6</v>
      </c>
      <c r="C7" s="391" t="s">
        <v>787</v>
      </c>
      <c r="D7" s="392" t="s">
        <v>143</v>
      </c>
      <c r="E7" s="393">
        <v>1</v>
      </c>
      <c r="F7" s="68">
        <v>0</v>
      </c>
      <c r="G7" s="394">
        <f t="shared" si="0"/>
        <v>0</v>
      </c>
    </row>
    <row r="8" spans="1:7" ht="15">
      <c r="A8" s="390" t="s">
        <v>690</v>
      </c>
      <c r="B8" s="390">
        <v>7</v>
      </c>
      <c r="C8" s="391" t="s">
        <v>786</v>
      </c>
      <c r="D8" s="392" t="s">
        <v>143</v>
      </c>
      <c r="E8" s="393">
        <v>2</v>
      </c>
      <c r="F8" s="68">
        <v>0</v>
      </c>
      <c r="G8" s="394">
        <f t="shared" si="0"/>
        <v>0</v>
      </c>
    </row>
    <row r="9" spans="1:7" ht="15">
      <c r="A9" s="390" t="s">
        <v>690</v>
      </c>
      <c r="B9" s="390">
        <v>8</v>
      </c>
      <c r="C9" s="392" t="s">
        <v>785</v>
      </c>
      <c r="D9" s="392" t="s">
        <v>143</v>
      </c>
      <c r="E9" s="393">
        <v>13</v>
      </c>
      <c r="F9" s="68">
        <v>0</v>
      </c>
      <c r="G9" s="394">
        <f t="shared" si="0"/>
        <v>0</v>
      </c>
    </row>
    <row r="10" spans="1:7" ht="15">
      <c r="A10" s="390" t="s">
        <v>690</v>
      </c>
      <c r="B10" s="390">
        <v>9</v>
      </c>
      <c r="C10" s="392" t="s">
        <v>784</v>
      </c>
      <c r="D10" s="392" t="s">
        <v>143</v>
      </c>
      <c r="E10" s="393">
        <v>8</v>
      </c>
      <c r="F10" s="68">
        <v>0</v>
      </c>
      <c r="G10" s="394">
        <f t="shared" si="0"/>
        <v>0</v>
      </c>
    </row>
    <row r="11" spans="1:7" ht="15">
      <c r="A11" s="390" t="s">
        <v>690</v>
      </c>
      <c r="B11" s="390">
        <v>8</v>
      </c>
      <c r="C11" s="392" t="s">
        <v>785</v>
      </c>
      <c r="D11" s="392" t="s">
        <v>143</v>
      </c>
      <c r="E11" s="393">
        <v>5</v>
      </c>
      <c r="F11" s="68">
        <v>0</v>
      </c>
      <c r="G11" s="394">
        <f t="shared" si="0"/>
        <v>0</v>
      </c>
    </row>
    <row r="12" spans="1:7" ht="15">
      <c r="A12" s="390" t="s">
        <v>690</v>
      </c>
      <c r="B12" s="390">
        <v>9</v>
      </c>
      <c r="C12" s="392" t="s">
        <v>784</v>
      </c>
      <c r="D12" s="392" t="s">
        <v>143</v>
      </c>
      <c r="E12" s="393">
        <v>2</v>
      </c>
      <c r="F12" s="68">
        <v>0</v>
      </c>
      <c r="G12" s="394">
        <f t="shared" si="0"/>
        <v>0</v>
      </c>
    </row>
    <row r="13" spans="1:7" ht="15">
      <c r="A13" s="390" t="s">
        <v>690</v>
      </c>
      <c r="B13" s="390">
        <v>9</v>
      </c>
      <c r="C13" s="392" t="s">
        <v>748</v>
      </c>
      <c r="D13" s="392" t="s">
        <v>143</v>
      </c>
      <c r="E13" s="393">
        <v>16</v>
      </c>
      <c r="F13" s="68">
        <v>0</v>
      </c>
      <c r="G13" s="394">
        <f t="shared" si="0"/>
        <v>0</v>
      </c>
    </row>
    <row r="14" spans="1:7" ht="15">
      <c r="A14" s="390" t="s">
        <v>690</v>
      </c>
      <c r="B14" s="390">
        <v>10</v>
      </c>
      <c r="C14" s="392" t="s">
        <v>747</v>
      </c>
      <c r="D14" s="392" t="s">
        <v>143</v>
      </c>
      <c r="E14" s="393">
        <v>48</v>
      </c>
      <c r="F14" s="68">
        <v>0</v>
      </c>
      <c r="G14" s="394">
        <f t="shared" si="0"/>
        <v>0</v>
      </c>
    </row>
    <row r="15" spans="1:7" ht="15">
      <c r="A15" s="390" t="s">
        <v>690</v>
      </c>
      <c r="B15" s="390">
        <v>11</v>
      </c>
      <c r="C15" s="391" t="s">
        <v>783</v>
      </c>
      <c r="D15" s="392" t="s">
        <v>143</v>
      </c>
      <c r="E15" s="393">
        <v>16</v>
      </c>
      <c r="F15" s="68">
        <v>0</v>
      </c>
      <c r="G15" s="394">
        <f t="shared" si="0"/>
        <v>0</v>
      </c>
    </row>
    <row r="16" spans="1:7" ht="15">
      <c r="A16" s="390" t="s">
        <v>690</v>
      </c>
      <c r="B16" s="390">
        <v>12</v>
      </c>
      <c r="C16" s="391" t="s">
        <v>746</v>
      </c>
      <c r="D16" s="392" t="s">
        <v>143</v>
      </c>
      <c r="E16" s="393">
        <v>1</v>
      </c>
      <c r="F16" s="68">
        <v>0</v>
      </c>
      <c r="G16" s="394">
        <f t="shared" si="0"/>
        <v>0</v>
      </c>
    </row>
    <row r="17" spans="1:7" ht="15">
      <c r="A17" s="390" t="s">
        <v>690</v>
      </c>
      <c r="B17" s="390">
        <v>13</v>
      </c>
      <c r="C17" s="391" t="s">
        <v>782</v>
      </c>
      <c r="D17" s="392" t="s">
        <v>143</v>
      </c>
      <c r="E17" s="393">
        <v>1</v>
      </c>
      <c r="F17" s="68">
        <v>0</v>
      </c>
      <c r="G17" s="394">
        <f t="shared" si="0"/>
        <v>0</v>
      </c>
    </row>
    <row r="18" spans="1:7" ht="15">
      <c r="A18" s="390" t="s">
        <v>690</v>
      </c>
      <c r="B18" s="390">
        <v>14</v>
      </c>
      <c r="C18" s="391" t="s">
        <v>781</v>
      </c>
      <c r="D18" s="392" t="s">
        <v>143</v>
      </c>
      <c r="E18" s="393">
        <v>8</v>
      </c>
      <c r="F18" s="68">
        <v>0</v>
      </c>
      <c r="G18" s="394">
        <f t="shared" si="0"/>
        <v>0</v>
      </c>
    </row>
    <row r="19" spans="1:7" ht="15">
      <c r="A19" s="390" t="s">
        <v>690</v>
      </c>
      <c r="B19" s="390">
        <v>15</v>
      </c>
      <c r="C19" s="391" t="s">
        <v>780</v>
      </c>
      <c r="D19" s="392" t="s">
        <v>143</v>
      </c>
      <c r="E19" s="393">
        <v>3</v>
      </c>
      <c r="F19" s="68">
        <v>0</v>
      </c>
      <c r="G19" s="394">
        <f t="shared" si="0"/>
        <v>0</v>
      </c>
    </row>
    <row r="20" spans="1:7" ht="15">
      <c r="A20" s="390" t="s">
        <v>690</v>
      </c>
      <c r="B20" s="390">
        <v>16</v>
      </c>
      <c r="C20" s="391" t="s">
        <v>779</v>
      </c>
      <c r="D20" s="392" t="s">
        <v>143</v>
      </c>
      <c r="E20" s="393">
        <v>1</v>
      </c>
      <c r="F20" s="68">
        <v>0</v>
      </c>
      <c r="G20" s="394">
        <f t="shared" si="0"/>
        <v>0</v>
      </c>
    </row>
    <row r="21" spans="1:7" ht="15">
      <c r="A21" s="390" t="s">
        <v>690</v>
      </c>
      <c r="B21" s="390">
        <v>17</v>
      </c>
      <c r="C21" s="391" t="s">
        <v>745</v>
      </c>
      <c r="D21" s="392" t="s">
        <v>143</v>
      </c>
      <c r="E21" s="393">
        <v>1</v>
      </c>
      <c r="F21" s="68">
        <v>0</v>
      </c>
      <c r="G21" s="394">
        <f t="shared" si="0"/>
        <v>0</v>
      </c>
    </row>
    <row r="22" spans="1:7" ht="15">
      <c r="A22" s="390" t="s">
        <v>690</v>
      </c>
      <c r="B22" s="390">
        <v>18</v>
      </c>
      <c r="C22" s="391" t="s">
        <v>778</v>
      </c>
      <c r="D22" s="392" t="s">
        <v>143</v>
      </c>
      <c r="E22" s="393">
        <v>1</v>
      </c>
      <c r="F22" s="68">
        <v>0</v>
      </c>
      <c r="G22" s="394">
        <f t="shared" si="0"/>
        <v>0</v>
      </c>
    </row>
    <row r="23" spans="1:7" ht="15">
      <c r="A23" s="390" t="s">
        <v>690</v>
      </c>
      <c r="B23" s="390">
        <v>19</v>
      </c>
      <c r="C23" s="392" t="s">
        <v>777</v>
      </c>
      <c r="D23" s="392" t="s">
        <v>702</v>
      </c>
      <c r="E23" s="393">
        <v>170</v>
      </c>
      <c r="F23" s="68">
        <v>0</v>
      </c>
      <c r="G23" s="394">
        <f t="shared" si="0"/>
        <v>0</v>
      </c>
    </row>
    <row r="24" spans="1:7" ht="15">
      <c r="A24" s="390" t="s">
        <v>690</v>
      </c>
      <c r="B24" s="390">
        <v>20</v>
      </c>
      <c r="C24" s="392" t="s">
        <v>776</v>
      </c>
      <c r="D24" s="392" t="s">
        <v>702</v>
      </c>
      <c r="E24" s="393">
        <v>40</v>
      </c>
      <c r="F24" s="68">
        <v>0</v>
      </c>
      <c r="G24" s="394">
        <f t="shared" si="0"/>
        <v>0</v>
      </c>
    </row>
    <row r="25" spans="1:7" ht="15">
      <c r="A25" s="390" t="s">
        <v>690</v>
      </c>
      <c r="B25" s="390">
        <v>21</v>
      </c>
      <c r="C25" s="392" t="s">
        <v>775</v>
      </c>
      <c r="D25" s="392" t="s">
        <v>702</v>
      </c>
      <c r="E25" s="393">
        <v>200</v>
      </c>
      <c r="F25" s="68">
        <v>0</v>
      </c>
      <c r="G25" s="394">
        <f t="shared" si="0"/>
        <v>0</v>
      </c>
    </row>
    <row r="26" spans="1:7" ht="15">
      <c r="A26" s="390" t="s">
        <v>690</v>
      </c>
      <c r="B26" s="390">
        <v>22</v>
      </c>
      <c r="C26" s="392" t="s">
        <v>774</v>
      </c>
      <c r="D26" s="392" t="s">
        <v>702</v>
      </c>
      <c r="E26" s="393">
        <v>1750</v>
      </c>
      <c r="F26" s="68">
        <v>0</v>
      </c>
      <c r="G26" s="394">
        <f t="shared" si="0"/>
        <v>0</v>
      </c>
    </row>
    <row r="27" spans="1:7" ht="15">
      <c r="A27" s="390" t="s">
        <v>690</v>
      </c>
      <c r="B27" s="390">
        <v>23</v>
      </c>
      <c r="C27" s="392" t="s">
        <v>773</v>
      </c>
      <c r="D27" s="392" t="s">
        <v>702</v>
      </c>
      <c r="E27" s="393">
        <v>25</v>
      </c>
      <c r="F27" s="68">
        <v>0</v>
      </c>
      <c r="G27" s="394">
        <f t="shared" si="0"/>
        <v>0</v>
      </c>
    </row>
    <row r="28" spans="1:7" ht="15">
      <c r="A28" s="390" t="s">
        <v>690</v>
      </c>
      <c r="B28" s="390">
        <v>24</v>
      </c>
      <c r="C28" s="392" t="s">
        <v>772</v>
      </c>
      <c r="D28" s="392" t="s">
        <v>702</v>
      </c>
      <c r="E28" s="393">
        <v>25</v>
      </c>
      <c r="F28" s="68">
        <v>0</v>
      </c>
      <c r="G28" s="394">
        <f t="shared" si="0"/>
        <v>0</v>
      </c>
    </row>
    <row r="29" spans="1:7" ht="15">
      <c r="A29" s="390" t="s">
        <v>690</v>
      </c>
      <c r="B29" s="390">
        <v>25</v>
      </c>
      <c r="C29" s="392" t="s">
        <v>705</v>
      </c>
      <c r="D29" s="392" t="s">
        <v>702</v>
      </c>
      <c r="E29" s="393">
        <v>420</v>
      </c>
      <c r="F29" s="68">
        <v>0</v>
      </c>
      <c r="G29" s="394">
        <f t="shared" si="0"/>
        <v>0</v>
      </c>
    </row>
    <row r="30" spans="1:7" ht="15">
      <c r="A30" s="390" t="s">
        <v>690</v>
      </c>
      <c r="B30" s="390">
        <v>26</v>
      </c>
      <c r="C30" s="392" t="s">
        <v>737</v>
      </c>
      <c r="D30" s="392" t="s">
        <v>143</v>
      </c>
      <c r="E30" s="393">
        <v>40</v>
      </c>
      <c r="F30" s="68">
        <v>0</v>
      </c>
      <c r="G30" s="394">
        <f t="shared" si="0"/>
        <v>0</v>
      </c>
    </row>
    <row r="31" spans="1:7" ht="15">
      <c r="A31" s="390" t="s">
        <v>690</v>
      </c>
      <c r="B31" s="390">
        <v>27</v>
      </c>
      <c r="C31" s="392" t="s">
        <v>701</v>
      </c>
      <c r="D31" s="392" t="s">
        <v>143</v>
      </c>
      <c r="E31" s="393">
        <v>15</v>
      </c>
      <c r="F31" s="68">
        <v>0</v>
      </c>
      <c r="G31" s="394">
        <f t="shared" si="0"/>
        <v>0</v>
      </c>
    </row>
    <row r="32" spans="1:7" ht="15">
      <c r="A32" s="390" t="s">
        <v>690</v>
      </c>
      <c r="B32" s="390">
        <v>28</v>
      </c>
      <c r="C32" s="392" t="s">
        <v>771</v>
      </c>
      <c r="D32" s="392" t="s">
        <v>143</v>
      </c>
      <c r="E32" s="393">
        <v>80</v>
      </c>
      <c r="F32" s="68">
        <v>0</v>
      </c>
      <c r="G32" s="394">
        <f t="shared" si="0"/>
        <v>0</v>
      </c>
    </row>
    <row r="33" spans="1:7" ht="15">
      <c r="A33" s="390" t="s">
        <v>690</v>
      </c>
      <c r="B33" s="390">
        <v>29</v>
      </c>
      <c r="C33" s="392" t="s">
        <v>770</v>
      </c>
      <c r="D33" s="392" t="s">
        <v>143</v>
      </c>
      <c r="E33" s="393">
        <v>210</v>
      </c>
      <c r="F33" s="68">
        <v>0</v>
      </c>
      <c r="G33" s="394">
        <f t="shared" si="0"/>
        <v>0</v>
      </c>
    </row>
    <row r="34" spans="1:7" ht="15">
      <c r="A34" s="390" t="s">
        <v>690</v>
      </c>
      <c r="B34" s="390">
        <v>30</v>
      </c>
      <c r="C34" s="392" t="s">
        <v>769</v>
      </c>
      <c r="D34" s="393" t="s">
        <v>143</v>
      </c>
      <c r="E34" s="393">
        <v>50</v>
      </c>
      <c r="F34" s="68">
        <v>0</v>
      </c>
      <c r="G34" s="394">
        <f t="shared" si="0"/>
        <v>0</v>
      </c>
    </row>
    <row r="35" spans="1:7" ht="15">
      <c r="A35" s="390" t="s">
        <v>690</v>
      </c>
      <c r="B35" s="390">
        <v>31</v>
      </c>
      <c r="C35" s="392" t="s">
        <v>768</v>
      </c>
      <c r="D35" s="393" t="s">
        <v>143</v>
      </c>
      <c r="E35" s="393">
        <v>4</v>
      </c>
      <c r="F35" s="68">
        <v>0</v>
      </c>
      <c r="G35" s="394">
        <f t="shared" si="0"/>
        <v>0</v>
      </c>
    </row>
    <row r="36" spans="1:7" ht="15">
      <c r="A36" s="390" t="s">
        <v>690</v>
      </c>
      <c r="B36" s="390">
        <v>32</v>
      </c>
      <c r="C36" s="392" t="s">
        <v>767</v>
      </c>
      <c r="D36" s="393" t="s">
        <v>143</v>
      </c>
      <c r="E36" s="393">
        <v>2</v>
      </c>
      <c r="F36" s="68">
        <v>0</v>
      </c>
      <c r="G36" s="394">
        <f t="shared" si="0"/>
        <v>0</v>
      </c>
    </row>
    <row r="37" spans="1:7" ht="15">
      <c r="A37" s="390"/>
      <c r="B37" s="390"/>
      <c r="C37" s="390"/>
      <c r="D37" s="390"/>
      <c r="E37" s="395"/>
      <c r="F37" s="390"/>
      <c r="G37" s="396">
        <f>SUM(G2:G36)</f>
        <v>0</v>
      </c>
    </row>
    <row r="38" spans="3:7" ht="15">
      <c r="C38" s="397"/>
      <c r="D38" s="397"/>
      <c r="E38" s="398"/>
      <c r="F38" s="398"/>
      <c r="G38" s="399"/>
    </row>
    <row r="39" spans="1:7" ht="15">
      <c r="A39" s="385" t="s">
        <v>698</v>
      </c>
      <c r="B39" s="385" t="s">
        <v>766</v>
      </c>
      <c r="C39" s="386" t="s">
        <v>765</v>
      </c>
      <c r="D39" s="387" t="s">
        <v>557</v>
      </c>
      <c r="E39" s="387" t="s">
        <v>695</v>
      </c>
      <c r="F39" s="386" t="s">
        <v>694</v>
      </c>
      <c r="G39" s="388" t="s">
        <v>693</v>
      </c>
    </row>
    <row r="40" spans="1:7" ht="15">
      <c r="A40" s="390" t="s">
        <v>690</v>
      </c>
      <c r="B40" s="390">
        <v>1</v>
      </c>
      <c r="C40" s="392" t="s">
        <v>764</v>
      </c>
      <c r="D40" s="392" t="s">
        <v>143</v>
      </c>
      <c r="E40" s="393">
        <v>8</v>
      </c>
      <c r="F40" s="68">
        <v>0</v>
      </c>
      <c r="G40" s="394">
        <f>E40*F40</f>
        <v>0</v>
      </c>
    </row>
    <row r="41" spans="1:7" ht="15">
      <c r="A41" s="390" t="s">
        <v>690</v>
      </c>
      <c r="B41" s="390">
        <v>2</v>
      </c>
      <c r="C41" s="392" t="s">
        <v>763</v>
      </c>
      <c r="D41" s="392" t="s">
        <v>143</v>
      </c>
      <c r="E41" s="393">
        <v>55</v>
      </c>
      <c r="F41" s="68">
        <v>0</v>
      </c>
      <c r="G41" s="394">
        <f>E41*F41</f>
        <v>0</v>
      </c>
    </row>
    <row r="42" spans="1:7" ht="15">
      <c r="A42" s="390" t="s">
        <v>690</v>
      </c>
      <c r="B42" s="390">
        <v>3</v>
      </c>
      <c r="C42" s="392" t="s">
        <v>762</v>
      </c>
      <c r="D42" s="392" t="s">
        <v>702</v>
      </c>
      <c r="E42" s="393">
        <v>45</v>
      </c>
      <c r="F42" s="68">
        <v>0</v>
      </c>
      <c r="G42" s="394">
        <f>E42*F42</f>
        <v>0</v>
      </c>
    </row>
    <row r="43" spans="1:7" ht="15">
      <c r="A43" s="390"/>
      <c r="B43" s="390"/>
      <c r="C43" s="392" t="s">
        <v>760</v>
      </c>
      <c r="D43" s="392"/>
      <c r="E43" s="393"/>
      <c r="F43" s="68"/>
      <c r="G43" s="394"/>
    </row>
    <row r="44" spans="1:7" ht="15">
      <c r="A44" s="390" t="s">
        <v>690</v>
      </c>
      <c r="B44" s="390">
        <v>4</v>
      </c>
      <c r="C44" s="392" t="s">
        <v>761</v>
      </c>
      <c r="D44" s="392" t="s">
        <v>702</v>
      </c>
      <c r="E44" s="393">
        <v>10</v>
      </c>
      <c r="F44" s="68">
        <v>0</v>
      </c>
      <c r="G44" s="394">
        <f>E44*F44</f>
        <v>0</v>
      </c>
    </row>
    <row r="45" spans="1:7" ht="15">
      <c r="A45" s="390"/>
      <c r="B45" s="390"/>
      <c r="C45" s="392" t="s">
        <v>760</v>
      </c>
      <c r="D45" s="392"/>
      <c r="E45" s="393"/>
      <c r="F45" s="68"/>
      <c r="G45" s="394"/>
    </row>
    <row r="46" spans="1:7" ht="15">
      <c r="A46" s="390"/>
      <c r="B46" s="390"/>
      <c r="C46" s="390"/>
      <c r="D46" s="390"/>
      <c r="E46" s="395"/>
      <c r="F46" s="390"/>
      <c r="G46" s="396">
        <f>SUM(G40:G45)</f>
        <v>0</v>
      </c>
    </row>
    <row r="47" ht="15">
      <c r="G47" s="401"/>
    </row>
    <row r="48" spans="1:7" ht="15">
      <c r="A48" s="385" t="s">
        <v>698</v>
      </c>
      <c r="B48" s="385" t="s">
        <v>697</v>
      </c>
      <c r="C48" s="386" t="s">
        <v>759</v>
      </c>
      <c r="D48" s="387" t="s">
        <v>557</v>
      </c>
      <c r="E48" s="387" t="s">
        <v>695</v>
      </c>
      <c r="F48" s="386" t="s">
        <v>694</v>
      </c>
      <c r="G48" s="388" t="s">
        <v>693</v>
      </c>
    </row>
    <row r="49" spans="1:7" ht="15">
      <c r="A49" s="390" t="s">
        <v>690</v>
      </c>
      <c r="B49" s="390">
        <v>1</v>
      </c>
      <c r="C49" s="392" t="s">
        <v>758</v>
      </c>
      <c r="D49" s="392" t="s">
        <v>702</v>
      </c>
      <c r="E49" s="393">
        <v>15</v>
      </c>
      <c r="F49" s="68">
        <v>0</v>
      </c>
      <c r="G49" s="394">
        <f aca="true" t="shared" si="1" ref="G49:G75">E49*F49</f>
        <v>0</v>
      </c>
    </row>
    <row r="50" spans="1:7" ht="15">
      <c r="A50" s="390" t="s">
        <v>690</v>
      </c>
      <c r="B50" s="390">
        <v>2</v>
      </c>
      <c r="C50" s="392" t="s">
        <v>757</v>
      </c>
      <c r="D50" s="392" t="s">
        <v>702</v>
      </c>
      <c r="E50" s="393">
        <v>15</v>
      </c>
      <c r="F50" s="68">
        <v>0</v>
      </c>
      <c r="G50" s="394">
        <f t="shared" si="1"/>
        <v>0</v>
      </c>
    </row>
    <row r="51" spans="1:7" ht="15">
      <c r="A51" s="390" t="s">
        <v>690</v>
      </c>
      <c r="B51" s="390">
        <v>3</v>
      </c>
      <c r="C51" s="391" t="s">
        <v>756</v>
      </c>
      <c r="D51" s="392" t="s">
        <v>143</v>
      </c>
      <c r="E51" s="393">
        <v>3</v>
      </c>
      <c r="F51" s="68">
        <v>0</v>
      </c>
      <c r="G51" s="394">
        <f t="shared" si="1"/>
        <v>0</v>
      </c>
    </row>
    <row r="52" spans="1:7" ht="15">
      <c r="A52" s="390" t="s">
        <v>690</v>
      </c>
      <c r="B52" s="390">
        <v>4</v>
      </c>
      <c r="C52" s="391" t="s">
        <v>755</v>
      </c>
      <c r="D52" s="392" t="s">
        <v>143</v>
      </c>
      <c r="E52" s="393">
        <v>1</v>
      </c>
      <c r="F52" s="68">
        <v>0</v>
      </c>
      <c r="G52" s="394">
        <f t="shared" si="1"/>
        <v>0</v>
      </c>
    </row>
    <row r="53" spans="1:7" ht="15">
      <c r="A53" s="390" t="s">
        <v>690</v>
      </c>
      <c r="B53" s="390">
        <v>5</v>
      </c>
      <c r="C53" s="391" t="s">
        <v>754</v>
      </c>
      <c r="D53" s="392" t="s">
        <v>143</v>
      </c>
      <c r="E53" s="393">
        <v>1</v>
      </c>
      <c r="F53" s="68">
        <v>0</v>
      </c>
      <c r="G53" s="394">
        <f t="shared" si="1"/>
        <v>0</v>
      </c>
    </row>
    <row r="54" spans="1:7" ht="15">
      <c r="A54" s="390" t="s">
        <v>690</v>
      </c>
      <c r="B54" s="390">
        <v>6</v>
      </c>
      <c r="C54" s="391" t="s">
        <v>753</v>
      </c>
      <c r="D54" s="392" t="s">
        <v>143</v>
      </c>
      <c r="E54" s="393">
        <v>2</v>
      </c>
      <c r="F54" s="68">
        <v>0</v>
      </c>
      <c r="G54" s="394">
        <f t="shared" si="1"/>
        <v>0</v>
      </c>
    </row>
    <row r="55" spans="1:7" ht="15">
      <c r="A55" s="390" t="s">
        <v>690</v>
      </c>
      <c r="B55" s="390">
        <v>7</v>
      </c>
      <c r="C55" s="392" t="s">
        <v>752</v>
      </c>
      <c r="D55" s="392" t="s">
        <v>143</v>
      </c>
      <c r="E55" s="393">
        <v>13</v>
      </c>
      <c r="F55" s="68">
        <v>0</v>
      </c>
      <c r="G55" s="394">
        <f t="shared" si="1"/>
        <v>0</v>
      </c>
    </row>
    <row r="56" spans="1:7" ht="15">
      <c r="A56" s="390" t="s">
        <v>690</v>
      </c>
      <c r="B56" s="390">
        <v>8</v>
      </c>
      <c r="C56" s="392" t="s">
        <v>751</v>
      </c>
      <c r="D56" s="392" t="s">
        <v>143</v>
      </c>
      <c r="E56" s="393">
        <v>8</v>
      </c>
      <c r="F56" s="68">
        <v>0</v>
      </c>
      <c r="G56" s="394">
        <f t="shared" si="1"/>
        <v>0</v>
      </c>
    </row>
    <row r="57" spans="1:7" ht="15">
      <c r="A57" s="390" t="s">
        <v>690</v>
      </c>
      <c r="B57" s="390">
        <v>9</v>
      </c>
      <c r="C57" s="392" t="s">
        <v>750</v>
      </c>
      <c r="D57" s="392" t="s">
        <v>143</v>
      </c>
      <c r="E57" s="393">
        <v>5</v>
      </c>
      <c r="F57" s="68">
        <v>0</v>
      </c>
      <c r="G57" s="394">
        <f t="shared" si="1"/>
        <v>0</v>
      </c>
    </row>
    <row r="58" spans="1:7" ht="15">
      <c r="A58" s="390" t="s">
        <v>690</v>
      </c>
      <c r="B58" s="390">
        <v>10</v>
      </c>
      <c r="C58" s="392" t="s">
        <v>749</v>
      </c>
      <c r="D58" s="392" t="s">
        <v>143</v>
      </c>
      <c r="E58" s="393">
        <v>2</v>
      </c>
      <c r="F58" s="68">
        <v>0</v>
      </c>
      <c r="G58" s="394">
        <f t="shared" si="1"/>
        <v>0</v>
      </c>
    </row>
    <row r="59" spans="1:7" ht="15">
      <c r="A59" s="390" t="s">
        <v>690</v>
      </c>
      <c r="B59" s="390">
        <v>11</v>
      </c>
      <c r="C59" s="392" t="s">
        <v>748</v>
      </c>
      <c r="D59" s="392" t="s">
        <v>143</v>
      </c>
      <c r="E59" s="393">
        <v>16</v>
      </c>
      <c r="F59" s="68">
        <v>0</v>
      </c>
      <c r="G59" s="394">
        <f t="shared" si="1"/>
        <v>0</v>
      </c>
    </row>
    <row r="60" spans="1:7" ht="15">
      <c r="A60" s="390" t="s">
        <v>690</v>
      </c>
      <c r="B60" s="390">
        <v>12</v>
      </c>
      <c r="C60" s="392" t="s">
        <v>747</v>
      </c>
      <c r="D60" s="392" t="s">
        <v>143</v>
      </c>
      <c r="E60" s="393">
        <v>48</v>
      </c>
      <c r="F60" s="68">
        <v>0</v>
      </c>
      <c r="G60" s="394">
        <f t="shared" si="1"/>
        <v>0</v>
      </c>
    </row>
    <row r="61" spans="1:7" ht="15">
      <c r="A61" s="390" t="s">
        <v>690</v>
      </c>
      <c r="B61" s="390">
        <v>13</v>
      </c>
      <c r="C61" s="391" t="s">
        <v>746</v>
      </c>
      <c r="D61" s="392" t="s">
        <v>143</v>
      </c>
      <c r="E61" s="393">
        <v>1</v>
      </c>
      <c r="F61" s="68">
        <v>0</v>
      </c>
      <c r="G61" s="394">
        <f t="shared" si="1"/>
        <v>0</v>
      </c>
    </row>
    <row r="62" spans="1:7" ht="15">
      <c r="A62" s="390" t="s">
        <v>690</v>
      </c>
      <c r="B62" s="390">
        <v>14</v>
      </c>
      <c r="C62" s="391" t="s">
        <v>745</v>
      </c>
      <c r="D62" s="392" t="s">
        <v>143</v>
      </c>
      <c r="E62" s="393">
        <v>1</v>
      </c>
      <c r="F62" s="68">
        <v>0</v>
      </c>
      <c r="G62" s="394">
        <f t="shared" si="1"/>
        <v>0</v>
      </c>
    </row>
    <row r="63" spans="1:7" ht="15">
      <c r="A63" s="390" t="s">
        <v>690</v>
      </c>
      <c r="B63" s="390">
        <v>15</v>
      </c>
      <c r="C63" s="391" t="s">
        <v>744</v>
      </c>
      <c r="D63" s="392" t="s">
        <v>143</v>
      </c>
      <c r="E63" s="393">
        <v>1</v>
      </c>
      <c r="F63" s="68">
        <v>0</v>
      </c>
      <c r="G63" s="394">
        <f t="shared" si="1"/>
        <v>0</v>
      </c>
    </row>
    <row r="64" spans="1:7" ht="15">
      <c r="A64" s="390" t="s">
        <v>690</v>
      </c>
      <c r="B64" s="390">
        <v>16</v>
      </c>
      <c r="C64" s="392" t="s">
        <v>743</v>
      </c>
      <c r="D64" s="392" t="s">
        <v>702</v>
      </c>
      <c r="E64" s="393">
        <v>170</v>
      </c>
      <c r="F64" s="68">
        <v>0</v>
      </c>
      <c r="G64" s="394">
        <f t="shared" si="1"/>
        <v>0</v>
      </c>
    </row>
    <row r="65" spans="1:7" ht="15">
      <c r="A65" s="390" t="s">
        <v>690</v>
      </c>
      <c r="B65" s="390">
        <v>17</v>
      </c>
      <c r="C65" s="392" t="s">
        <v>742</v>
      </c>
      <c r="D65" s="392" t="s">
        <v>702</v>
      </c>
      <c r="E65" s="393">
        <v>40</v>
      </c>
      <c r="F65" s="68">
        <v>0</v>
      </c>
      <c r="G65" s="394">
        <f t="shared" si="1"/>
        <v>0</v>
      </c>
    </row>
    <row r="66" spans="1:7" ht="15">
      <c r="A66" s="390" t="s">
        <v>690</v>
      </c>
      <c r="B66" s="390">
        <v>18</v>
      </c>
      <c r="C66" s="392" t="s">
        <v>741</v>
      </c>
      <c r="D66" s="392" t="s">
        <v>702</v>
      </c>
      <c r="E66" s="393">
        <v>200</v>
      </c>
      <c r="F66" s="68">
        <v>0</v>
      </c>
      <c r="G66" s="394">
        <f t="shared" si="1"/>
        <v>0</v>
      </c>
    </row>
    <row r="67" spans="1:7" ht="15">
      <c r="A67" s="390" t="s">
        <v>690</v>
      </c>
      <c r="B67" s="390">
        <v>19</v>
      </c>
      <c r="C67" s="392" t="s">
        <v>740</v>
      </c>
      <c r="D67" s="392" t="s">
        <v>702</v>
      </c>
      <c r="E67" s="393">
        <v>1750</v>
      </c>
      <c r="F67" s="68">
        <v>0</v>
      </c>
      <c r="G67" s="394">
        <f t="shared" si="1"/>
        <v>0</v>
      </c>
    </row>
    <row r="68" spans="1:7" ht="15">
      <c r="A68" s="390" t="s">
        <v>690</v>
      </c>
      <c r="B68" s="390">
        <v>20</v>
      </c>
      <c r="C68" s="392" t="s">
        <v>739</v>
      </c>
      <c r="D68" s="392" t="s">
        <v>702</v>
      </c>
      <c r="E68" s="393">
        <v>25</v>
      </c>
      <c r="F68" s="68">
        <v>0</v>
      </c>
      <c r="G68" s="394">
        <f t="shared" si="1"/>
        <v>0</v>
      </c>
    </row>
    <row r="69" spans="1:7" ht="15">
      <c r="A69" s="390" t="s">
        <v>690</v>
      </c>
      <c r="B69" s="390">
        <v>21</v>
      </c>
      <c r="C69" s="392" t="s">
        <v>738</v>
      </c>
      <c r="D69" s="392" t="s">
        <v>702</v>
      </c>
      <c r="E69" s="393">
        <v>25</v>
      </c>
      <c r="F69" s="68">
        <v>0</v>
      </c>
      <c r="G69" s="394">
        <f t="shared" si="1"/>
        <v>0</v>
      </c>
    </row>
    <row r="70" spans="1:7" ht="15">
      <c r="A70" s="390" t="s">
        <v>690</v>
      </c>
      <c r="B70" s="390">
        <v>22</v>
      </c>
      <c r="C70" s="392" t="s">
        <v>705</v>
      </c>
      <c r="D70" s="392" t="s">
        <v>702</v>
      </c>
      <c r="E70" s="393">
        <v>420</v>
      </c>
      <c r="F70" s="68">
        <v>0</v>
      </c>
      <c r="G70" s="394">
        <f t="shared" si="1"/>
        <v>0</v>
      </c>
    </row>
    <row r="71" spans="1:7" ht="15">
      <c r="A71" s="390" t="s">
        <v>690</v>
      </c>
      <c r="B71" s="390">
        <v>23</v>
      </c>
      <c r="C71" s="392" t="s">
        <v>737</v>
      </c>
      <c r="D71" s="392" t="s">
        <v>143</v>
      </c>
      <c r="E71" s="393">
        <v>40</v>
      </c>
      <c r="F71" s="68">
        <v>0</v>
      </c>
      <c r="G71" s="394">
        <f t="shared" si="1"/>
        <v>0</v>
      </c>
    </row>
    <row r="72" spans="1:7" ht="15">
      <c r="A72" s="390" t="s">
        <v>690</v>
      </c>
      <c r="B72" s="390">
        <v>24</v>
      </c>
      <c r="C72" s="392" t="s">
        <v>701</v>
      </c>
      <c r="D72" s="392" t="s">
        <v>143</v>
      </c>
      <c r="E72" s="393">
        <v>15</v>
      </c>
      <c r="F72" s="68">
        <v>0</v>
      </c>
      <c r="G72" s="394">
        <f t="shared" si="1"/>
        <v>0</v>
      </c>
    </row>
    <row r="73" spans="1:7" ht="15">
      <c r="A73" s="390" t="s">
        <v>690</v>
      </c>
      <c r="B73" s="390">
        <v>25</v>
      </c>
      <c r="C73" s="392" t="s">
        <v>736</v>
      </c>
      <c r="D73" s="392" t="s">
        <v>143</v>
      </c>
      <c r="E73" s="393">
        <v>80</v>
      </c>
      <c r="F73" s="68">
        <v>0</v>
      </c>
      <c r="G73" s="394">
        <f t="shared" si="1"/>
        <v>0</v>
      </c>
    </row>
    <row r="74" spans="1:7" ht="15">
      <c r="A74" s="390" t="s">
        <v>690</v>
      </c>
      <c r="B74" s="390">
        <v>26</v>
      </c>
      <c r="C74" s="392" t="s">
        <v>735</v>
      </c>
      <c r="D74" s="392" t="s">
        <v>143</v>
      </c>
      <c r="E74" s="393">
        <v>210</v>
      </c>
      <c r="F74" s="68">
        <v>0</v>
      </c>
      <c r="G74" s="394">
        <f t="shared" si="1"/>
        <v>0</v>
      </c>
    </row>
    <row r="75" spans="1:7" ht="15">
      <c r="A75" s="390" t="s">
        <v>690</v>
      </c>
      <c r="B75" s="390">
        <v>27</v>
      </c>
      <c r="C75" s="392" t="s">
        <v>700</v>
      </c>
      <c r="D75" s="392" t="s">
        <v>699</v>
      </c>
      <c r="E75" s="393">
        <v>1</v>
      </c>
      <c r="F75" s="68">
        <v>0</v>
      </c>
      <c r="G75" s="394">
        <f t="shared" si="1"/>
        <v>0</v>
      </c>
    </row>
    <row r="76" spans="1:7" ht="15">
      <c r="A76" s="390"/>
      <c r="B76" s="390"/>
      <c r="C76" s="390"/>
      <c r="D76" s="390"/>
      <c r="E76" s="395"/>
      <c r="F76" s="390"/>
      <c r="G76" s="396">
        <f>SUM(G49:G75)</f>
        <v>0</v>
      </c>
    </row>
    <row r="77" ht="15">
      <c r="G77" s="401"/>
    </row>
    <row r="78" spans="1:7" ht="15">
      <c r="A78" s="385" t="s">
        <v>698</v>
      </c>
      <c r="B78" s="385" t="s">
        <v>734</v>
      </c>
      <c r="C78" s="402" t="s">
        <v>733</v>
      </c>
      <c r="D78" s="387" t="s">
        <v>557</v>
      </c>
      <c r="E78" s="387" t="s">
        <v>695</v>
      </c>
      <c r="F78" s="386" t="s">
        <v>694</v>
      </c>
      <c r="G78" s="388" t="s">
        <v>693</v>
      </c>
    </row>
    <row r="79" spans="1:7" ht="15">
      <c r="A79" s="390" t="s">
        <v>712</v>
      </c>
      <c r="B79" s="390">
        <v>1</v>
      </c>
      <c r="C79" s="391" t="s">
        <v>729</v>
      </c>
      <c r="D79" s="403" t="s">
        <v>143</v>
      </c>
      <c r="E79" s="403">
        <v>1</v>
      </c>
      <c r="F79" s="68">
        <v>0</v>
      </c>
      <c r="G79" s="394">
        <f aca="true" t="shared" si="2" ref="G79:G97">E79*F79</f>
        <v>0</v>
      </c>
    </row>
    <row r="80" spans="1:7" ht="15">
      <c r="A80" s="390" t="s">
        <v>712</v>
      </c>
      <c r="B80" s="390">
        <v>2</v>
      </c>
      <c r="C80" s="392" t="s">
        <v>728</v>
      </c>
      <c r="D80" s="393" t="s">
        <v>143</v>
      </c>
      <c r="E80" s="393">
        <v>2</v>
      </c>
      <c r="F80" s="68">
        <v>0</v>
      </c>
      <c r="G80" s="394">
        <f t="shared" si="2"/>
        <v>0</v>
      </c>
    </row>
    <row r="81" spans="1:7" ht="15">
      <c r="A81" s="390" t="s">
        <v>712</v>
      </c>
      <c r="B81" s="390">
        <v>3</v>
      </c>
      <c r="C81" s="392" t="s">
        <v>727</v>
      </c>
      <c r="D81" s="392" t="s">
        <v>143</v>
      </c>
      <c r="E81" s="393">
        <v>1</v>
      </c>
      <c r="F81" s="68">
        <v>0</v>
      </c>
      <c r="G81" s="394">
        <f t="shared" si="2"/>
        <v>0</v>
      </c>
    </row>
    <row r="82" spans="1:7" ht="15">
      <c r="A82" s="390" t="s">
        <v>712</v>
      </c>
      <c r="B82" s="390">
        <v>4</v>
      </c>
      <c r="C82" s="391" t="s">
        <v>726</v>
      </c>
      <c r="D82" s="392" t="s">
        <v>143</v>
      </c>
      <c r="E82" s="393">
        <v>1</v>
      </c>
      <c r="F82" s="68">
        <v>0</v>
      </c>
      <c r="G82" s="394">
        <f t="shared" si="2"/>
        <v>0</v>
      </c>
    </row>
    <row r="83" spans="1:7" ht="15">
      <c r="A83" s="390" t="s">
        <v>712</v>
      </c>
      <c r="B83" s="390">
        <v>5</v>
      </c>
      <c r="C83" s="392" t="s">
        <v>725</v>
      </c>
      <c r="D83" s="392" t="s">
        <v>143</v>
      </c>
      <c r="E83" s="393">
        <v>7</v>
      </c>
      <c r="F83" s="68">
        <v>0</v>
      </c>
      <c r="G83" s="394">
        <f t="shared" si="2"/>
        <v>0</v>
      </c>
    </row>
    <row r="84" spans="1:7" ht="15">
      <c r="A84" s="390" t="s">
        <v>712</v>
      </c>
      <c r="B84" s="390">
        <v>6</v>
      </c>
      <c r="C84" s="392" t="s">
        <v>724</v>
      </c>
      <c r="D84" s="392" t="s">
        <v>143</v>
      </c>
      <c r="E84" s="393">
        <v>7</v>
      </c>
      <c r="F84" s="68">
        <v>0</v>
      </c>
      <c r="G84" s="394">
        <f t="shared" si="2"/>
        <v>0</v>
      </c>
    </row>
    <row r="85" spans="1:7" ht="15">
      <c r="A85" s="390" t="s">
        <v>712</v>
      </c>
      <c r="B85" s="390">
        <v>7</v>
      </c>
      <c r="C85" s="392" t="s">
        <v>723</v>
      </c>
      <c r="D85" s="392" t="s">
        <v>143</v>
      </c>
      <c r="E85" s="393">
        <v>2</v>
      </c>
      <c r="F85" s="68">
        <v>0</v>
      </c>
      <c r="G85" s="394">
        <f t="shared" si="2"/>
        <v>0</v>
      </c>
    </row>
    <row r="86" spans="1:7" ht="15">
      <c r="A86" s="390" t="s">
        <v>712</v>
      </c>
      <c r="B86" s="390">
        <v>8</v>
      </c>
      <c r="C86" s="392" t="s">
        <v>722</v>
      </c>
      <c r="D86" s="392" t="s">
        <v>143</v>
      </c>
      <c r="E86" s="393">
        <v>39</v>
      </c>
      <c r="F86" s="68">
        <v>0</v>
      </c>
      <c r="G86" s="394">
        <f t="shared" si="2"/>
        <v>0</v>
      </c>
    </row>
    <row r="87" spans="1:7" ht="15">
      <c r="A87" s="390" t="s">
        <v>712</v>
      </c>
      <c r="B87" s="390">
        <v>9</v>
      </c>
      <c r="C87" s="392" t="s">
        <v>721</v>
      </c>
      <c r="D87" s="392" t="s">
        <v>143</v>
      </c>
      <c r="E87" s="393">
        <v>5</v>
      </c>
      <c r="F87" s="68">
        <v>0</v>
      </c>
      <c r="G87" s="394">
        <f t="shared" si="2"/>
        <v>0</v>
      </c>
    </row>
    <row r="88" spans="1:7" ht="15">
      <c r="A88" s="390" t="s">
        <v>712</v>
      </c>
      <c r="B88" s="390">
        <v>10</v>
      </c>
      <c r="C88" s="392" t="s">
        <v>720</v>
      </c>
      <c r="D88" s="392" t="s">
        <v>143</v>
      </c>
      <c r="E88" s="393">
        <v>1</v>
      </c>
      <c r="F88" s="68">
        <v>0</v>
      </c>
      <c r="G88" s="394">
        <f t="shared" si="2"/>
        <v>0</v>
      </c>
    </row>
    <row r="89" spans="1:7" ht="15">
      <c r="A89" s="390" t="s">
        <v>712</v>
      </c>
      <c r="B89" s="390">
        <v>11</v>
      </c>
      <c r="C89" s="392" t="s">
        <v>719</v>
      </c>
      <c r="D89" s="392" t="s">
        <v>143</v>
      </c>
      <c r="E89" s="393">
        <v>1</v>
      </c>
      <c r="F89" s="68">
        <v>0</v>
      </c>
      <c r="G89" s="394">
        <f t="shared" si="2"/>
        <v>0</v>
      </c>
    </row>
    <row r="90" spans="1:7" ht="15">
      <c r="A90" s="390" t="s">
        <v>712</v>
      </c>
      <c r="B90" s="390">
        <v>11</v>
      </c>
      <c r="C90" s="392" t="s">
        <v>718</v>
      </c>
      <c r="D90" s="392" t="s">
        <v>143</v>
      </c>
      <c r="E90" s="393">
        <v>1</v>
      </c>
      <c r="F90" s="68">
        <v>0</v>
      </c>
      <c r="G90" s="394">
        <f t="shared" si="2"/>
        <v>0</v>
      </c>
    </row>
    <row r="91" spans="1:7" ht="15">
      <c r="A91" s="390" t="s">
        <v>712</v>
      </c>
      <c r="B91" s="390">
        <v>13</v>
      </c>
      <c r="C91" s="392" t="s">
        <v>717</v>
      </c>
      <c r="D91" s="392" t="s">
        <v>143</v>
      </c>
      <c r="E91" s="393">
        <v>1</v>
      </c>
      <c r="F91" s="68">
        <v>0</v>
      </c>
      <c r="G91" s="394">
        <f t="shared" si="2"/>
        <v>0</v>
      </c>
    </row>
    <row r="92" spans="1:7" ht="15">
      <c r="A92" s="390" t="s">
        <v>712</v>
      </c>
      <c r="B92" s="390">
        <v>14</v>
      </c>
      <c r="C92" s="392" t="s">
        <v>716</v>
      </c>
      <c r="D92" s="392" t="s">
        <v>143</v>
      </c>
      <c r="E92" s="393">
        <v>1</v>
      </c>
      <c r="F92" s="68">
        <v>0</v>
      </c>
      <c r="G92" s="394">
        <f t="shared" si="2"/>
        <v>0</v>
      </c>
    </row>
    <row r="93" spans="1:7" ht="15">
      <c r="A93" s="390" t="s">
        <v>712</v>
      </c>
      <c r="B93" s="390">
        <v>15</v>
      </c>
      <c r="C93" s="392" t="s">
        <v>715</v>
      </c>
      <c r="D93" s="392" t="s">
        <v>143</v>
      </c>
      <c r="E93" s="393">
        <v>60</v>
      </c>
      <c r="F93" s="68">
        <v>0</v>
      </c>
      <c r="G93" s="394">
        <f t="shared" si="2"/>
        <v>0</v>
      </c>
    </row>
    <row r="94" spans="1:7" ht="15">
      <c r="A94" s="390" t="s">
        <v>712</v>
      </c>
      <c r="B94" s="390">
        <v>16</v>
      </c>
      <c r="C94" s="392" t="s">
        <v>714</v>
      </c>
      <c r="D94" s="392" t="s">
        <v>143</v>
      </c>
      <c r="E94" s="393">
        <v>6</v>
      </c>
      <c r="F94" s="68">
        <v>0</v>
      </c>
      <c r="G94" s="394">
        <f t="shared" si="2"/>
        <v>0</v>
      </c>
    </row>
    <row r="95" spans="1:7" ht="15">
      <c r="A95" s="390" t="s">
        <v>712</v>
      </c>
      <c r="B95" s="390">
        <v>17</v>
      </c>
      <c r="C95" s="392" t="s">
        <v>732</v>
      </c>
      <c r="D95" s="392" t="s">
        <v>143</v>
      </c>
      <c r="E95" s="393">
        <v>1</v>
      </c>
      <c r="F95" s="68">
        <v>0</v>
      </c>
      <c r="G95" s="394">
        <f t="shared" si="2"/>
        <v>0</v>
      </c>
    </row>
    <row r="96" spans="1:7" ht="15">
      <c r="A96" s="390" t="s">
        <v>712</v>
      </c>
      <c r="B96" s="390">
        <v>18</v>
      </c>
      <c r="C96" s="392" t="s">
        <v>713</v>
      </c>
      <c r="D96" s="392" t="s">
        <v>143</v>
      </c>
      <c r="E96" s="393">
        <v>8</v>
      </c>
      <c r="F96" s="68">
        <v>0</v>
      </c>
      <c r="G96" s="394">
        <f t="shared" si="2"/>
        <v>0</v>
      </c>
    </row>
    <row r="97" spans="1:7" ht="15">
      <c r="A97" s="390" t="s">
        <v>712</v>
      </c>
      <c r="B97" s="390">
        <v>19</v>
      </c>
      <c r="C97" s="391" t="s">
        <v>731</v>
      </c>
      <c r="D97" s="403" t="s">
        <v>143</v>
      </c>
      <c r="E97" s="403">
        <v>1</v>
      </c>
      <c r="F97" s="68">
        <v>0</v>
      </c>
      <c r="G97" s="394">
        <f t="shared" si="2"/>
        <v>0</v>
      </c>
    </row>
    <row r="98" spans="1:7" ht="15">
      <c r="A98" s="390"/>
      <c r="B98" s="390"/>
      <c r="C98" s="390"/>
      <c r="D98" s="390"/>
      <c r="E98" s="390"/>
      <c r="F98" s="390"/>
      <c r="G98" s="396">
        <f>SUM(G79:G97)</f>
        <v>0</v>
      </c>
    </row>
    <row r="99" spans="1:7" ht="15">
      <c r="A99" s="404"/>
      <c r="B99" s="404"/>
      <c r="C99" s="397"/>
      <c r="D99" s="397"/>
      <c r="E99" s="398"/>
      <c r="F99" s="398"/>
      <c r="G99" s="405"/>
    </row>
    <row r="100" spans="1:7" ht="15">
      <c r="A100" s="385" t="s">
        <v>698</v>
      </c>
      <c r="B100" s="385" t="s">
        <v>697</v>
      </c>
      <c r="C100" s="402" t="s">
        <v>730</v>
      </c>
      <c r="D100" s="387" t="s">
        <v>557</v>
      </c>
      <c r="E100" s="387" t="s">
        <v>695</v>
      </c>
      <c r="F100" s="386" t="s">
        <v>694</v>
      </c>
      <c r="G100" s="388" t="s">
        <v>693</v>
      </c>
    </row>
    <row r="101" spans="1:7" ht="15">
      <c r="A101" s="390" t="s">
        <v>712</v>
      </c>
      <c r="B101" s="390">
        <v>1</v>
      </c>
      <c r="C101" s="391" t="s">
        <v>729</v>
      </c>
      <c r="D101" s="403" t="s">
        <v>143</v>
      </c>
      <c r="E101" s="403">
        <v>1</v>
      </c>
      <c r="F101" s="68">
        <v>0</v>
      </c>
      <c r="G101" s="394">
        <f aca="true" t="shared" si="3" ref="G101:G118">E101*F101</f>
        <v>0</v>
      </c>
    </row>
    <row r="102" spans="1:7" ht="15">
      <c r="A102" s="390" t="s">
        <v>712</v>
      </c>
      <c r="B102" s="390">
        <v>2</v>
      </c>
      <c r="C102" s="392" t="s">
        <v>728</v>
      </c>
      <c r="D102" s="393" t="s">
        <v>143</v>
      </c>
      <c r="E102" s="393">
        <v>2</v>
      </c>
      <c r="F102" s="68">
        <v>0</v>
      </c>
      <c r="G102" s="394">
        <f t="shared" si="3"/>
        <v>0</v>
      </c>
    </row>
    <row r="103" spans="1:7" ht="15">
      <c r="A103" s="390" t="s">
        <v>712</v>
      </c>
      <c r="B103" s="390">
        <v>3</v>
      </c>
      <c r="C103" s="392" t="s">
        <v>727</v>
      </c>
      <c r="D103" s="392" t="s">
        <v>143</v>
      </c>
      <c r="E103" s="393">
        <v>1</v>
      </c>
      <c r="F103" s="68">
        <v>0</v>
      </c>
      <c r="G103" s="394">
        <f t="shared" si="3"/>
        <v>0</v>
      </c>
    </row>
    <row r="104" spans="1:7" ht="15">
      <c r="A104" s="390" t="s">
        <v>712</v>
      </c>
      <c r="B104" s="390">
        <v>4</v>
      </c>
      <c r="C104" s="391" t="s">
        <v>726</v>
      </c>
      <c r="D104" s="392" t="s">
        <v>143</v>
      </c>
      <c r="E104" s="393">
        <v>1</v>
      </c>
      <c r="F104" s="68">
        <v>0</v>
      </c>
      <c r="G104" s="394">
        <f t="shared" si="3"/>
        <v>0</v>
      </c>
    </row>
    <row r="105" spans="1:7" ht="15">
      <c r="A105" s="390" t="s">
        <v>712</v>
      </c>
      <c r="B105" s="390">
        <v>5</v>
      </c>
      <c r="C105" s="392" t="s">
        <v>725</v>
      </c>
      <c r="D105" s="392" t="s">
        <v>143</v>
      </c>
      <c r="E105" s="393">
        <v>7</v>
      </c>
      <c r="F105" s="68">
        <v>0</v>
      </c>
      <c r="G105" s="394">
        <f t="shared" si="3"/>
        <v>0</v>
      </c>
    </row>
    <row r="106" spans="1:7" ht="15">
      <c r="A106" s="390" t="s">
        <v>712</v>
      </c>
      <c r="B106" s="390">
        <v>6</v>
      </c>
      <c r="C106" s="392" t="s">
        <v>724</v>
      </c>
      <c r="D106" s="392" t="s">
        <v>143</v>
      </c>
      <c r="E106" s="393">
        <v>7</v>
      </c>
      <c r="F106" s="68">
        <v>0</v>
      </c>
      <c r="G106" s="394">
        <f t="shared" si="3"/>
        <v>0</v>
      </c>
    </row>
    <row r="107" spans="1:7" ht="15">
      <c r="A107" s="390" t="s">
        <v>712</v>
      </c>
      <c r="B107" s="390">
        <v>7</v>
      </c>
      <c r="C107" s="392" t="s">
        <v>723</v>
      </c>
      <c r="D107" s="392" t="s">
        <v>143</v>
      </c>
      <c r="E107" s="393">
        <v>2</v>
      </c>
      <c r="F107" s="68">
        <v>0</v>
      </c>
      <c r="G107" s="394">
        <f t="shared" si="3"/>
        <v>0</v>
      </c>
    </row>
    <row r="108" spans="1:7" ht="15">
      <c r="A108" s="390" t="s">
        <v>712</v>
      </c>
      <c r="B108" s="390">
        <v>8</v>
      </c>
      <c r="C108" s="392" t="s">
        <v>722</v>
      </c>
      <c r="D108" s="392" t="s">
        <v>143</v>
      </c>
      <c r="E108" s="393">
        <v>39</v>
      </c>
      <c r="F108" s="68">
        <v>0</v>
      </c>
      <c r="G108" s="394">
        <f t="shared" si="3"/>
        <v>0</v>
      </c>
    </row>
    <row r="109" spans="1:7" ht="15">
      <c r="A109" s="390" t="s">
        <v>712</v>
      </c>
      <c r="B109" s="390">
        <v>9</v>
      </c>
      <c r="C109" s="392" t="s">
        <v>721</v>
      </c>
      <c r="D109" s="392" t="s">
        <v>143</v>
      </c>
      <c r="E109" s="393">
        <v>5</v>
      </c>
      <c r="F109" s="68">
        <v>0</v>
      </c>
      <c r="G109" s="394">
        <f t="shared" si="3"/>
        <v>0</v>
      </c>
    </row>
    <row r="110" spans="1:7" ht="15">
      <c r="A110" s="390" t="s">
        <v>712</v>
      </c>
      <c r="B110" s="390">
        <v>10</v>
      </c>
      <c r="C110" s="392" t="s">
        <v>720</v>
      </c>
      <c r="D110" s="392" t="s">
        <v>143</v>
      </c>
      <c r="E110" s="393">
        <v>1</v>
      </c>
      <c r="F110" s="68">
        <v>0</v>
      </c>
      <c r="G110" s="394">
        <f t="shared" si="3"/>
        <v>0</v>
      </c>
    </row>
    <row r="111" spans="1:7" ht="15">
      <c r="A111" s="390" t="s">
        <v>712</v>
      </c>
      <c r="B111" s="390">
        <v>11</v>
      </c>
      <c r="C111" s="392" t="s">
        <v>719</v>
      </c>
      <c r="D111" s="392" t="s">
        <v>143</v>
      </c>
      <c r="E111" s="393">
        <v>1</v>
      </c>
      <c r="F111" s="68">
        <v>0</v>
      </c>
      <c r="G111" s="394">
        <f t="shared" si="3"/>
        <v>0</v>
      </c>
    </row>
    <row r="112" spans="1:7" ht="15">
      <c r="A112" s="390" t="s">
        <v>712</v>
      </c>
      <c r="B112" s="390">
        <v>12</v>
      </c>
      <c r="C112" s="392" t="s">
        <v>718</v>
      </c>
      <c r="D112" s="392" t="s">
        <v>143</v>
      </c>
      <c r="E112" s="393">
        <v>1</v>
      </c>
      <c r="F112" s="68">
        <v>0</v>
      </c>
      <c r="G112" s="394">
        <f t="shared" si="3"/>
        <v>0</v>
      </c>
    </row>
    <row r="113" spans="1:7" ht="15">
      <c r="A113" s="390" t="s">
        <v>712</v>
      </c>
      <c r="B113" s="390">
        <v>13</v>
      </c>
      <c r="C113" s="392" t="s">
        <v>717</v>
      </c>
      <c r="D113" s="392" t="s">
        <v>143</v>
      </c>
      <c r="E113" s="393">
        <v>1</v>
      </c>
      <c r="F113" s="68">
        <v>0</v>
      </c>
      <c r="G113" s="394">
        <f t="shared" si="3"/>
        <v>0</v>
      </c>
    </row>
    <row r="114" spans="1:7" ht="15">
      <c r="A114" s="390" t="s">
        <v>712</v>
      </c>
      <c r="B114" s="390">
        <v>14</v>
      </c>
      <c r="C114" s="392" t="s">
        <v>716</v>
      </c>
      <c r="D114" s="392" t="s">
        <v>143</v>
      </c>
      <c r="E114" s="393">
        <v>1</v>
      </c>
      <c r="F114" s="68">
        <v>0</v>
      </c>
      <c r="G114" s="394">
        <f t="shared" si="3"/>
        <v>0</v>
      </c>
    </row>
    <row r="115" spans="1:7" ht="15">
      <c r="A115" s="390" t="s">
        <v>712</v>
      </c>
      <c r="B115" s="390">
        <v>15</v>
      </c>
      <c r="C115" s="392" t="s">
        <v>715</v>
      </c>
      <c r="D115" s="392" t="s">
        <v>143</v>
      </c>
      <c r="E115" s="393">
        <v>60</v>
      </c>
      <c r="F115" s="68">
        <v>0</v>
      </c>
      <c r="G115" s="394">
        <f t="shared" si="3"/>
        <v>0</v>
      </c>
    </row>
    <row r="116" spans="1:7" ht="15">
      <c r="A116" s="390" t="s">
        <v>712</v>
      </c>
      <c r="B116" s="390">
        <v>16</v>
      </c>
      <c r="C116" s="392" t="s">
        <v>714</v>
      </c>
      <c r="D116" s="392" t="s">
        <v>143</v>
      </c>
      <c r="E116" s="393">
        <v>6</v>
      </c>
      <c r="F116" s="68">
        <v>0</v>
      </c>
      <c r="G116" s="394">
        <f t="shared" si="3"/>
        <v>0</v>
      </c>
    </row>
    <row r="117" spans="1:7" ht="15">
      <c r="A117" s="390" t="s">
        <v>712</v>
      </c>
      <c r="B117" s="390">
        <v>17</v>
      </c>
      <c r="C117" s="392" t="s">
        <v>713</v>
      </c>
      <c r="D117" s="392" t="s">
        <v>143</v>
      </c>
      <c r="E117" s="393">
        <v>8</v>
      </c>
      <c r="F117" s="68">
        <v>0</v>
      </c>
      <c r="G117" s="394">
        <f t="shared" si="3"/>
        <v>0</v>
      </c>
    </row>
    <row r="118" spans="1:7" ht="15">
      <c r="A118" s="390" t="s">
        <v>712</v>
      </c>
      <c r="B118" s="390">
        <v>18</v>
      </c>
      <c r="C118" s="391" t="s">
        <v>711</v>
      </c>
      <c r="D118" s="403" t="s">
        <v>143</v>
      </c>
      <c r="E118" s="403">
        <v>1</v>
      </c>
      <c r="F118" s="68">
        <v>0</v>
      </c>
      <c r="G118" s="394">
        <f t="shared" si="3"/>
        <v>0</v>
      </c>
    </row>
    <row r="119" spans="1:7" ht="15">
      <c r="A119" s="390"/>
      <c r="B119" s="390"/>
      <c r="C119" s="390"/>
      <c r="D119" s="390"/>
      <c r="E119" s="390"/>
      <c r="F119" s="390"/>
      <c r="G119" s="396">
        <f>SUM(G101:G118)</f>
        <v>0</v>
      </c>
    </row>
    <row r="120" spans="3:7" ht="15">
      <c r="C120" s="397"/>
      <c r="D120" s="397"/>
      <c r="E120" s="398"/>
      <c r="F120" s="398"/>
      <c r="G120" s="405"/>
    </row>
    <row r="121" spans="1:7" ht="15">
      <c r="A121" s="385" t="s">
        <v>698</v>
      </c>
      <c r="B121" s="385" t="s">
        <v>710</v>
      </c>
      <c r="C121" s="386" t="s">
        <v>709</v>
      </c>
      <c r="D121" s="387" t="s">
        <v>557</v>
      </c>
      <c r="E121" s="387" t="s">
        <v>695</v>
      </c>
      <c r="F121" s="386" t="s">
        <v>694</v>
      </c>
      <c r="G121" s="388" t="s">
        <v>693</v>
      </c>
    </row>
    <row r="122" spans="1:7" ht="15">
      <c r="A122" s="390" t="s">
        <v>690</v>
      </c>
      <c r="B122" s="390">
        <v>1</v>
      </c>
      <c r="C122" s="392" t="s">
        <v>705</v>
      </c>
      <c r="D122" s="392" t="s">
        <v>702</v>
      </c>
      <c r="E122" s="393">
        <v>350</v>
      </c>
      <c r="F122" s="68">
        <v>0</v>
      </c>
      <c r="G122" s="394">
        <f>E122*F122</f>
        <v>0</v>
      </c>
    </row>
    <row r="123" spans="1:7" ht="15">
      <c r="A123" s="390" t="s">
        <v>690</v>
      </c>
      <c r="B123" s="390">
        <v>2</v>
      </c>
      <c r="C123" s="391" t="s">
        <v>708</v>
      </c>
      <c r="D123" s="392" t="s">
        <v>702</v>
      </c>
      <c r="E123" s="393">
        <v>300</v>
      </c>
      <c r="F123" s="68">
        <v>0</v>
      </c>
      <c r="G123" s="394">
        <f>E123*F123</f>
        <v>0</v>
      </c>
    </row>
    <row r="124" spans="1:7" ht="15">
      <c r="A124" s="390" t="s">
        <v>690</v>
      </c>
      <c r="B124" s="390">
        <v>3</v>
      </c>
      <c r="C124" s="392" t="s">
        <v>707</v>
      </c>
      <c r="D124" s="392" t="s">
        <v>702</v>
      </c>
      <c r="E124" s="393">
        <v>50</v>
      </c>
      <c r="F124" s="68">
        <v>0</v>
      </c>
      <c r="G124" s="394">
        <f>E124*F124</f>
        <v>0</v>
      </c>
    </row>
    <row r="125" spans="1:7" ht="15">
      <c r="A125" s="390" t="s">
        <v>690</v>
      </c>
      <c r="B125" s="390">
        <v>4</v>
      </c>
      <c r="C125" s="392" t="s">
        <v>701</v>
      </c>
      <c r="D125" s="392" t="s">
        <v>143</v>
      </c>
      <c r="E125" s="393">
        <v>28</v>
      </c>
      <c r="F125" s="68">
        <v>0</v>
      </c>
      <c r="G125" s="394">
        <f>E125*F125</f>
        <v>0</v>
      </c>
    </row>
    <row r="126" spans="1:7" ht="15">
      <c r="A126" s="390"/>
      <c r="B126" s="390"/>
      <c r="C126" s="390"/>
      <c r="D126" s="390"/>
      <c r="E126" s="390"/>
      <c r="F126" s="390"/>
      <c r="G126" s="396">
        <f>SUM(G122:G125)</f>
        <v>0</v>
      </c>
    </row>
    <row r="128" spans="1:7" ht="15">
      <c r="A128" s="385" t="s">
        <v>698</v>
      </c>
      <c r="B128" s="385" t="s">
        <v>697</v>
      </c>
      <c r="C128" s="386" t="s">
        <v>706</v>
      </c>
      <c r="D128" s="387" t="s">
        <v>557</v>
      </c>
      <c r="E128" s="387" t="s">
        <v>695</v>
      </c>
      <c r="F128" s="386" t="s">
        <v>694</v>
      </c>
      <c r="G128" s="388" t="s">
        <v>693</v>
      </c>
    </row>
    <row r="129" spans="1:7" ht="15">
      <c r="A129" s="390" t="s">
        <v>690</v>
      </c>
      <c r="B129" s="390">
        <v>1</v>
      </c>
      <c r="C129" s="392" t="s">
        <v>705</v>
      </c>
      <c r="D129" s="392" t="s">
        <v>702</v>
      </c>
      <c r="E129" s="393">
        <v>350</v>
      </c>
      <c r="F129" s="68">
        <v>0</v>
      </c>
      <c r="G129" s="394">
        <f>E129*F129</f>
        <v>0</v>
      </c>
    </row>
    <row r="130" spans="1:7" ht="15">
      <c r="A130" s="390" t="s">
        <v>690</v>
      </c>
      <c r="B130" s="390">
        <v>2</v>
      </c>
      <c r="C130" s="391" t="s">
        <v>704</v>
      </c>
      <c r="D130" s="392" t="s">
        <v>702</v>
      </c>
      <c r="E130" s="393">
        <v>300</v>
      </c>
      <c r="F130" s="68">
        <v>0</v>
      </c>
      <c r="G130" s="394">
        <f>E130*F130</f>
        <v>0</v>
      </c>
    </row>
    <row r="131" spans="1:7" ht="15">
      <c r="A131" s="390" t="s">
        <v>690</v>
      </c>
      <c r="B131" s="390">
        <v>3</v>
      </c>
      <c r="C131" s="392" t="s">
        <v>703</v>
      </c>
      <c r="D131" s="392" t="s">
        <v>702</v>
      </c>
      <c r="E131" s="393">
        <v>50</v>
      </c>
      <c r="F131" s="68">
        <v>0</v>
      </c>
      <c r="G131" s="394">
        <f>E131*F131</f>
        <v>0</v>
      </c>
    </row>
    <row r="132" spans="1:7" ht="15">
      <c r="A132" s="390" t="s">
        <v>690</v>
      </c>
      <c r="B132" s="390">
        <v>4</v>
      </c>
      <c r="C132" s="392" t="s">
        <v>701</v>
      </c>
      <c r="D132" s="392" t="s">
        <v>143</v>
      </c>
      <c r="E132" s="393">
        <v>28</v>
      </c>
      <c r="F132" s="68">
        <v>0</v>
      </c>
      <c r="G132" s="394">
        <f>E132*F132</f>
        <v>0</v>
      </c>
    </row>
    <row r="133" spans="1:7" ht="15">
      <c r="A133" s="390" t="s">
        <v>690</v>
      </c>
      <c r="B133" s="390">
        <v>5</v>
      </c>
      <c r="C133" s="392" t="s">
        <v>700</v>
      </c>
      <c r="D133" s="392" t="s">
        <v>699</v>
      </c>
      <c r="E133" s="393">
        <v>1</v>
      </c>
      <c r="F133" s="68">
        <v>0</v>
      </c>
      <c r="G133" s="394">
        <f>E133*F133</f>
        <v>0</v>
      </c>
    </row>
    <row r="134" spans="1:7" ht="15">
      <c r="A134" s="390"/>
      <c r="B134" s="390"/>
      <c r="C134" s="390"/>
      <c r="D134" s="390"/>
      <c r="E134" s="390"/>
      <c r="F134" s="390"/>
      <c r="G134" s="396">
        <f>SUM(G129:G133)</f>
        <v>0</v>
      </c>
    </row>
    <row r="136" spans="1:7" ht="15">
      <c r="A136" s="385" t="s">
        <v>698</v>
      </c>
      <c r="B136" s="385" t="s">
        <v>697</v>
      </c>
      <c r="C136" s="385" t="s">
        <v>696</v>
      </c>
      <c r="D136" s="387" t="s">
        <v>557</v>
      </c>
      <c r="E136" s="387" t="s">
        <v>695</v>
      </c>
      <c r="F136" s="386" t="s">
        <v>694</v>
      </c>
      <c r="G136" s="388" t="s">
        <v>693</v>
      </c>
    </row>
    <row r="137" spans="1:7" ht="15">
      <c r="A137" s="406" t="s">
        <v>690</v>
      </c>
      <c r="B137" s="406">
        <v>1</v>
      </c>
      <c r="C137" s="392" t="s">
        <v>692</v>
      </c>
      <c r="D137" s="392" t="s">
        <v>593</v>
      </c>
      <c r="E137" s="393">
        <v>16</v>
      </c>
      <c r="F137" s="68">
        <v>0</v>
      </c>
      <c r="G137" s="394">
        <f>E137*F137</f>
        <v>0</v>
      </c>
    </row>
    <row r="138" spans="1:7" ht="15">
      <c r="A138" s="406" t="s">
        <v>690</v>
      </c>
      <c r="B138" s="406">
        <v>2</v>
      </c>
      <c r="C138" s="392" t="s">
        <v>691</v>
      </c>
      <c r="D138" s="392" t="s">
        <v>593</v>
      </c>
      <c r="E138" s="393">
        <v>42</v>
      </c>
      <c r="F138" s="68">
        <v>0</v>
      </c>
      <c r="G138" s="394">
        <f>E138*F138</f>
        <v>0</v>
      </c>
    </row>
    <row r="139" spans="1:7" ht="15">
      <c r="A139" s="406" t="s">
        <v>690</v>
      </c>
      <c r="B139" s="406">
        <v>3</v>
      </c>
      <c r="C139" s="392" t="s">
        <v>689</v>
      </c>
      <c r="D139" s="392" t="s">
        <v>593</v>
      </c>
      <c r="E139" s="393">
        <v>24</v>
      </c>
      <c r="F139" s="68">
        <v>0</v>
      </c>
      <c r="G139" s="394">
        <f>E139*F139</f>
        <v>0</v>
      </c>
    </row>
    <row r="140" spans="1:7" ht="15">
      <c r="A140" s="406"/>
      <c r="B140" s="406"/>
      <c r="C140" s="392"/>
      <c r="D140" s="392"/>
      <c r="E140" s="393"/>
      <c r="F140" s="393"/>
      <c r="G140" s="388">
        <f>SUM(G137:G139)</f>
        <v>0</v>
      </c>
    </row>
    <row r="142" spans="1:7" ht="15">
      <c r="A142" s="407"/>
      <c r="B142" s="407"/>
      <c r="C142" s="408" t="s">
        <v>1219</v>
      </c>
      <c r="D142" s="407"/>
      <c r="E142" s="240"/>
      <c r="F142" s="239"/>
      <c r="G142" s="242">
        <v>0</v>
      </c>
    </row>
    <row r="143" spans="5:6" ht="15">
      <c r="E143" s="67"/>
      <c r="F143" s="66"/>
    </row>
    <row r="144" spans="1:7" ht="15">
      <c r="A144" s="409"/>
      <c r="B144" s="409"/>
      <c r="C144" s="408" t="s">
        <v>1218</v>
      </c>
      <c r="D144" s="409"/>
      <c r="E144" s="242"/>
      <c r="F144" s="241"/>
      <c r="G144" s="242">
        <v>0</v>
      </c>
    </row>
    <row r="145" ht="12" thickBot="1"/>
    <row r="146" spans="3:7" ht="12" thickBot="1">
      <c r="C146" s="410" t="s">
        <v>1220</v>
      </c>
      <c r="D146" s="411"/>
      <c r="E146" s="412"/>
      <c r="F146" s="411"/>
      <c r="G146" s="413">
        <f>G144+G142+G140+G134+G126+G119+G98+G76+G46+G37</f>
        <v>0</v>
      </c>
    </row>
  </sheetData>
  <sheetProtection algorithmName="SHA-512" hashValue="0tqbFGjk7J1ayu0jsxNN+ALkgdQJONw8gdxjcQzUS/kFNWhjRn0lSGxVVhAO6ulVtnRu6BD8K6If2H0jQ9PXdA==" saltValue="h4sdoGmOcjfWbWjhkoXByw==" spinCount="100000" sheet="1" objects="1" scenarios="1" selectLockedCells="1"/>
  <printOptions/>
  <pageMargins left="0.787401575" right="0.787401575" top="0.984251969" bottom="0.984251969"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7ABB5-B9D2-49CA-BAC1-B264EF504586}">
  <sheetPr>
    <pageSetUpPr fitToPage="1"/>
  </sheetPr>
  <dimension ref="A1:H223"/>
  <sheetViews>
    <sheetView zoomScalePageLayoutView="90" workbookViewId="0" topLeftCell="A2">
      <selection activeCell="E25" sqref="E25"/>
    </sheetView>
  </sheetViews>
  <sheetFormatPr defaultColWidth="8.8515625" defaultRowHeight="15"/>
  <cols>
    <col min="1" max="1" width="21.00390625" style="500" customWidth="1"/>
    <col min="2" max="2" width="91.7109375" style="416" customWidth="1"/>
    <col min="3" max="3" width="7.8515625" style="416" customWidth="1"/>
    <col min="4" max="4" width="8.8515625" style="416" customWidth="1"/>
    <col min="5" max="8" width="13.8515625" style="416" customWidth="1"/>
    <col min="9" max="249" width="8.8515625" style="416" customWidth="1"/>
    <col min="250" max="250" width="21.00390625" style="416" customWidth="1"/>
    <col min="251" max="251" width="48.8515625" style="416" customWidth="1"/>
    <col min="252" max="252" width="7.8515625" style="416" customWidth="1"/>
    <col min="253" max="253" width="8.8515625" style="416" customWidth="1"/>
    <col min="254" max="257" width="13.8515625" style="416" customWidth="1"/>
    <col min="258" max="505" width="8.8515625" style="416" customWidth="1"/>
    <col min="506" max="506" width="21.00390625" style="416" customWidth="1"/>
    <col min="507" max="507" width="48.8515625" style="416" customWidth="1"/>
    <col min="508" max="508" width="7.8515625" style="416" customWidth="1"/>
    <col min="509" max="509" width="8.8515625" style="416" customWidth="1"/>
    <col min="510" max="513" width="13.8515625" style="416" customWidth="1"/>
    <col min="514" max="761" width="8.8515625" style="416" customWidth="1"/>
    <col min="762" max="762" width="21.00390625" style="416" customWidth="1"/>
    <col min="763" max="763" width="48.8515625" style="416" customWidth="1"/>
    <col min="764" max="764" width="7.8515625" style="416" customWidth="1"/>
    <col min="765" max="765" width="8.8515625" style="416" customWidth="1"/>
    <col min="766" max="769" width="13.8515625" style="416" customWidth="1"/>
    <col min="770" max="1017" width="8.8515625" style="416" customWidth="1"/>
    <col min="1018" max="1018" width="21.00390625" style="416" customWidth="1"/>
    <col min="1019" max="1019" width="48.8515625" style="416" customWidth="1"/>
    <col min="1020" max="1020" width="7.8515625" style="416" customWidth="1"/>
    <col min="1021" max="1021" width="8.8515625" style="416" customWidth="1"/>
    <col min="1022" max="1025" width="13.8515625" style="416" customWidth="1"/>
    <col min="1026" max="1273" width="8.8515625" style="416" customWidth="1"/>
    <col min="1274" max="1274" width="21.00390625" style="416" customWidth="1"/>
    <col min="1275" max="1275" width="48.8515625" style="416" customWidth="1"/>
    <col min="1276" max="1276" width="7.8515625" style="416" customWidth="1"/>
    <col min="1277" max="1277" width="8.8515625" style="416" customWidth="1"/>
    <col min="1278" max="1281" width="13.8515625" style="416" customWidth="1"/>
    <col min="1282" max="1529" width="8.8515625" style="416" customWidth="1"/>
    <col min="1530" max="1530" width="21.00390625" style="416" customWidth="1"/>
    <col min="1531" max="1531" width="48.8515625" style="416" customWidth="1"/>
    <col min="1532" max="1532" width="7.8515625" style="416" customWidth="1"/>
    <col min="1533" max="1533" width="8.8515625" style="416" customWidth="1"/>
    <col min="1534" max="1537" width="13.8515625" style="416" customWidth="1"/>
    <col min="1538" max="1785" width="8.8515625" style="416" customWidth="1"/>
    <col min="1786" max="1786" width="21.00390625" style="416" customWidth="1"/>
    <col min="1787" max="1787" width="48.8515625" style="416" customWidth="1"/>
    <col min="1788" max="1788" width="7.8515625" style="416" customWidth="1"/>
    <col min="1789" max="1789" width="8.8515625" style="416" customWidth="1"/>
    <col min="1790" max="1793" width="13.8515625" style="416" customWidth="1"/>
    <col min="1794" max="2041" width="8.8515625" style="416" customWidth="1"/>
    <col min="2042" max="2042" width="21.00390625" style="416" customWidth="1"/>
    <col min="2043" max="2043" width="48.8515625" style="416" customWidth="1"/>
    <col min="2044" max="2044" width="7.8515625" style="416" customWidth="1"/>
    <col min="2045" max="2045" width="8.8515625" style="416" customWidth="1"/>
    <col min="2046" max="2049" width="13.8515625" style="416" customWidth="1"/>
    <col min="2050" max="2297" width="8.8515625" style="416" customWidth="1"/>
    <col min="2298" max="2298" width="21.00390625" style="416" customWidth="1"/>
    <col min="2299" max="2299" width="48.8515625" style="416" customWidth="1"/>
    <col min="2300" max="2300" width="7.8515625" style="416" customWidth="1"/>
    <col min="2301" max="2301" width="8.8515625" style="416" customWidth="1"/>
    <col min="2302" max="2305" width="13.8515625" style="416" customWidth="1"/>
    <col min="2306" max="2553" width="8.8515625" style="416" customWidth="1"/>
    <col min="2554" max="2554" width="21.00390625" style="416" customWidth="1"/>
    <col min="2555" max="2555" width="48.8515625" style="416" customWidth="1"/>
    <col min="2556" max="2556" width="7.8515625" style="416" customWidth="1"/>
    <col min="2557" max="2557" width="8.8515625" style="416" customWidth="1"/>
    <col min="2558" max="2561" width="13.8515625" style="416" customWidth="1"/>
    <col min="2562" max="2809" width="8.8515625" style="416" customWidth="1"/>
    <col min="2810" max="2810" width="21.00390625" style="416" customWidth="1"/>
    <col min="2811" max="2811" width="48.8515625" style="416" customWidth="1"/>
    <col min="2812" max="2812" width="7.8515625" style="416" customWidth="1"/>
    <col min="2813" max="2813" width="8.8515625" style="416" customWidth="1"/>
    <col min="2814" max="2817" width="13.8515625" style="416" customWidth="1"/>
    <col min="2818" max="3065" width="8.8515625" style="416" customWidth="1"/>
    <col min="3066" max="3066" width="21.00390625" style="416" customWidth="1"/>
    <col min="3067" max="3067" width="48.8515625" style="416" customWidth="1"/>
    <col min="3068" max="3068" width="7.8515625" style="416" customWidth="1"/>
    <col min="3069" max="3069" width="8.8515625" style="416" customWidth="1"/>
    <col min="3070" max="3073" width="13.8515625" style="416" customWidth="1"/>
    <col min="3074" max="3321" width="8.8515625" style="416" customWidth="1"/>
    <col min="3322" max="3322" width="21.00390625" style="416" customWidth="1"/>
    <col min="3323" max="3323" width="48.8515625" style="416" customWidth="1"/>
    <col min="3324" max="3324" width="7.8515625" style="416" customWidth="1"/>
    <col min="3325" max="3325" width="8.8515625" style="416" customWidth="1"/>
    <col min="3326" max="3329" width="13.8515625" style="416" customWidth="1"/>
    <col min="3330" max="3577" width="8.8515625" style="416" customWidth="1"/>
    <col min="3578" max="3578" width="21.00390625" style="416" customWidth="1"/>
    <col min="3579" max="3579" width="48.8515625" style="416" customWidth="1"/>
    <col min="3580" max="3580" width="7.8515625" style="416" customWidth="1"/>
    <col min="3581" max="3581" width="8.8515625" style="416" customWidth="1"/>
    <col min="3582" max="3585" width="13.8515625" style="416" customWidth="1"/>
    <col min="3586" max="3833" width="8.8515625" style="416" customWidth="1"/>
    <col min="3834" max="3834" width="21.00390625" style="416" customWidth="1"/>
    <col min="3835" max="3835" width="48.8515625" style="416" customWidth="1"/>
    <col min="3836" max="3836" width="7.8515625" style="416" customWidth="1"/>
    <col min="3837" max="3837" width="8.8515625" style="416" customWidth="1"/>
    <col min="3838" max="3841" width="13.8515625" style="416" customWidth="1"/>
    <col min="3842" max="4089" width="8.8515625" style="416" customWidth="1"/>
    <col min="4090" max="4090" width="21.00390625" style="416" customWidth="1"/>
    <col min="4091" max="4091" width="48.8515625" style="416" customWidth="1"/>
    <col min="4092" max="4092" width="7.8515625" style="416" customWidth="1"/>
    <col min="4093" max="4093" width="8.8515625" style="416" customWidth="1"/>
    <col min="4094" max="4097" width="13.8515625" style="416" customWidth="1"/>
    <col min="4098" max="4345" width="8.8515625" style="416" customWidth="1"/>
    <col min="4346" max="4346" width="21.00390625" style="416" customWidth="1"/>
    <col min="4347" max="4347" width="48.8515625" style="416" customWidth="1"/>
    <col min="4348" max="4348" width="7.8515625" style="416" customWidth="1"/>
    <col min="4349" max="4349" width="8.8515625" style="416" customWidth="1"/>
    <col min="4350" max="4353" width="13.8515625" style="416" customWidth="1"/>
    <col min="4354" max="4601" width="8.8515625" style="416" customWidth="1"/>
    <col min="4602" max="4602" width="21.00390625" style="416" customWidth="1"/>
    <col min="4603" max="4603" width="48.8515625" style="416" customWidth="1"/>
    <col min="4604" max="4604" width="7.8515625" style="416" customWidth="1"/>
    <col min="4605" max="4605" width="8.8515625" style="416" customWidth="1"/>
    <col min="4606" max="4609" width="13.8515625" style="416" customWidth="1"/>
    <col min="4610" max="4857" width="8.8515625" style="416" customWidth="1"/>
    <col min="4858" max="4858" width="21.00390625" style="416" customWidth="1"/>
    <col min="4859" max="4859" width="48.8515625" style="416" customWidth="1"/>
    <col min="4860" max="4860" width="7.8515625" style="416" customWidth="1"/>
    <col min="4861" max="4861" width="8.8515625" style="416" customWidth="1"/>
    <col min="4862" max="4865" width="13.8515625" style="416" customWidth="1"/>
    <col min="4866" max="5113" width="8.8515625" style="416" customWidth="1"/>
    <col min="5114" max="5114" width="21.00390625" style="416" customWidth="1"/>
    <col min="5115" max="5115" width="48.8515625" style="416" customWidth="1"/>
    <col min="5116" max="5116" width="7.8515625" style="416" customWidth="1"/>
    <col min="5117" max="5117" width="8.8515625" style="416" customWidth="1"/>
    <col min="5118" max="5121" width="13.8515625" style="416" customWidth="1"/>
    <col min="5122" max="5369" width="8.8515625" style="416" customWidth="1"/>
    <col min="5370" max="5370" width="21.00390625" style="416" customWidth="1"/>
    <col min="5371" max="5371" width="48.8515625" style="416" customWidth="1"/>
    <col min="5372" max="5372" width="7.8515625" style="416" customWidth="1"/>
    <col min="5373" max="5373" width="8.8515625" style="416" customWidth="1"/>
    <col min="5374" max="5377" width="13.8515625" style="416" customWidth="1"/>
    <col min="5378" max="5625" width="8.8515625" style="416" customWidth="1"/>
    <col min="5626" max="5626" width="21.00390625" style="416" customWidth="1"/>
    <col min="5627" max="5627" width="48.8515625" style="416" customWidth="1"/>
    <col min="5628" max="5628" width="7.8515625" style="416" customWidth="1"/>
    <col min="5629" max="5629" width="8.8515625" style="416" customWidth="1"/>
    <col min="5630" max="5633" width="13.8515625" style="416" customWidth="1"/>
    <col min="5634" max="5881" width="8.8515625" style="416" customWidth="1"/>
    <col min="5882" max="5882" width="21.00390625" style="416" customWidth="1"/>
    <col min="5883" max="5883" width="48.8515625" style="416" customWidth="1"/>
    <col min="5884" max="5884" width="7.8515625" style="416" customWidth="1"/>
    <col min="5885" max="5885" width="8.8515625" style="416" customWidth="1"/>
    <col min="5886" max="5889" width="13.8515625" style="416" customWidth="1"/>
    <col min="5890" max="6137" width="8.8515625" style="416" customWidth="1"/>
    <col min="6138" max="6138" width="21.00390625" style="416" customWidth="1"/>
    <col min="6139" max="6139" width="48.8515625" style="416" customWidth="1"/>
    <col min="6140" max="6140" width="7.8515625" style="416" customWidth="1"/>
    <col min="6141" max="6141" width="8.8515625" style="416" customWidth="1"/>
    <col min="6142" max="6145" width="13.8515625" style="416" customWidth="1"/>
    <col min="6146" max="6393" width="8.8515625" style="416" customWidth="1"/>
    <col min="6394" max="6394" width="21.00390625" style="416" customWidth="1"/>
    <col min="6395" max="6395" width="48.8515625" style="416" customWidth="1"/>
    <col min="6396" max="6396" width="7.8515625" style="416" customWidth="1"/>
    <col min="6397" max="6397" width="8.8515625" style="416" customWidth="1"/>
    <col min="6398" max="6401" width="13.8515625" style="416" customWidth="1"/>
    <col min="6402" max="6649" width="8.8515625" style="416" customWidth="1"/>
    <col min="6650" max="6650" width="21.00390625" style="416" customWidth="1"/>
    <col min="6651" max="6651" width="48.8515625" style="416" customWidth="1"/>
    <col min="6652" max="6652" width="7.8515625" style="416" customWidth="1"/>
    <col min="6653" max="6653" width="8.8515625" style="416" customWidth="1"/>
    <col min="6654" max="6657" width="13.8515625" style="416" customWidth="1"/>
    <col min="6658" max="6905" width="8.8515625" style="416" customWidth="1"/>
    <col min="6906" max="6906" width="21.00390625" style="416" customWidth="1"/>
    <col min="6907" max="6907" width="48.8515625" style="416" customWidth="1"/>
    <col min="6908" max="6908" width="7.8515625" style="416" customWidth="1"/>
    <col min="6909" max="6909" width="8.8515625" style="416" customWidth="1"/>
    <col min="6910" max="6913" width="13.8515625" style="416" customWidth="1"/>
    <col min="6914" max="7161" width="8.8515625" style="416" customWidth="1"/>
    <col min="7162" max="7162" width="21.00390625" style="416" customWidth="1"/>
    <col min="7163" max="7163" width="48.8515625" style="416" customWidth="1"/>
    <col min="7164" max="7164" width="7.8515625" style="416" customWidth="1"/>
    <col min="7165" max="7165" width="8.8515625" style="416" customWidth="1"/>
    <col min="7166" max="7169" width="13.8515625" style="416" customWidth="1"/>
    <col min="7170" max="7417" width="8.8515625" style="416" customWidth="1"/>
    <col min="7418" max="7418" width="21.00390625" style="416" customWidth="1"/>
    <col min="7419" max="7419" width="48.8515625" style="416" customWidth="1"/>
    <col min="7420" max="7420" width="7.8515625" style="416" customWidth="1"/>
    <col min="7421" max="7421" width="8.8515625" style="416" customWidth="1"/>
    <col min="7422" max="7425" width="13.8515625" style="416" customWidth="1"/>
    <col min="7426" max="7673" width="8.8515625" style="416" customWidth="1"/>
    <col min="7674" max="7674" width="21.00390625" style="416" customWidth="1"/>
    <col min="7675" max="7675" width="48.8515625" style="416" customWidth="1"/>
    <col min="7676" max="7676" width="7.8515625" style="416" customWidth="1"/>
    <col min="7677" max="7677" width="8.8515625" style="416" customWidth="1"/>
    <col min="7678" max="7681" width="13.8515625" style="416" customWidth="1"/>
    <col min="7682" max="7929" width="8.8515625" style="416" customWidth="1"/>
    <col min="7930" max="7930" width="21.00390625" style="416" customWidth="1"/>
    <col min="7931" max="7931" width="48.8515625" style="416" customWidth="1"/>
    <col min="7932" max="7932" width="7.8515625" style="416" customWidth="1"/>
    <col min="7933" max="7933" width="8.8515625" style="416" customWidth="1"/>
    <col min="7934" max="7937" width="13.8515625" style="416" customWidth="1"/>
    <col min="7938" max="8185" width="8.8515625" style="416" customWidth="1"/>
    <col min="8186" max="8186" width="21.00390625" style="416" customWidth="1"/>
    <col min="8187" max="8187" width="48.8515625" style="416" customWidth="1"/>
    <col min="8188" max="8188" width="7.8515625" style="416" customWidth="1"/>
    <col min="8189" max="8189" width="8.8515625" style="416" customWidth="1"/>
    <col min="8190" max="8193" width="13.8515625" style="416" customWidth="1"/>
    <col min="8194" max="8441" width="8.8515625" style="416" customWidth="1"/>
    <col min="8442" max="8442" width="21.00390625" style="416" customWidth="1"/>
    <col min="8443" max="8443" width="48.8515625" style="416" customWidth="1"/>
    <col min="8444" max="8444" width="7.8515625" style="416" customWidth="1"/>
    <col min="8445" max="8445" width="8.8515625" style="416" customWidth="1"/>
    <col min="8446" max="8449" width="13.8515625" style="416" customWidth="1"/>
    <col min="8450" max="8697" width="8.8515625" style="416" customWidth="1"/>
    <col min="8698" max="8698" width="21.00390625" style="416" customWidth="1"/>
    <col min="8699" max="8699" width="48.8515625" style="416" customWidth="1"/>
    <col min="8700" max="8700" width="7.8515625" style="416" customWidth="1"/>
    <col min="8701" max="8701" width="8.8515625" style="416" customWidth="1"/>
    <col min="8702" max="8705" width="13.8515625" style="416" customWidth="1"/>
    <col min="8706" max="8953" width="8.8515625" style="416" customWidth="1"/>
    <col min="8954" max="8954" width="21.00390625" style="416" customWidth="1"/>
    <col min="8955" max="8955" width="48.8515625" style="416" customWidth="1"/>
    <col min="8956" max="8956" width="7.8515625" style="416" customWidth="1"/>
    <col min="8957" max="8957" width="8.8515625" style="416" customWidth="1"/>
    <col min="8958" max="8961" width="13.8515625" style="416" customWidth="1"/>
    <col min="8962" max="9209" width="8.8515625" style="416" customWidth="1"/>
    <col min="9210" max="9210" width="21.00390625" style="416" customWidth="1"/>
    <col min="9211" max="9211" width="48.8515625" style="416" customWidth="1"/>
    <col min="9212" max="9212" width="7.8515625" style="416" customWidth="1"/>
    <col min="9213" max="9213" width="8.8515625" style="416" customWidth="1"/>
    <col min="9214" max="9217" width="13.8515625" style="416" customWidth="1"/>
    <col min="9218" max="9465" width="8.8515625" style="416" customWidth="1"/>
    <col min="9466" max="9466" width="21.00390625" style="416" customWidth="1"/>
    <col min="9467" max="9467" width="48.8515625" style="416" customWidth="1"/>
    <col min="9468" max="9468" width="7.8515625" style="416" customWidth="1"/>
    <col min="9469" max="9469" width="8.8515625" style="416" customWidth="1"/>
    <col min="9470" max="9473" width="13.8515625" style="416" customWidth="1"/>
    <col min="9474" max="9721" width="8.8515625" style="416" customWidth="1"/>
    <col min="9722" max="9722" width="21.00390625" style="416" customWidth="1"/>
    <col min="9723" max="9723" width="48.8515625" style="416" customWidth="1"/>
    <col min="9724" max="9724" width="7.8515625" style="416" customWidth="1"/>
    <col min="9725" max="9725" width="8.8515625" style="416" customWidth="1"/>
    <col min="9726" max="9729" width="13.8515625" style="416" customWidth="1"/>
    <col min="9730" max="9977" width="8.8515625" style="416" customWidth="1"/>
    <col min="9978" max="9978" width="21.00390625" style="416" customWidth="1"/>
    <col min="9979" max="9979" width="48.8515625" style="416" customWidth="1"/>
    <col min="9980" max="9980" width="7.8515625" style="416" customWidth="1"/>
    <col min="9981" max="9981" width="8.8515625" style="416" customWidth="1"/>
    <col min="9982" max="9985" width="13.8515625" style="416" customWidth="1"/>
    <col min="9986" max="10233" width="8.8515625" style="416" customWidth="1"/>
    <col min="10234" max="10234" width="21.00390625" style="416" customWidth="1"/>
    <col min="10235" max="10235" width="48.8515625" style="416" customWidth="1"/>
    <col min="10236" max="10236" width="7.8515625" style="416" customWidth="1"/>
    <col min="10237" max="10237" width="8.8515625" style="416" customWidth="1"/>
    <col min="10238" max="10241" width="13.8515625" style="416" customWidth="1"/>
    <col min="10242" max="10489" width="8.8515625" style="416" customWidth="1"/>
    <col min="10490" max="10490" width="21.00390625" style="416" customWidth="1"/>
    <col min="10491" max="10491" width="48.8515625" style="416" customWidth="1"/>
    <col min="10492" max="10492" width="7.8515625" style="416" customWidth="1"/>
    <col min="10493" max="10493" width="8.8515625" style="416" customWidth="1"/>
    <col min="10494" max="10497" width="13.8515625" style="416" customWidth="1"/>
    <col min="10498" max="10745" width="8.8515625" style="416" customWidth="1"/>
    <col min="10746" max="10746" width="21.00390625" style="416" customWidth="1"/>
    <col min="10747" max="10747" width="48.8515625" style="416" customWidth="1"/>
    <col min="10748" max="10748" width="7.8515625" style="416" customWidth="1"/>
    <col min="10749" max="10749" width="8.8515625" style="416" customWidth="1"/>
    <col min="10750" max="10753" width="13.8515625" style="416" customWidth="1"/>
    <col min="10754" max="11001" width="8.8515625" style="416" customWidth="1"/>
    <col min="11002" max="11002" width="21.00390625" style="416" customWidth="1"/>
    <col min="11003" max="11003" width="48.8515625" style="416" customWidth="1"/>
    <col min="11004" max="11004" width="7.8515625" style="416" customWidth="1"/>
    <col min="11005" max="11005" width="8.8515625" style="416" customWidth="1"/>
    <col min="11006" max="11009" width="13.8515625" style="416" customWidth="1"/>
    <col min="11010" max="11257" width="8.8515625" style="416" customWidth="1"/>
    <col min="11258" max="11258" width="21.00390625" style="416" customWidth="1"/>
    <col min="11259" max="11259" width="48.8515625" style="416" customWidth="1"/>
    <col min="11260" max="11260" width="7.8515625" style="416" customWidth="1"/>
    <col min="11261" max="11261" width="8.8515625" style="416" customWidth="1"/>
    <col min="11262" max="11265" width="13.8515625" style="416" customWidth="1"/>
    <col min="11266" max="11513" width="8.8515625" style="416" customWidth="1"/>
    <col min="11514" max="11514" width="21.00390625" style="416" customWidth="1"/>
    <col min="11515" max="11515" width="48.8515625" style="416" customWidth="1"/>
    <col min="11516" max="11516" width="7.8515625" style="416" customWidth="1"/>
    <col min="11517" max="11517" width="8.8515625" style="416" customWidth="1"/>
    <col min="11518" max="11521" width="13.8515625" style="416" customWidth="1"/>
    <col min="11522" max="11769" width="8.8515625" style="416" customWidth="1"/>
    <col min="11770" max="11770" width="21.00390625" style="416" customWidth="1"/>
    <col min="11771" max="11771" width="48.8515625" style="416" customWidth="1"/>
    <col min="11772" max="11772" width="7.8515625" style="416" customWidth="1"/>
    <col min="11773" max="11773" width="8.8515625" style="416" customWidth="1"/>
    <col min="11774" max="11777" width="13.8515625" style="416" customWidth="1"/>
    <col min="11778" max="12025" width="8.8515625" style="416" customWidth="1"/>
    <col min="12026" max="12026" width="21.00390625" style="416" customWidth="1"/>
    <col min="12027" max="12027" width="48.8515625" style="416" customWidth="1"/>
    <col min="12028" max="12028" width="7.8515625" style="416" customWidth="1"/>
    <col min="12029" max="12029" width="8.8515625" style="416" customWidth="1"/>
    <col min="12030" max="12033" width="13.8515625" style="416" customWidth="1"/>
    <col min="12034" max="12281" width="8.8515625" style="416" customWidth="1"/>
    <col min="12282" max="12282" width="21.00390625" style="416" customWidth="1"/>
    <col min="12283" max="12283" width="48.8515625" style="416" customWidth="1"/>
    <col min="12284" max="12284" width="7.8515625" style="416" customWidth="1"/>
    <col min="12285" max="12285" width="8.8515625" style="416" customWidth="1"/>
    <col min="12286" max="12289" width="13.8515625" style="416" customWidth="1"/>
    <col min="12290" max="12537" width="8.8515625" style="416" customWidth="1"/>
    <col min="12538" max="12538" width="21.00390625" style="416" customWidth="1"/>
    <col min="12539" max="12539" width="48.8515625" style="416" customWidth="1"/>
    <col min="12540" max="12540" width="7.8515625" style="416" customWidth="1"/>
    <col min="12541" max="12541" width="8.8515625" style="416" customWidth="1"/>
    <col min="12542" max="12545" width="13.8515625" style="416" customWidth="1"/>
    <col min="12546" max="12793" width="8.8515625" style="416" customWidth="1"/>
    <col min="12794" max="12794" width="21.00390625" style="416" customWidth="1"/>
    <col min="12795" max="12795" width="48.8515625" style="416" customWidth="1"/>
    <col min="12796" max="12796" width="7.8515625" style="416" customWidth="1"/>
    <col min="12797" max="12797" width="8.8515625" style="416" customWidth="1"/>
    <col min="12798" max="12801" width="13.8515625" style="416" customWidth="1"/>
    <col min="12802" max="13049" width="8.8515625" style="416" customWidth="1"/>
    <col min="13050" max="13050" width="21.00390625" style="416" customWidth="1"/>
    <col min="13051" max="13051" width="48.8515625" style="416" customWidth="1"/>
    <col min="13052" max="13052" width="7.8515625" style="416" customWidth="1"/>
    <col min="13053" max="13053" width="8.8515625" style="416" customWidth="1"/>
    <col min="13054" max="13057" width="13.8515625" style="416" customWidth="1"/>
    <col min="13058" max="13305" width="8.8515625" style="416" customWidth="1"/>
    <col min="13306" max="13306" width="21.00390625" style="416" customWidth="1"/>
    <col min="13307" max="13307" width="48.8515625" style="416" customWidth="1"/>
    <col min="13308" max="13308" width="7.8515625" style="416" customWidth="1"/>
    <col min="13309" max="13309" width="8.8515625" style="416" customWidth="1"/>
    <col min="13310" max="13313" width="13.8515625" style="416" customWidth="1"/>
    <col min="13314" max="13561" width="8.8515625" style="416" customWidth="1"/>
    <col min="13562" max="13562" width="21.00390625" style="416" customWidth="1"/>
    <col min="13563" max="13563" width="48.8515625" style="416" customWidth="1"/>
    <col min="13564" max="13564" width="7.8515625" style="416" customWidth="1"/>
    <col min="13565" max="13565" width="8.8515625" style="416" customWidth="1"/>
    <col min="13566" max="13569" width="13.8515625" style="416" customWidth="1"/>
    <col min="13570" max="13817" width="8.8515625" style="416" customWidth="1"/>
    <col min="13818" max="13818" width="21.00390625" style="416" customWidth="1"/>
    <col min="13819" max="13819" width="48.8515625" style="416" customWidth="1"/>
    <col min="13820" max="13820" width="7.8515625" style="416" customWidth="1"/>
    <col min="13821" max="13821" width="8.8515625" style="416" customWidth="1"/>
    <col min="13822" max="13825" width="13.8515625" style="416" customWidth="1"/>
    <col min="13826" max="14073" width="8.8515625" style="416" customWidth="1"/>
    <col min="14074" max="14074" width="21.00390625" style="416" customWidth="1"/>
    <col min="14075" max="14075" width="48.8515625" style="416" customWidth="1"/>
    <col min="14076" max="14076" width="7.8515625" style="416" customWidth="1"/>
    <col min="14077" max="14077" width="8.8515625" style="416" customWidth="1"/>
    <col min="14078" max="14081" width="13.8515625" style="416" customWidth="1"/>
    <col min="14082" max="14329" width="8.8515625" style="416" customWidth="1"/>
    <col min="14330" max="14330" width="21.00390625" style="416" customWidth="1"/>
    <col min="14331" max="14331" width="48.8515625" style="416" customWidth="1"/>
    <col min="14332" max="14332" width="7.8515625" style="416" customWidth="1"/>
    <col min="14333" max="14333" width="8.8515625" style="416" customWidth="1"/>
    <col min="14334" max="14337" width="13.8515625" style="416" customWidth="1"/>
    <col min="14338" max="14585" width="8.8515625" style="416" customWidth="1"/>
    <col min="14586" max="14586" width="21.00390625" style="416" customWidth="1"/>
    <col min="14587" max="14587" width="48.8515625" style="416" customWidth="1"/>
    <col min="14588" max="14588" width="7.8515625" style="416" customWidth="1"/>
    <col min="14589" max="14589" width="8.8515625" style="416" customWidth="1"/>
    <col min="14590" max="14593" width="13.8515625" style="416" customWidth="1"/>
    <col min="14594" max="14841" width="8.8515625" style="416" customWidth="1"/>
    <col min="14842" max="14842" width="21.00390625" style="416" customWidth="1"/>
    <col min="14843" max="14843" width="48.8515625" style="416" customWidth="1"/>
    <col min="14844" max="14844" width="7.8515625" style="416" customWidth="1"/>
    <col min="14845" max="14845" width="8.8515625" style="416" customWidth="1"/>
    <col min="14846" max="14849" width="13.8515625" style="416" customWidth="1"/>
    <col min="14850" max="15097" width="8.8515625" style="416" customWidth="1"/>
    <col min="15098" max="15098" width="21.00390625" style="416" customWidth="1"/>
    <col min="15099" max="15099" width="48.8515625" style="416" customWidth="1"/>
    <col min="15100" max="15100" width="7.8515625" style="416" customWidth="1"/>
    <col min="15101" max="15101" width="8.8515625" style="416" customWidth="1"/>
    <col min="15102" max="15105" width="13.8515625" style="416" customWidth="1"/>
    <col min="15106" max="15353" width="8.8515625" style="416" customWidth="1"/>
    <col min="15354" max="15354" width="21.00390625" style="416" customWidth="1"/>
    <col min="15355" max="15355" width="48.8515625" style="416" customWidth="1"/>
    <col min="15356" max="15356" width="7.8515625" style="416" customWidth="1"/>
    <col min="15357" max="15357" width="8.8515625" style="416" customWidth="1"/>
    <col min="15358" max="15361" width="13.8515625" style="416" customWidth="1"/>
    <col min="15362" max="15609" width="8.8515625" style="416" customWidth="1"/>
    <col min="15610" max="15610" width="21.00390625" style="416" customWidth="1"/>
    <col min="15611" max="15611" width="48.8515625" style="416" customWidth="1"/>
    <col min="15612" max="15612" width="7.8515625" style="416" customWidth="1"/>
    <col min="15613" max="15613" width="8.8515625" style="416" customWidth="1"/>
    <col min="15614" max="15617" width="13.8515625" style="416" customWidth="1"/>
    <col min="15618" max="15865" width="8.8515625" style="416" customWidth="1"/>
    <col min="15866" max="15866" width="21.00390625" style="416" customWidth="1"/>
    <col min="15867" max="15867" width="48.8515625" style="416" customWidth="1"/>
    <col min="15868" max="15868" width="7.8515625" style="416" customWidth="1"/>
    <col min="15869" max="15869" width="8.8515625" style="416" customWidth="1"/>
    <col min="15870" max="15873" width="13.8515625" style="416" customWidth="1"/>
    <col min="15874" max="16121" width="8.8515625" style="416" customWidth="1"/>
    <col min="16122" max="16122" width="21.00390625" style="416" customWidth="1"/>
    <col min="16123" max="16123" width="48.8515625" style="416" customWidth="1"/>
    <col min="16124" max="16124" width="7.8515625" style="416" customWidth="1"/>
    <col min="16125" max="16125" width="8.8515625" style="416" customWidth="1"/>
    <col min="16126" max="16129" width="13.8515625" style="416" customWidth="1"/>
    <col min="16130" max="16384" width="8.8515625" style="416" customWidth="1"/>
  </cols>
  <sheetData>
    <row r="1" spans="1:8" ht="80.25" customHeight="1" thickBot="1">
      <c r="A1" s="414" t="s">
        <v>897</v>
      </c>
      <c r="B1" s="415"/>
      <c r="C1" s="415"/>
      <c r="D1" s="415"/>
      <c r="E1" s="415"/>
      <c r="F1" s="415"/>
      <c r="G1" s="415"/>
      <c r="H1" s="415"/>
    </row>
    <row r="2" spans="1:8" ht="15.75" customHeight="1" thickBot="1">
      <c r="A2" s="417" t="s">
        <v>896</v>
      </c>
      <c r="B2" s="418" t="s">
        <v>895</v>
      </c>
      <c r="C2" s="419"/>
      <c r="D2" s="419"/>
      <c r="E2" s="419"/>
      <c r="F2" s="419"/>
      <c r="G2" s="420"/>
      <c r="H2" s="421"/>
    </row>
    <row r="3" spans="1:8" ht="16.5" customHeight="1">
      <c r="A3" s="422"/>
      <c r="B3" s="423"/>
      <c r="C3" s="423"/>
      <c r="D3" s="423"/>
      <c r="E3" s="423"/>
      <c r="F3" s="424" t="s">
        <v>894</v>
      </c>
      <c r="G3" s="423"/>
      <c r="H3" s="425"/>
    </row>
    <row r="4" spans="1:8" ht="22.5" customHeight="1" thickBot="1">
      <c r="A4" s="426" t="s">
        <v>893</v>
      </c>
      <c r="B4" s="427"/>
      <c r="C4" s="428"/>
      <c r="D4" s="428"/>
      <c r="E4" s="429"/>
      <c r="F4" s="429"/>
      <c r="G4" s="429"/>
      <c r="H4" s="430"/>
    </row>
    <row r="5" spans="1:8" ht="24" customHeight="1">
      <c r="A5" s="431"/>
      <c r="B5" s="432" t="s">
        <v>642</v>
      </c>
      <c r="C5" s="432" t="s">
        <v>892</v>
      </c>
      <c r="D5" s="433" t="s">
        <v>556</v>
      </c>
      <c r="E5" s="434" t="s">
        <v>891</v>
      </c>
      <c r="F5" s="434"/>
      <c r="G5" s="435" t="s">
        <v>546</v>
      </c>
      <c r="H5" s="435"/>
    </row>
    <row r="6" spans="1:8" ht="15">
      <c r="A6" s="431"/>
      <c r="B6" s="432"/>
      <c r="C6" s="432"/>
      <c r="D6" s="433"/>
      <c r="E6" s="436" t="s">
        <v>545</v>
      </c>
      <c r="F6" s="437" t="s">
        <v>544</v>
      </c>
      <c r="G6" s="438" t="s">
        <v>545</v>
      </c>
      <c r="H6" s="437" t="s">
        <v>544</v>
      </c>
    </row>
    <row r="7" spans="1:8" ht="15">
      <c r="A7" s="439"/>
      <c r="B7" s="440" t="s">
        <v>890</v>
      </c>
      <c r="C7" s="440" t="s">
        <v>889</v>
      </c>
      <c r="D7" s="441" t="s">
        <v>888</v>
      </c>
      <c r="E7" s="442" t="s">
        <v>887</v>
      </c>
      <c r="F7" s="443" t="s">
        <v>886</v>
      </c>
      <c r="G7" s="444" t="s">
        <v>885</v>
      </c>
      <c r="H7" s="443" t="s">
        <v>884</v>
      </c>
    </row>
    <row r="8" spans="1:8" ht="25.15" customHeight="1">
      <c r="A8" s="445"/>
      <c r="B8" s="446" t="s">
        <v>883</v>
      </c>
      <c r="C8" s="447"/>
      <c r="D8" s="447"/>
      <c r="E8" s="447"/>
      <c r="F8" s="447"/>
      <c r="G8" s="447"/>
      <c r="H8" s="448"/>
    </row>
    <row r="9" spans="1:8" ht="44.25" customHeight="1">
      <c r="A9" s="449"/>
      <c r="B9" s="450" t="s">
        <v>882</v>
      </c>
      <c r="C9" s="451" t="s">
        <v>143</v>
      </c>
      <c r="D9" s="452">
        <v>1</v>
      </c>
      <c r="E9" s="501">
        <v>0</v>
      </c>
      <c r="F9" s="452">
        <f aca="true" t="shared" si="0" ref="F9:F18">D9*E9</f>
        <v>0</v>
      </c>
      <c r="G9" s="507">
        <v>0</v>
      </c>
      <c r="H9" s="452">
        <f aca="true" t="shared" si="1" ref="H9:H18">D9*G9</f>
        <v>0</v>
      </c>
    </row>
    <row r="10" spans="1:8" ht="15" customHeight="1">
      <c r="A10" s="453"/>
      <c r="B10" s="454" t="s">
        <v>881</v>
      </c>
      <c r="C10" s="455" t="s">
        <v>143</v>
      </c>
      <c r="D10" s="456">
        <v>1</v>
      </c>
      <c r="E10" s="501">
        <v>0</v>
      </c>
      <c r="F10" s="452">
        <f t="shared" si="0"/>
        <v>0</v>
      </c>
      <c r="G10" s="507">
        <v>0</v>
      </c>
      <c r="H10" s="452">
        <f t="shared" si="1"/>
        <v>0</v>
      </c>
    </row>
    <row r="11" spans="1:8" ht="31.5" customHeight="1">
      <c r="A11" s="457"/>
      <c r="B11" s="454" t="s">
        <v>880</v>
      </c>
      <c r="C11" s="455" t="s">
        <v>143</v>
      </c>
      <c r="D11" s="456">
        <v>6</v>
      </c>
      <c r="E11" s="501">
        <v>0</v>
      </c>
      <c r="F11" s="452">
        <f t="shared" si="0"/>
        <v>0</v>
      </c>
      <c r="G11" s="507">
        <v>0</v>
      </c>
      <c r="H11" s="452">
        <f t="shared" si="1"/>
        <v>0</v>
      </c>
    </row>
    <row r="12" spans="1:8" s="459" customFormat="1" ht="33" customHeight="1">
      <c r="A12" s="453"/>
      <c r="B12" s="458" t="s">
        <v>879</v>
      </c>
      <c r="C12" s="451" t="s">
        <v>143</v>
      </c>
      <c r="D12" s="452">
        <v>1</v>
      </c>
      <c r="E12" s="501">
        <v>0</v>
      </c>
      <c r="F12" s="452">
        <f t="shared" si="0"/>
        <v>0</v>
      </c>
      <c r="G12" s="507">
        <v>0</v>
      </c>
      <c r="H12" s="452">
        <f t="shared" si="1"/>
        <v>0</v>
      </c>
    </row>
    <row r="13" spans="1:8" ht="32.25" customHeight="1">
      <c r="A13" s="453"/>
      <c r="B13" s="454" t="s">
        <v>878</v>
      </c>
      <c r="C13" s="451" t="s">
        <v>143</v>
      </c>
      <c r="D13" s="452">
        <v>1</v>
      </c>
      <c r="E13" s="501">
        <v>0</v>
      </c>
      <c r="F13" s="452">
        <f t="shared" si="0"/>
        <v>0</v>
      </c>
      <c r="G13" s="507">
        <v>0</v>
      </c>
      <c r="H13" s="452">
        <f t="shared" si="1"/>
        <v>0</v>
      </c>
    </row>
    <row r="14" spans="1:8" ht="18.75" customHeight="1">
      <c r="A14" s="460"/>
      <c r="B14" s="454" t="s">
        <v>877</v>
      </c>
      <c r="C14" s="461" t="s">
        <v>143</v>
      </c>
      <c r="D14" s="452">
        <v>1</v>
      </c>
      <c r="E14" s="501">
        <v>0</v>
      </c>
      <c r="F14" s="462">
        <f t="shared" si="0"/>
        <v>0</v>
      </c>
      <c r="G14" s="507">
        <v>0</v>
      </c>
      <c r="H14" s="452">
        <f t="shared" si="1"/>
        <v>0</v>
      </c>
    </row>
    <row r="15" spans="1:8" ht="15" customHeight="1">
      <c r="A15" s="463"/>
      <c r="B15" s="454" t="s">
        <v>876</v>
      </c>
      <c r="C15" s="461" t="s">
        <v>143</v>
      </c>
      <c r="D15" s="452">
        <v>1</v>
      </c>
      <c r="E15" s="501">
        <v>0</v>
      </c>
      <c r="F15" s="462">
        <f t="shared" si="0"/>
        <v>0</v>
      </c>
      <c r="G15" s="507">
        <v>0</v>
      </c>
      <c r="H15" s="452">
        <f t="shared" si="1"/>
        <v>0</v>
      </c>
    </row>
    <row r="16" spans="1:8" ht="15" customHeight="1">
      <c r="A16" s="460"/>
      <c r="B16" s="464" t="s">
        <v>875</v>
      </c>
      <c r="C16" s="461" t="s">
        <v>796</v>
      </c>
      <c r="D16" s="452">
        <v>1</v>
      </c>
      <c r="E16" s="501">
        <v>0</v>
      </c>
      <c r="F16" s="462">
        <f t="shared" si="0"/>
        <v>0</v>
      </c>
      <c r="G16" s="507">
        <v>0</v>
      </c>
      <c r="H16" s="452">
        <f t="shared" si="1"/>
        <v>0</v>
      </c>
    </row>
    <row r="17" spans="1:8" ht="15" customHeight="1">
      <c r="A17" s="460"/>
      <c r="B17" s="464" t="s">
        <v>874</v>
      </c>
      <c r="C17" s="455" t="s">
        <v>796</v>
      </c>
      <c r="D17" s="456">
        <v>1</v>
      </c>
      <c r="E17" s="501">
        <v>0</v>
      </c>
      <c r="F17" s="452">
        <f t="shared" si="0"/>
        <v>0</v>
      </c>
      <c r="G17" s="507">
        <v>0</v>
      </c>
      <c r="H17" s="452">
        <f t="shared" si="1"/>
        <v>0</v>
      </c>
    </row>
    <row r="18" spans="1:8" ht="15" customHeight="1">
      <c r="A18" s="460"/>
      <c r="B18" s="464" t="s">
        <v>851</v>
      </c>
      <c r="C18" s="455" t="s">
        <v>143</v>
      </c>
      <c r="D18" s="456">
        <v>1</v>
      </c>
      <c r="E18" s="501">
        <v>0</v>
      </c>
      <c r="F18" s="452">
        <f t="shared" si="0"/>
        <v>0</v>
      </c>
      <c r="G18" s="507">
        <v>0</v>
      </c>
      <c r="H18" s="452">
        <f t="shared" si="1"/>
        <v>0</v>
      </c>
    </row>
    <row r="19" spans="1:8" ht="22.15" customHeight="1">
      <c r="A19" s="445"/>
      <c r="B19" s="446" t="s">
        <v>873</v>
      </c>
      <c r="C19" s="447"/>
      <c r="D19" s="447"/>
      <c r="E19" s="502"/>
      <c r="F19" s="447"/>
      <c r="G19" s="502"/>
      <c r="H19" s="448"/>
    </row>
    <row r="20" spans="1:8" ht="15" customHeight="1">
      <c r="A20" s="463"/>
      <c r="B20" s="464" t="s">
        <v>872</v>
      </c>
      <c r="C20" s="461" t="s">
        <v>143</v>
      </c>
      <c r="D20" s="452">
        <v>8</v>
      </c>
      <c r="E20" s="501">
        <v>0</v>
      </c>
      <c r="F20" s="462">
        <f aca="true" t="shared" si="2" ref="F20:F32">D20*E20</f>
        <v>0</v>
      </c>
      <c r="G20" s="508">
        <v>0</v>
      </c>
      <c r="H20" s="452">
        <f aca="true" t="shared" si="3" ref="H20:H32">D20*G20</f>
        <v>0</v>
      </c>
    </row>
    <row r="21" spans="1:8" ht="15" customHeight="1">
      <c r="A21" s="463"/>
      <c r="B21" s="464" t="s">
        <v>871</v>
      </c>
      <c r="C21" s="461" t="s">
        <v>143</v>
      </c>
      <c r="D21" s="452">
        <v>1</v>
      </c>
      <c r="E21" s="501">
        <v>0</v>
      </c>
      <c r="F21" s="462">
        <f t="shared" si="2"/>
        <v>0</v>
      </c>
      <c r="G21" s="508">
        <v>0</v>
      </c>
      <c r="H21" s="452">
        <f t="shared" si="3"/>
        <v>0</v>
      </c>
    </row>
    <row r="22" spans="1:8" ht="15" customHeight="1">
      <c r="A22" s="463"/>
      <c r="B22" s="464" t="s">
        <v>870</v>
      </c>
      <c r="C22" s="461" t="s">
        <v>143</v>
      </c>
      <c r="D22" s="452">
        <v>9</v>
      </c>
      <c r="E22" s="501">
        <v>0</v>
      </c>
      <c r="F22" s="462">
        <f t="shared" si="2"/>
        <v>0</v>
      </c>
      <c r="G22" s="508">
        <v>0</v>
      </c>
      <c r="H22" s="452">
        <f t="shared" si="3"/>
        <v>0</v>
      </c>
    </row>
    <row r="23" spans="1:8" ht="15" customHeight="1">
      <c r="A23" s="460"/>
      <c r="B23" s="464" t="s">
        <v>869</v>
      </c>
      <c r="C23" s="461" t="s">
        <v>143</v>
      </c>
      <c r="D23" s="452">
        <v>4</v>
      </c>
      <c r="E23" s="501">
        <v>0</v>
      </c>
      <c r="F23" s="462">
        <f t="shared" si="2"/>
        <v>0</v>
      </c>
      <c r="G23" s="508">
        <v>0</v>
      </c>
      <c r="H23" s="452">
        <f t="shared" si="3"/>
        <v>0</v>
      </c>
    </row>
    <row r="24" spans="1:8" ht="15" customHeight="1">
      <c r="A24" s="463"/>
      <c r="B24" s="464" t="s">
        <v>868</v>
      </c>
      <c r="C24" s="461" t="s">
        <v>143</v>
      </c>
      <c r="D24" s="452">
        <v>3</v>
      </c>
      <c r="E24" s="501">
        <v>0</v>
      </c>
      <c r="F24" s="462">
        <f t="shared" si="2"/>
        <v>0</v>
      </c>
      <c r="G24" s="508">
        <v>0</v>
      </c>
      <c r="H24" s="452">
        <f t="shared" si="3"/>
        <v>0</v>
      </c>
    </row>
    <row r="25" spans="1:8" ht="15" customHeight="1">
      <c r="A25" s="463"/>
      <c r="B25" s="464" t="s">
        <v>867</v>
      </c>
      <c r="C25" s="461" t="s">
        <v>69</v>
      </c>
      <c r="D25" s="456">
        <v>175</v>
      </c>
      <c r="E25" s="501">
        <v>0</v>
      </c>
      <c r="F25" s="465">
        <f t="shared" si="2"/>
        <v>0</v>
      </c>
      <c r="G25" s="508">
        <v>0</v>
      </c>
      <c r="H25" s="456">
        <f t="shared" si="3"/>
        <v>0</v>
      </c>
    </row>
    <row r="26" spans="1:8" ht="15" customHeight="1">
      <c r="A26" s="460"/>
      <c r="B26" s="464" t="s">
        <v>809</v>
      </c>
      <c r="C26" s="461" t="s">
        <v>69</v>
      </c>
      <c r="D26" s="456">
        <v>120</v>
      </c>
      <c r="E26" s="501">
        <v>0</v>
      </c>
      <c r="F26" s="465">
        <f t="shared" si="2"/>
        <v>0</v>
      </c>
      <c r="G26" s="508">
        <v>0</v>
      </c>
      <c r="H26" s="456">
        <f t="shared" si="3"/>
        <v>0</v>
      </c>
    </row>
    <row r="27" spans="1:8" ht="15" customHeight="1">
      <c r="A27" s="460"/>
      <c r="B27" s="464" t="s">
        <v>866</v>
      </c>
      <c r="C27" s="461" t="s">
        <v>69</v>
      </c>
      <c r="D27" s="452">
        <v>120</v>
      </c>
      <c r="E27" s="501">
        <v>0</v>
      </c>
      <c r="F27" s="462">
        <f t="shared" si="2"/>
        <v>0</v>
      </c>
      <c r="G27" s="508">
        <v>0</v>
      </c>
      <c r="H27" s="452">
        <f t="shared" si="3"/>
        <v>0</v>
      </c>
    </row>
    <row r="28" spans="1:8" ht="15" customHeight="1">
      <c r="A28" s="460"/>
      <c r="B28" s="466" t="s">
        <v>865</v>
      </c>
      <c r="C28" s="451" t="s">
        <v>143</v>
      </c>
      <c r="D28" s="452">
        <v>1</v>
      </c>
      <c r="E28" s="501">
        <v>0</v>
      </c>
      <c r="F28" s="462">
        <f t="shared" si="2"/>
        <v>0</v>
      </c>
      <c r="G28" s="508">
        <v>0</v>
      </c>
      <c r="H28" s="452">
        <f t="shared" si="3"/>
        <v>0</v>
      </c>
    </row>
    <row r="29" spans="1:8" ht="15" customHeight="1">
      <c r="A29" s="460"/>
      <c r="B29" s="466" t="s">
        <v>854</v>
      </c>
      <c r="C29" s="451" t="s">
        <v>143</v>
      </c>
      <c r="D29" s="452">
        <v>1</v>
      </c>
      <c r="E29" s="501">
        <v>0</v>
      </c>
      <c r="F29" s="462">
        <f t="shared" si="2"/>
        <v>0</v>
      </c>
      <c r="G29" s="508">
        <v>0</v>
      </c>
      <c r="H29" s="452">
        <f t="shared" si="3"/>
        <v>0</v>
      </c>
    </row>
    <row r="30" spans="1:8" ht="15" customHeight="1">
      <c r="A30" s="460"/>
      <c r="B30" s="454" t="s">
        <v>852</v>
      </c>
      <c r="C30" s="455" t="s">
        <v>143</v>
      </c>
      <c r="D30" s="456">
        <v>1</v>
      </c>
      <c r="E30" s="501">
        <v>0</v>
      </c>
      <c r="F30" s="452">
        <f t="shared" si="2"/>
        <v>0</v>
      </c>
      <c r="G30" s="508">
        <v>0</v>
      </c>
      <c r="H30" s="452">
        <f t="shared" si="3"/>
        <v>0</v>
      </c>
    </row>
    <row r="31" spans="1:8" ht="15" customHeight="1">
      <c r="A31" s="460"/>
      <c r="B31" s="454" t="s">
        <v>864</v>
      </c>
      <c r="C31" s="455" t="s">
        <v>796</v>
      </c>
      <c r="D31" s="456">
        <v>1</v>
      </c>
      <c r="E31" s="501">
        <v>0</v>
      </c>
      <c r="F31" s="452">
        <f t="shared" si="2"/>
        <v>0</v>
      </c>
      <c r="G31" s="508">
        <v>0</v>
      </c>
      <c r="H31" s="452">
        <f t="shared" si="3"/>
        <v>0</v>
      </c>
    </row>
    <row r="32" spans="1:8" ht="15" customHeight="1">
      <c r="A32" s="460"/>
      <c r="B32" s="464" t="s">
        <v>851</v>
      </c>
      <c r="C32" s="455" t="s">
        <v>143</v>
      </c>
      <c r="D32" s="456">
        <v>1</v>
      </c>
      <c r="E32" s="501">
        <v>0</v>
      </c>
      <c r="F32" s="452">
        <f t="shared" si="2"/>
        <v>0</v>
      </c>
      <c r="G32" s="508">
        <v>0</v>
      </c>
      <c r="H32" s="452">
        <f t="shared" si="3"/>
        <v>0</v>
      </c>
    </row>
    <row r="33" spans="1:8" ht="22.15" customHeight="1">
      <c r="A33" s="445"/>
      <c r="B33" s="446" t="s">
        <v>863</v>
      </c>
      <c r="C33" s="447"/>
      <c r="D33" s="447"/>
      <c r="E33" s="502"/>
      <c r="F33" s="447"/>
      <c r="G33" s="502"/>
      <c r="H33" s="448"/>
    </row>
    <row r="34" spans="1:8" ht="15" customHeight="1">
      <c r="A34" s="460"/>
      <c r="B34" s="466" t="s">
        <v>862</v>
      </c>
      <c r="C34" s="451" t="s">
        <v>143</v>
      </c>
      <c r="D34" s="452">
        <v>3</v>
      </c>
      <c r="E34" s="503">
        <v>0</v>
      </c>
      <c r="F34" s="462">
        <f aca="true" t="shared" si="4" ref="F34:F46">D34*E34</f>
        <v>0</v>
      </c>
      <c r="G34" s="508">
        <v>0</v>
      </c>
      <c r="H34" s="452">
        <f aca="true" t="shared" si="5" ref="H34:H46">D34*G34</f>
        <v>0</v>
      </c>
    </row>
    <row r="35" spans="1:8" ht="15" customHeight="1">
      <c r="A35" s="460"/>
      <c r="B35" s="467" t="s">
        <v>861</v>
      </c>
      <c r="C35" s="461" t="s">
        <v>143</v>
      </c>
      <c r="D35" s="452">
        <v>1</v>
      </c>
      <c r="E35" s="503">
        <v>0</v>
      </c>
      <c r="F35" s="462">
        <f t="shared" si="4"/>
        <v>0</v>
      </c>
      <c r="G35" s="508">
        <v>0</v>
      </c>
      <c r="H35" s="452">
        <f t="shared" si="5"/>
        <v>0</v>
      </c>
    </row>
    <row r="36" spans="1:8" ht="15" customHeight="1">
      <c r="A36" s="460"/>
      <c r="B36" s="454" t="s">
        <v>860</v>
      </c>
      <c r="C36" s="461" t="s">
        <v>143</v>
      </c>
      <c r="D36" s="452">
        <v>1</v>
      </c>
      <c r="E36" s="503">
        <v>0</v>
      </c>
      <c r="F36" s="462">
        <f t="shared" si="4"/>
        <v>0</v>
      </c>
      <c r="G36" s="508">
        <v>0</v>
      </c>
      <c r="H36" s="452">
        <f t="shared" si="5"/>
        <v>0</v>
      </c>
    </row>
    <row r="37" spans="1:8" ht="15" customHeight="1">
      <c r="A37" s="460"/>
      <c r="B37" s="454" t="s">
        <v>859</v>
      </c>
      <c r="C37" s="461" t="s">
        <v>143</v>
      </c>
      <c r="D37" s="452">
        <v>1</v>
      </c>
      <c r="E37" s="503">
        <v>0</v>
      </c>
      <c r="F37" s="462">
        <f t="shared" si="4"/>
        <v>0</v>
      </c>
      <c r="G37" s="508">
        <v>0</v>
      </c>
      <c r="H37" s="452">
        <f t="shared" si="5"/>
        <v>0</v>
      </c>
    </row>
    <row r="38" spans="1:8" ht="15" customHeight="1">
      <c r="A38" s="460"/>
      <c r="B38" s="450" t="s">
        <v>858</v>
      </c>
      <c r="C38" s="451" t="s">
        <v>143</v>
      </c>
      <c r="D38" s="452">
        <v>1</v>
      </c>
      <c r="E38" s="503">
        <v>0</v>
      </c>
      <c r="F38" s="462">
        <f t="shared" si="4"/>
        <v>0</v>
      </c>
      <c r="G38" s="508">
        <v>0</v>
      </c>
      <c r="H38" s="452">
        <f t="shared" si="5"/>
        <v>0</v>
      </c>
    </row>
    <row r="39" spans="1:8" ht="15" customHeight="1">
      <c r="A39" s="463"/>
      <c r="B39" s="454" t="s">
        <v>857</v>
      </c>
      <c r="C39" s="455" t="s">
        <v>143</v>
      </c>
      <c r="D39" s="456">
        <v>5</v>
      </c>
      <c r="E39" s="503">
        <v>0</v>
      </c>
      <c r="F39" s="452">
        <f t="shared" si="4"/>
        <v>0</v>
      </c>
      <c r="G39" s="508">
        <v>0</v>
      </c>
      <c r="H39" s="452">
        <f t="shared" si="5"/>
        <v>0</v>
      </c>
    </row>
    <row r="40" spans="1:8" ht="15" customHeight="1">
      <c r="A40" s="460"/>
      <c r="B40" s="454" t="s">
        <v>856</v>
      </c>
      <c r="C40" s="461" t="s">
        <v>143</v>
      </c>
      <c r="D40" s="452">
        <v>26</v>
      </c>
      <c r="E40" s="503">
        <v>0</v>
      </c>
      <c r="F40" s="462">
        <f t="shared" si="4"/>
        <v>0</v>
      </c>
      <c r="G40" s="508">
        <v>0</v>
      </c>
      <c r="H40" s="452">
        <f t="shared" si="5"/>
        <v>0</v>
      </c>
    </row>
    <row r="41" spans="1:8" ht="15" customHeight="1">
      <c r="A41" s="460"/>
      <c r="B41" s="464" t="s">
        <v>809</v>
      </c>
      <c r="C41" s="461" t="s">
        <v>69</v>
      </c>
      <c r="D41" s="456">
        <v>90</v>
      </c>
      <c r="E41" s="503">
        <v>0</v>
      </c>
      <c r="F41" s="465">
        <f t="shared" si="4"/>
        <v>0</v>
      </c>
      <c r="G41" s="508">
        <v>0</v>
      </c>
      <c r="H41" s="456">
        <f t="shared" si="5"/>
        <v>0</v>
      </c>
    </row>
    <row r="42" spans="1:8" ht="15" customHeight="1">
      <c r="A42" s="460"/>
      <c r="B42" s="454" t="s">
        <v>855</v>
      </c>
      <c r="C42" s="461" t="s">
        <v>796</v>
      </c>
      <c r="D42" s="452">
        <v>1</v>
      </c>
      <c r="E42" s="503">
        <v>0</v>
      </c>
      <c r="F42" s="462">
        <f t="shared" si="4"/>
        <v>0</v>
      </c>
      <c r="G42" s="508">
        <v>0</v>
      </c>
      <c r="H42" s="452">
        <f t="shared" si="5"/>
        <v>0</v>
      </c>
    </row>
    <row r="43" spans="1:8" ht="15" customHeight="1">
      <c r="A43" s="460"/>
      <c r="B43" s="466" t="s">
        <v>854</v>
      </c>
      <c r="C43" s="451" t="s">
        <v>143</v>
      </c>
      <c r="D43" s="452">
        <v>1</v>
      </c>
      <c r="E43" s="503">
        <v>0</v>
      </c>
      <c r="F43" s="462">
        <f t="shared" si="4"/>
        <v>0</v>
      </c>
      <c r="G43" s="508">
        <v>0</v>
      </c>
      <c r="H43" s="452">
        <f t="shared" si="5"/>
        <v>0</v>
      </c>
    </row>
    <row r="44" spans="1:8" ht="15" customHeight="1">
      <c r="A44" s="460"/>
      <c r="B44" s="454" t="s">
        <v>853</v>
      </c>
      <c r="C44" s="455" t="s">
        <v>143</v>
      </c>
      <c r="D44" s="456">
        <v>1</v>
      </c>
      <c r="E44" s="503">
        <v>0</v>
      </c>
      <c r="F44" s="452">
        <f t="shared" si="4"/>
        <v>0</v>
      </c>
      <c r="G44" s="508">
        <v>0</v>
      </c>
      <c r="H44" s="452">
        <f t="shared" si="5"/>
        <v>0</v>
      </c>
    </row>
    <row r="45" spans="1:8" ht="15" customHeight="1">
      <c r="A45" s="460"/>
      <c r="B45" s="454" t="s">
        <v>852</v>
      </c>
      <c r="C45" s="455" t="s">
        <v>143</v>
      </c>
      <c r="D45" s="456">
        <v>1</v>
      </c>
      <c r="E45" s="503">
        <v>0</v>
      </c>
      <c r="F45" s="452">
        <f t="shared" si="4"/>
        <v>0</v>
      </c>
      <c r="G45" s="508">
        <v>0</v>
      </c>
      <c r="H45" s="452">
        <f t="shared" si="5"/>
        <v>0</v>
      </c>
    </row>
    <row r="46" spans="1:8" ht="15" customHeight="1">
      <c r="A46" s="460"/>
      <c r="B46" s="464" t="s">
        <v>851</v>
      </c>
      <c r="C46" s="455" t="s">
        <v>143</v>
      </c>
      <c r="D46" s="456">
        <v>1</v>
      </c>
      <c r="E46" s="503">
        <v>0</v>
      </c>
      <c r="F46" s="452">
        <f t="shared" si="4"/>
        <v>0</v>
      </c>
      <c r="G46" s="508">
        <v>0</v>
      </c>
      <c r="H46" s="452">
        <f t="shared" si="5"/>
        <v>0</v>
      </c>
    </row>
    <row r="47" spans="1:8" ht="22.15" customHeight="1">
      <c r="A47" s="445"/>
      <c r="B47" s="446" t="s">
        <v>850</v>
      </c>
      <c r="C47" s="447"/>
      <c r="D47" s="447"/>
      <c r="E47" s="502"/>
      <c r="F47" s="447"/>
      <c r="G47" s="502"/>
      <c r="H47" s="448"/>
    </row>
    <row r="48" spans="1:8" ht="15" customHeight="1">
      <c r="A48" s="463" t="s">
        <v>849</v>
      </c>
      <c r="B48" s="466" t="s">
        <v>848</v>
      </c>
      <c r="C48" s="451" t="s">
        <v>143</v>
      </c>
      <c r="D48" s="452">
        <v>1</v>
      </c>
      <c r="E48" s="503">
        <v>0</v>
      </c>
      <c r="F48" s="462">
        <f aca="true" t="shared" si="6" ref="F48:F55">D48*E48</f>
        <v>0</v>
      </c>
      <c r="G48" s="508">
        <v>0</v>
      </c>
      <c r="H48" s="452">
        <f aca="true" t="shared" si="7" ref="H48:H55">D48*G48</f>
        <v>0</v>
      </c>
    </row>
    <row r="49" spans="1:8" ht="15" customHeight="1">
      <c r="A49" s="463" t="s">
        <v>847</v>
      </c>
      <c r="B49" s="467" t="s">
        <v>846</v>
      </c>
      <c r="C49" s="461" t="s">
        <v>143</v>
      </c>
      <c r="D49" s="452">
        <v>1</v>
      </c>
      <c r="E49" s="503">
        <v>0</v>
      </c>
      <c r="F49" s="462">
        <f t="shared" si="6"/>
        <v>0</v>
      </c>
      <c r="G49" s="508">
        <v>0</v>
      </c>
      <c r="H49" s="452">
        <f t="shared" si="7"/>
        <v>0</v>
      </c>
    </row>
    <row r="50" spans="1:8" ht="15" customHeight="1">
      <c r="A50" s="463" t="s">
        <v>845</v>
      </c>
      <c r="B50" s="454" t="s">
        <v>844</v>
      </c>
      <c r="C50" s="461" t="s">
        <v>143</v>
      </c>
      <c r="D50" s="452">
        <v>1</v>
      </c>
      <c r="E50" s="503">
        <v>0</v>
      </c>
      <c r="F50" s="462">
        <f t="shared" si="6"/>
        <v>0</v>
      </c>
      <c r="G50" s="508">
        <v>0</v>
      </c>
      <c r="H50" s="452">
        <f t="shared" si="7"/>
        <v>0</v>
      </c>
    </row>
    <row r="51" spans="1:8" ht="15" customHeight="1">
      <c r="A51" s="463" t="s">
        <v>843</v>
      </c>
      <c r="B51" s="450" t="s">
        <v>842</v>
      </c>
      <c r="C51" s="451" t="s">
        <v>143</v>
      </c>
      <c r="D51" s="452">
        <v>1</v>
      </c>
      <c r="E51" s="503">
        <v>0</v>
      </c>
      <c r="F51" s="462">
        <f t="shared" si="6"/>
        <v>0</v>
      </c>
      <c r="G51" s="508">
        <v>0</v>
      </c>
      <c r="H51" s="452">
        <f t="shared" si="7"/>
        <v>0</v>
      </c>
    </row>
    <row r="52" spans="1:8" ht="15" customHeight="1">
      <c r="A52" s="463" t="s">
        <v>841</v>
      </c>
      <c r="B52" s="454" t="s">
        <v>840</v>
      </c>
      <c r="C52" s="455" t="s">
        <v>143</v>
      </c>
      <c r="D52" s="456">
        <v>1</v>
      </c>
      <c r="E52" s="503">
        <v>0</v>
      </c>
      <c r="F52" s="452">
        <f t="shared" si="6"/>
        <v>0</v>
      </c>
      <c r="G52" s="509">
        <v>0</v>
      </c>
      <c r="H52" s="452">
        <f t="shared" si="7"/>
        <v>0</v>
      </c>
    </row>
    <row r="53" spans="1:8" ht="15" customHeight="1">
      <c r="A53" s="463" t="s">
        <v>839</v>
      </c>
      <c r="B53" s="464" t="s">
        <v>838</v>
      </c>
      <c r="C53" s="455" t="s">
        <v>143</v>
      </c>
      <c r="D53" s="456">
        <v>1</v>
      </c>
      <c r="E53" s="503">
        <v>0</v>
      </c>
      <c r="F53" s="452">
        <f t="shared" si="6"/>
        <v>0</v>
      </c>
      <c r="G53" s="509">
        <v>0</v>
      </c>
      <c r="H53" s="452">
        <f t="shared" si="7"/>
        <v>0</v>
      </c>
    </row>
    <row r="54" spans="1:8" ht="15" customHeight="1">
      <c r="A54" s="463" t="s">
        <v>837</v>
      </c>
      <c r="B54" s="450" t="s">
        <v>836</v>
      </c>
      <c r="C54" s="451" t="s">
        <v>143</v>
      </c>
      <c r="D54" s="452">
        <v>1</v>
      </c>
      <c r="E54" s="503">
        <v>0</v>
      </c>
      <c r="F54" s="462">
        <f t="shared" si="6"/>
        <v>0</v>
      </c>
      <c r="G54" s="508">
        <v>0</v>
      </c>
      <c r="H54" s="452">
        <f t="shared" si="7"/>
        <v>0</v>
      </c>
    </row>
    <row r="55" spans="1:8" ht="15" customHeight="1">
      <c r="A55" s="460"/>
      <c r="B55" s="464" t="s">
        <v>835</v>
      </c>
      <c r="C55" s="455" t="s">
        <v>143</v>
      </c>
      <c r="D55" s="456">
        <v>1</v>
      </c>
      <c r="E55" s="503">
        <v>0</v>
      </c>
      <c r="F55" s="452">
        <f t="shared" si="6"/>
        <v>0</v>
      </c>
      <c r="G55" s="508">
        <v>0</v>
      </c>
      <c r="H55" s="452">
        <f t="shared" si="7"/>
        <v>0</v>
      </c>
    </row>
    <row r="56" spans="1:8" ht="22.15" customHeight="1">
      <c r="A56" s="468"/>
      <c r="B56" s="446" t="s">
        <v>834</v>
      </c>
      <c r="C56" s="447"/>
      <c r="D56" s="447"/>
      <c r="E56" s="502"/>
      <c r="F56" s="447"/>
      <c r="G56" s="502"/>
      <c r="H56" s="448"/>
    </row>
    <row r="57" spans="1:8" ht="15" customHeight="1">
      <c r="A57" s="460"/>
      <c r="B57" s="454" t="s">
        <v>833</v>
      </c>
      <c r="C57" s="461" t="s">
        <v>143</v>
      </c>
      <c r="D57" s="452">
        <v>1</v>
      </c>
      <c r="E57" s="501">
        <v>0</v>
      </c>
      <c r="F57" s="462">
        <f aca="true" t="shared" si="8" ref="F57:F93">D57*E57</f>
        <v>0</v>
      </c>
      <c r="G57" s="508">
        <v>0</v>
      </c>
      <c r="H57" s="452">
        <f aca="true" t="shared" si="9" ref="H57:H93">D57*G57</f>
        <v>0</v>
      </c>
    </row>
    <row r="58" spans="1:8" ht="15" customHeight="1">
      <c r="A58" s="460"/>
      <c r="B58" s="464" t="s">
        <v>832</v>
      </c>
      <c r="C58" s="461" t="s">
        <v>143</v>
      </c>
      <c r="D58" s="452">
        <v>4</v>
      </c>
      <c r="E58" s="501">
        <v>0</v>
      </c>
      <c r="F58" s="462">
        <f t="shared" si="8"/>
        <v>0</v>
      </c>
      <c r="G58" s="508">
        <v>0</v>
      </c>
      <c r="H58" s="452">
        <f t="shared" si="9"/>
        <v>0</v>
      </c>
    </row>
    <row r="59" spans="1:8" ht="15" customHeight="1">
      <c r="A59" s="460"/>
      <c r="B59" s="469" t="s">
        <v>831</v>
      </c>
      <c r="C59" s="461" t="s">
        <v>143</v>
      </c>
      <c r="D59" s="452">
        <v>20</v>
      </c>
      <c r="E59" s="501">
        <v>0</v>
      </c>
      <c r="F59" s="462">
        <f t="shared" si="8"/>
        <v>0</v>
      </c>
      <c r="G59" s="508">
        <v>0</v>
      </c>
      <c r="H59" s="452">
        <f t="shared" si="9"/>
        <v>0</v>
      </c>
    </row>
    <row r="60" spans="1:8" ht="15" customHeight="1">
      <c r="A60" s="460"/>
      <c r="B60" s="469" t="s">
        <v>830</v>
      </c>
      <c r="C60" s="461" t="s">
        <v>143</v>
      </c>
      <c r="D60" s="452">
        <v>4</v>
      </c>
      <c r="E60" s="501">
        <v>0</v>
      </c>
      <c r="F60" s="462">
        <f t="shared" si="8"/>
        <v>0</v>
      </c>
      <c r="G60" s="508">
        <v>0</v>
      </c>
      <c r="H60" s="452">
        <f t="shared" si="9"/>
        <v>0</v>
      </c>
    </row>
    <row r="61" spans="1:8" ht="15" customHeight="1">
      <c r="A61" s="460"/>
      <c r="B61" s="466" t="s">
        <v>829</v>
      </c>
      <c r="C61" s="451" t="s">
        <v>143</v>
      </c>
      <c r="D61" s="452">
        <v>30</v>
      </c>
      <c r="E61" s="501">
        <v>0</v>
      </c>
      <c r="F61" s="462">
        <f t="shared" si="8"/>
        <v>0</v>
      </c>
      <c r="G61" s="508">
        <v>0</v>
      </c>
      <c r="H61" s="452">
        <f t="shared" si="9"/>
        <v>0</v>
      </c>
    </row>
    <row r="62" spans="1:8" ht="15" customHeight="1">
      <c r="A62" s="460"/>
      <c r="B62" s="466" t="s">
        <v>828</v>
      </c>
      <c r="C62" s="451" t="s">
        <v>143</v>
      </c>
      <c r="D62" s="456">
        <v>11</v>
      </c>
      <c r="E62" s="501">
        <v>0</v>
      </c>
      <c r="F62" s="465">
        <f t="shared" si="8"/>
        <v>0</v>
      </c>
      <c r="G62" s="508">
        <v>0</v>
      </c>
      <c r="H62" s="456">
        <f t="shared" si="9"/>
        <v>0</v>
      </c>
    </row>
    <row r="63" spans="1:8" ht="15" customHeight="1">
      <c r="A63" s="460"/>
      <c r="B63" s="466" t="s">
        <v>827</v>
      </c>
      <c r="C63" s="451" t="s">
        <v>143</v>
      </c>
      <c r="D63" s="456">
        <v>11</v>
      </c>
      <c r="E63" s="501">
        <v>0</v>
      </c>
      <c r="F63" s="465">
        <f t="shared" si="8"/>
        <v>0</v>
      </c>
      <c r="G63" s="508">
        <v>0</v>
      </c>
      <c r="H63" s="456">
        <f t="shared" si="9"/>
        <v>0</v>
      </c>
    </row>
    <row r="64" spans="1:8" ht="15" customHeight="1">
      <c r="A64" s="460"/>
      <c r="B64" s="466" t="s">
        <v>826</v>
      </c>
      <c r="C64" s="451" t="s">
        <v>143</v>
      </c>
      <c r="D64" s="456">
        <v>11</v>
      </c>
      <c r="E64" s="501">
        <v>0</v>
      </c>
      <c r="F64" s="465">
        <f t="shared" si="8"/>
        <v>0</v>
      </c>
      <c r="G64" s="508">
        <v>0</v>
      </c>
      <c r="H64" s="456">
        <f t="shared" si="9"/>
        <v>0</v>
      </c>
    </row>
    <row r="65" spans="1:8" ht="15" customHeight="1">
      <c r="A65" s="460"/>
      <c r="B65" s="466" t="s">
        <v>825</v>
      </c>
      <c r="C65" s="451" t="s">
        <v>143</v>
      </c>
      <c r="D65" s="456">
        <v>26</v>
      </c>
      <c r="E65" s="501">
        <v>0</v>
      </c>
      <c r="F65" s="465">
        <f t="shared" si="8"/>
        <v>0</v>
      </c>
      <c r="G65" s="508">
        <v>0</v>
      </c>
      <c r="H65" s="456">
        <f t="shared" si="9"/>
        <v>0</v>
      </c>
    </row>
    <row r="66" spans="1:8" ht="15" customHeight="1">
      <c r="A66" s="460"/>
      <c r="B66" s="466" t="s">
        <v>824</v>
      </c>
      <c r="C66" s="451" t="s">
        <v>143</v>
      </c>
      <c r="D66" s="456">
        <v>13</v>
      </c>
      <c r="E66" s="501">
        <v>0</v>
      </c>
      <c r="F66" s="465">
        <f t="shared" si="8"/>
        <v>0</v>
      </c>
      <c r="G66" s="508">
        <v>0</v>
      </c>
      <c r="H66" s="456">
        <f t="shared" si="9"/>
        <v>0</v>
      </c>
    </row>
    <row r="67" spans="1:8" ht="15" customHeight="1">
      <c r="A67" s="460"/>
      <c r="B67" s="454" t="s">
        <v>823</v>
      </c>
      <c r="C67" s="455" t="s">
        <v>143</v>
      </c>
      <c r="D67" s="456">
        <v>4</v>
      </c>
      <c r="E67" s="501">
        <v>0</v>
      </c>
      <c r="F67" s="452">
        <f t="shared" si="8"/>
        <v>0</v>
      </c>
      <c r="G67" s="508">
        <v>0</v>
      </c>
      <c r="H67" s="452">
        <f t="shared" si="9"/>
        <v>0</v>
      </c>
    </row>
    <row r="68" spans="1:8" ht="15" customHeight="1">
      <c r="A68" s="460"/>
      <c r="B68" s="464" t="s">
        <v>822</v>
      </c>
      <c r="C68" s="470" t="s">
        <v>702</v>
      </c>
      <c r="D68" s="456">
        <v>3750</v>
      </c>
      <c r="E68" s="501">
        <v>0</v>
      </c>
      <c r="F68" s="452">
        <f t="shared" si="8"/>
        <v>0</v>
      </c>
      <c r="G68" s="508">
        <v>0</v>
      </c>
      <c r="H68" s="452">
        <f t="shared" si="9"/>
        <v>0</v>
      </c>
    </row>
    <row r="69" spans="1:8" ht="15" customHeight="1">
      <c r="A69" s="460"/>
      <c r="B69" s="464" t="s">
        <v>821</v>
      </c>
      <c r="C69" s="470" t="s">
        <v>702</v>
      </c>
      <c r="D69" s="456">
        <v>550</v>
      </c>
      <c r="E69" s="501">
        <v>0</v>
      </c>
      <c r="F69" s="452">
        <f t="shared" si="8"/>
        <v>0</v>
      </c>
      <c r="G69" s="508">
        <v>0</v>
      </c>
      <c r="H69" s="452">
        <f t="shared" si="9"/>
        <v>0</v>
      </c>
    </row>
    <row r="70" spans="1:8" ht="15" customHeight="1">
      <c r="A70" s="460"/>
      <c r="B70" s="469" t="s">
        <v>820</v>
      </c>
      <c r="C70" s="461" t="s">
        <v>143</v>
      </c>
      <c r="D70" s="452">
        <v>2</v>
      </c>
      <c r="E70" s="501">
        <v>0</v>
      </c>
      <c r="F70" s="462">
        <f t="shared" si="8"/>
        <v>0</v>
      </c>
      <c r="G70" s="508">
        <v>0</v>
      </c>
      <c r="H70" s="452">
        <f t="shared" si="9"/>
        <v>0</v>
      </c>
    </row>
    <row r="71" spans="1:8" ht="15" customHeight="1">
      <c r="A71" s="460"/>
      <c r="B71" s="469" t="s">
        <v>819</v>
      </c>
      <c r="C71" s="461" t="s">
        <v>143</v>
      </c>
      <c r="D71" s="456">
        <v>6</v>
      </c>
      <c r="E71" s="501">
        <v>0</v>
      </c>
      <c r="F71" s="462">
        <f t="shared" si="8"/>
        <v>0</v>
      </c>
      <c r="G71" s="508">
        <v>0</v>
      </c>
      <c r="H71" s="452">
        <f t="shared" si="9"/>
        <v>0</v>
      </c>
    </row>
    <row r="72" spans="1:8" ht="15" customHeight="1">
      <c r="A72" s="460"/>
      <c r="B72" s="469" t="s">
        <v>818</v>
      </c>
      <c r="C72" s="461" t="s">
        <v>143</v>
      </c>
      <c r="D72" s="456">
        <v>6</v>
      </c>
      <c r="E72" s="501">
        <v>0</v>
      </c>
      <c r="F72" s="462">
        <f t="shared" si="8"/>
        <v>0</v>
      </c>
      <c r="G72" s="508">
        <v>0</v>
      </c>
      <c r="H72" s="452">
        <f t="shared" si="9"/>
        <v>0</v>
      </c>
    </row>
    <row r="73" spans="1:8" ht="15" customHeight="1">
      <c r="A73" s="460"/>
      <c r="B73" s="466" t="s">
        <v>817</v>
      </c>
      <c r="C73" s="451" t="s">
        <v>143</v>
      </c>
      <c r="D73" s="456">
        <v>3</v>
      </c>
      <c r="E73" s="501">
        <v>0</v>
      </c>
      <c r="F73" s="465">
        <f t="shared" si="8"/>
        <v>0</v>
      </c>
      <c r="G73" s="508">
        <v>0</v>
      </c>
      <c r="H73" s="456">
        <f t="shared" si="9"/>
        <v>0</v>
      </c>
    </row>
    <row r="74" spans="1:8" ht="15" customHeight="1">
      <c r="A74" s="460"/>
      <c r="B74" s="466" t="s">
        <v>816</v>
      </c>
      <c r="C74" s="451" t="s">
        <v>143</v>
      </c>
      <c r="D74" s="456">
        <v>1</v>
      </c>
      <c r="E74" s="501">
        <v>0</v>
      </c>
      <c r="F74" s="465">
        <f t="shared" si="8"/>
        <v>0</v>
      </c>
      <c r="G74" s="508">
        <v>0</v>
      </c>
      <c r="H74" s="456">
        <f t="shared" si="9"/>
        <v>0</v>
      </c>
    </row>
    <row r="75" spans="1:8" ht="17.25" customHeight="1">
      <c r="A75" s="460"/>
      <c r="B75" s="466" t="s">
        <v>815</v>
      </c>
      <c r="C75" s="451" t="s">
        <v>143</v>
      </c>
      <c r="D75" s="456">
        <v>1</v>
      </c>
      <c r="E75" s="501">
        <v>0</v>
      </c>
      <c r="F75" s="465">
        <f t="shared" si="8"/>
        <v>0</v>
      </c>
      <c r="G75" s="508">
        <v>0</v>
      </c>
      <c r="H75" s="456">
        <f t="shared" si="9"/>
        <v>0</v>
      </c>
    </row>
    <row r="76" spans="1:8" ht="15" customHeight="1">
      <c r="A76" s="460"/>
      <c r="B76" s="466" t="s">
        <v>814</v>
      </c>
      <c r="C76" s="451" t="s">
        <v>69</v>
      </c>
      <c r="D76" s="456">
        <v>45</v>
      </c>
      <c r="E76" s="501">
        <v>0</v>
      </c>
      <c r="F76" s="465">
        <f t="shared" si="8"/>
        <v>0</v>
      </c>
      <c r="G76" s="508">
        <v>0</v>
      </c>
      <c r="H76" s="456">
        <f t="shared" si="9"/>
        <v>0</v>
      </c>
    </row>
    <row r="77" spans="1:8" ht="23.25" customHeight="1">
      <c r="A77" s="460"/>
      <c r="B77" s="471" t="s">
        <v>813</v>
      </c>
      <c r="C77" s="472" t="s">
        <v>143</v>
      </c>
      <c r="D77" s="473">
        <v>0</v>
      </c>
      <c r="E77" s="504">
        <v>0</v>
      </c>
      <c r="F77" s="474">
        <f t="shared" si="8"/>
        <v>0</v>
      </c>
      <c r="G77" s="510">
        <v>0</v>
      </c>
      <c r="H77" s="473">
        <f t="shared" si="9"/>
        <v>0</v>
      </c>
    </row>
    <row r="78" spans="1:8" ht="30.6" customHeight="1">
      <c r="A78" s="453"/>
      <c r="B78" s="475" t="s">
        <v>812</v>
      </c>
      <c r="C78" s="472" t="s">
        <v>143</v>
      </c>
      <c r="D78" s="473">
        <v>0</v>
      </c>
      <c r="E78" s="505">
        <v>0</v>
      </c>
      <c r="F78" s="473">
        <f t="shared" si="8"/>
        <v>0</v>
      </c>
      <c r="G78" s="511">
        <v>0</v>
      </c>
      <c r="H78" s="473">
        <f t="shared" si="9"/>
        <v>0</v>
      </c>
    </row>
    <row r="79" spans="1:8" ht="25.5" customHeight="1">
      <c r="A79" s="453"/>
      <c r="B79" s="476" t="s">
        <v>811</v>
      </c>
      <c r="C79" s="477" t="s">
        <v>143</v>
      </c>
      <c r="D79" s="478">
        <v>0</v>
      </c>
      <c r="E79" s="506">
        <v>0</v>
      </c>
      <c r="F79" s="478">
        <f t="shared" si="8"/>
        <v>0</v>
      </c>
      <c r="G79" s="512">
        <v>0</v>
      </c>
      <c r="H79" s="478">
        <f t="shared" si="9"/>
        <v>0</v>
      </c>
    </row>
    <row r="80" spans="1:8" ht="15" customHeight="1">
      <c r="A80" s="460"/>
      <c r="B80" s="464" t="s">
        <v>810</v>
      </c>
      <c r="C80" s="461" t="s">
        <v>69</v>
      </c>
      <c r="D80" s="456">
        <v>185</v>
      </c>
      <c r="E80" s="501">
        <v>0</v>
      </c>
      <c r="F80" s="462">
        <f t="shared" si="8"/>
        <v>0</v>
      </c>
      <c r="G80" s="508">
        <v>0</v>
      </c>
      <c r="H80" s="452">
        <f t="shared" si="9"/>
        <v>0</v>
      </c>
    </row>
    <row r="81" spans="1:8" ht="15" customHeight="1">
      <c r="A81" s="460"/>
      <c r="B81" s="464" t="s">
        <v>809</v>
      </c>
      <c r="C81" s="461" t="s">
        <v>69</v>
      </c>
      <c r="D81" s="456">
        <v>390</v>
      </c>
      <c r="E81" s="501">
        <v>0</v>
      </c>
      <c r="F81" s="462">
        <f t="shared" si="8"/>
        <v>0</v>
      </c>
      <c r="G81" s="508">
        <v>0</v>
      </c>
      <c r="H81" s="452">
        <f t="shared" si="9"/>
        <v>0</v>
      </c>
    </row>
    <row r="82" spans="1:8" ht="15" customHeight="1">
      <c r="A82" s="460"/>
      <c r="B82" s="464" t="s">
        <v>808</v>
      </c>
      <c r="C82" s="461" t="s">
        <v>69</v>
      </c>
      <c r="D82" s="456">
        <v>245</v>
      </c>
      <c r="E82" s="501">
        <v>0</v>
      </c>
      <c r="F82" s="462">
        <f t="shared" si="8"/>
        <v>0</v>
      </c>
      <c r="G82" s="508">
        <v>0</v>
      </c>
      <c r="H82" s="452">
        <f t="shared" si="9"/>
        <v>0</v>
      </c>
    </row>
    <row r="83" spans="1:8" ht="15" customHeight="1">
      <c r="A83" s="460"/>
      <c r="B83" s="464" t="s">
        <v>807</v>
      </c>
      <c r="C83" s="461" t="s">
        <v>143</v>
      </c>
      <c r="D83" s="456">
        <v>19</v>
      </c>
      <c r="E83" s="501">
        <v>0</v>
      </c>
      <c r="F83" s="462">
        <f t="shared" si="8"/>
        <v>0</v>
      </c>
      <c r="G83" s="508">
        <v>0</v>
      </c>
      <c r="H83" s="452">
        <f t="shared" si="9"/>
        <v>0</v>
      </c>
    </row>
    <row r="84" spans="1:8" ht="15" customHeight="1">
      <c r="A84" s="460"/>
      <c r="B84" s="464" t="s">
        <v>806</v>
      </c>
      <c r="C84" s="461" t="s">
        <v>143</v>
      </c>
      <c r="D84" s="456">
        <v>8</v>
      </c>
      <c r="E84" s="501">
        <v>0</v>
      </c>
      <c r="F84" s="462">
        <f t="shared" si="8"/>
        <v>0</v>
      </c>
      <c r="G84" s="508">
        <v>0</v>
      </c>
      <c r="H84" s="452">
        <f t="shared" si="9"/>
        <v>0</v>
      </c>
    </row>
    <row r="85" spans="1:8" ht="15" customHeight="1">
      <c r="A85" s="460"/>
      <c r="B85" s="464" t="s">
        <v>805</v>
      </c>
      <c r="C85" s="461" t="s">
        <v>143</v>
      </c>
      <c r="D85" s="456">
        <v>8</v>
      </c>
      <c r="E85" s="501">
        <v>0</v>
      </c>
      <c r="F85" s="462">
        <f t="shared" si="8"/>
        <v>0</v>
      </c>
      <c r="G85" s="508">
        <v>0</v>
      </c>
      <c r="H85" s="452">
        <f t="shared" si="9"/>
        <v>0</v>
      </c>
    </row>
    <row r="86" spans="1:8" ht="15" customHeight="1">
      <c r="A86" s="460"/>
      <c r="B86" s="464" t="s">
        <v>804</v>
      </c>
      <c r="C86" s="461" t="s">
        <v>69</v>
      </c>
      <c r="D86" s="456">
        <v>190</v>
      </c>
      <c r="E86" s="501">
        <v>0</v>
      </c>
      <c r="F86" s="462">
        <f t="shared" si="8"/>
        <v>0</v>
      </c>
      <c r="G86" s="508">
        <v>0</v>
      </c>
      <c r="H86" s="452">
        <f t="shared" si="9"/>
        <v>0</v>
      </c>
    </row>
    <row r="87" spans="1:8" ht="15" customHeight="1">
      <c r="A87" s="460"/>
      <c r="B87" s="464" t="s">
        <v>803</v>
      </c>
      <c r="C87" s="461" t="s">
        <v>69</v>
      </c>
      <c r="D87" s="456">
        <v>85</v>
      </c>
      <c r="E87" s="501">
        <v>0</v>
      </c>
      <c r="F87" s="462">
        <f t="shared" si="8"/>
        <v>0</v>
      </c>
      <c r="G87" s="508">
        <v>0</v>
      </c>
      <c r="H87" s="452">
        <f t="shared" si="9"/>
        <v>0</v>
      </c>
    </row>
    <row r="88" spans="1:8" ht="15" customHeight="1">
      <c r="A88" s="460"/>
      <c r="B88" s="466" t="s">
        <v>802</v>
      </c>
      <c r="C88" s="451" t="s">
        <v>143</v>
      </c>
      <c r="D88" s="452">
        <v>1</v>
      </c>
      <c r="E88" s="501">
        <v>0</v>
      </c>
      <c r="F88" s="462">
        <f t="shared" si="8"/>
        <v>0</v>
      </c>
      <c r="G88" s="508">
        <v>0</v>
      </c>
      <c r="H88" s="452">
        <f t="shared" si="9"/>
        <v>0</v>
      </c>
    </row>
    <row r="89" spans="1:8" ht="15" customHeight="1">
      <c r="A89" s="460"/>
      <c r="B89" s="466" t="s">
        <v>801</v>
      </c>
      <c r="C89" s="451" t="s">
        <v>143</v>
      </c>
      <c r="D89" s="452">
        <v>10</v>
      </c>
      <c r="E89" s="501">
        <v>0</v>
      </c>
      <c r="F89" s="462">
        <f t="shared" si="8"/>
        <v>0</v>
      </c>
      <c r="G89" s="508">
        <v>0</v>
      </c>
      <c r="H89" s="452">
        <f t="shared" si="9"/>
        <v>0</v>
      </c>
    </row>
    <row r="90" spans="1:8" ht="15" customHeight="1">
      <c r="A90" s="460"/>
      <c r="B90" s="450" t="s">
        <v>800</v>
      </c>
      <c r="C90" s="479" t="s">
        <v>796</v>
      </c>
      <c r="D90" s="452">
        <v>1</v>
      </c>
      <c r="E90" s="501">
        <v>0</v>
      </c>
      <c r="F90" s="452">
        <f t="shared" si="8"/>
        <v>0</v>
      </c>
      <c r="G90" s="508">
        <v>0</v>
      </c>
      <c r="H90" s="452">
        <f t="shared" si="9"/>
        <v>0</v>
      </c>
    </row>
    <row r="91" spans="1:8" ht="15" customHeight="1">
      <c r="A91" s="460"/>
      <c r="B91" s="450" t="s">
        <v>799</v>
      </c>
      <c r="C91" s="479" t="s">
        <v>796</v>
      </c>
      <c r="D91" s="452">
        <v>1</v>
      </c>
      <c r="E91" s="501">
        <v>0</v>
      </c>
      <c r="F91" s="452">
        <f t="shared" si="8"/>
        <v>0</v>
      </c>
      <c r="G91" s="508">
        <v>0</v>
      </c>
      <c r="H91" s="452">
        <f t="shared" si="9"/>
        <v>0</v>
      </c>
    </row>
    <row r="92" spans="1:8" ht="15" customHeight="1" thickBot="1">
      <c r="A92" s="480"/>
      <c r="B92" s="481" t="s">
        <v>798</v>
      </c>
      <c r="C92" s="482" t="s">
        <v>796</v>
      </c>
      <c r="D92" s="483">
        <v>1</v>
      </c>
      <c r="E92" s="501">
        <v>0</v>
      </c>
      <c r="F92" s="484">
        <f t="shared" si="8"/>
        <v>0</v>
      </c>
      <c r="G92" s="508">
        <v>0</v>
      </c>
      <c r="H92" s="483">
        <f t="shared" si="9"/>
        <v>0</v>
      </c>
    </row>
    <row r="93" spans="1:8" ht="15" customHeight="1" thickBot="1">
      <c r="A93" s="480"/>
      <c r="B93" s="481" t="s">
        <v>797</v>
      </c>
      <c r="C93" s="482" t="s">
        <v>796</v>
      </c>
      <c r="D93" s="483">
        <v>1</v>
      </c>
      <c r="E93" s="501">
        <v>0</v>
      </c>
      <c r="F93" s="484">
        <f t="shared" si="8"/>
        <v>0</v>
      </c>
      <c r="G93" s="508">
        <v>0</v>
      </c>
      <c r="H93" s="483">
        <f t="shared" si="9"/>
        <v>0</v>
      </c>
    </row>
    <row r="94" spans="1:8" ht="18" customHeight="1">
      <c r="A94" s="485"/>
      <c r="B94" s="486"/>
      <c r="C94" s="486"/>
      <c r="D94" s="486"/>
      <c r="E94" s="487"/>
      <c r="F94" s="487">
        <f>SUM(F9:F93)</f>
        <v>0</v>
      </c>
      <c r="G94" s="488"/>
      <c r="H94" s="488">
        <f>SUM(H9:H93)</f>
        <v>0</v>
      </c>
    </row>
    <row r="95" spans="1:8" s="493" customFormat="1" ht="26.25" customHeight="1" thickBot="1">
      <c r="A95" s="489"/>
      <c r="B95" s="490" t="s">
        <v>795</v>
      </c>
      <c r="C95" s="490"/>
      <c r="D95" s="490"/>
      <c r="E95" s="491">
        <f>SUM(F94+H94)</f>
        <v>0</v>
      </c>
      <c r="F95" s="492"/>
      <c r="G95" s="492"/>
      <c r="H95" s="492"/>
    </row>
    <row r="96" spans="1:8" ht="15">
      <c r="A96" s="494" t="s">
        <v>794</v>
      </c>
      <c r="B96" s="495"/>
      <c r="C96" s="495"/>
      <c r="D96" s="495"/>
      <c r="E96" s="495"/>
      <c r="F96" s="495"/>
      <c r="G96" s="495"/>
      <c r="H96" s="495"/>
    </row>
    <row r="97" spans="1:8" ht="15">
      <c r="A97" s="496"/>
      <c r="B97" s="497"/>
      <c r="C97" s="498"/>
      <c r="D97" s="499"/>
      <c r="E97" s="499"/>
      <c r="F97" s="499"/>
      <c r="G97" s="499"/>
      <c r="H97" s="499"/>
    </row>
    <row r="98" spans="1:8" ht="15">
      <c r="A98" s="496"/>
      <c r="B98" s="497"/>
      <c r="C98" s="498"/>
      <c r="D98" s="499"/>
      <c r="E98" s="499"/>
      <c r="F98" s="499"/>
      <c r="G98" s="499"/>
      <c r="H98" s="499"/>
    </row>
    <row r="99" spans="1:8" ht="15">
      <c r="A99" s="496"/>
      <c r="B99" s="497"/>
      <c r="C99" s="498"/>
      <c r="D99" s="499"/>
      <c r="E99" s="499"/>
      <c r="F99" s="499"/>
      <c r="G99" s="499"/>
      <c r="H99" s="499"/>
    </row>
    <row r="100" spans="1:8" ht="15">
      <c r="A100" s="496"/>
      <c r="B100" s="497"/>
      <c r="C100" s="498"/>
      <c r="D100" s="499"/>
      <c r="E100" s="499"/>
      <c r="F100" s="499"/>
      <c r="G100" s="499"/>
      <c r="H100" s="499"/>
    </row>
    <row r="101" spans="1:8" ht="15">
      <c r="A101" s="496"/>
      <c r="B101" s="497"/>
      <c r="C101" s="498"/>
      <c r="D101" s="499"/>
      <c r="E101" s="499"/>
      <c r="F101" s="499"/>
      <c r="G101" s="499"/>
      <c r="H101" s="499"/>
    </row>
    <row r="102" spans="1:8" ht="15">
      <c r="A102" s="496"/>
      <c r="B102" s="497"/>
      <c r="C102" s="498"/>
      <c r="D102" s="499"/>
      <c r="E102" s="499"/>
      <c r="F102" s="499"/>
      <c r="G102" s="499"/>
      <c r="H102" s="499"/>
    </row>
    <row r="103" spans="1:8" ht="15">
      <c r="A103" s="496"/>
      <c r="B103" s="497"/>
      <c r="C103" s="498"/>
      <c r="D103" s="499"/>
      <c r="E103" s="499"/>
      <c r="F103" s="499"/>
      <c r="G103" s="499"/>
      <c r="H103" s="499"/>
    </row>
    <row r="104" spans="1:8" ht="15">
      <c r="A104" s="496"/>
      <c r="B104" s="497"/>
      <c r="C104" s="498"/>
      <c r="D104" s="499"/>
      <c r="E104" s="499"/>
      <c r="F104" s="499"/>
      <c r="G104" s="499"/>
      <c r="H104" s="499"/>
    </row>
    <row r="105" spans="1:8" ht="15">
      <c r="A105" s="496"/>
      <c r="B105" s="497"/>
      <c r="C105" s="498"/>
      <c r="D105" s="499"/>
      <c r="E105" s="499"/>
      <c r="F105" s="499"/>
      <c r="G105" s="499"/>
      <c r="H105" s="499"/>
    </row>
    <row r="106" spans="1:8" ht="15">
      <c r="A106" s="496"/>
      <c r="B106" s="497"/>
      <c r="C106" s="498"/>
      <c r="D106" s="499"/>
      <c r="E106" s="499"/>
      <c r="F106" s="499"/>
      <c r="G106" s="499"/>
      <c r="H106" s="499"/>
    </row>
    <row r="107" spans="1:8" ht="15">
      <c r="A107" s="496"/>
      <c r="B107" s="497"/>
      <c r="C107" s="498"/>
      <c r="D107" s="499"/>
      <c r="E107" s="499"/>
      <c r="F107" s="499"/>
      <c r="G107" s="499"/>
      <c r="H107" s="499"/>
    </row>
    <row r="108" spans="1:8" ht="15">
      <c r="A108" s="496"/>
      <c r="B108" s="497"/>
      <c r="C108" s="498"/>
      <c r="D108" s="499"/>
      <c r="E108" s="499"/>
      <c r="F108" s="499"/>
      <c r="G108" s="499"/>
      <c r="H108" s="499"/>
    </row>
    <row r="109" spans="1:8" ht="15">
      <c r="A109" s="496"/>
      <c r="B109" s="497"/>
      <c r="C109" s="498"/>
      <c r="D109" s="499"/>
      <c r="E109" s="499"/>
      <c r="F109" s="499"/>
      <c r="G109" s="499"/>
      <c r="H109" s="499"/>
    </row>
    <row r="110" spans="1:8" ht="15">
      <c r="A110" s="496"/>
      <c r="B110" s="497"/>
      <c r="C110" s="498"/>
      <c r="D110" s="499"/>
      <c r="E110" s="499"/>
      <c r="F110" s="499"/>
      <c r="G110" s="499"/>
      <c r="H110" s="499"/>
    </row>
    <row r="111" spans="1:8" ht="15">
      <c r="A111" s="496"/>
      <c r="B111" s="497"/>
      <c r="C111" s="498"/>
      <c r="D111" s="499"/>
      <c r="E111" s="499"/>
      <c r="F111" s="499"/>
      <c r="G111" s="499"/>
      <c r="H111" s="499"/>
    </row>
    <row r="112" spans="1:8" ht="15">
      <c r="A112" s="496"/>
      <c r="B112" s="497"/>
      <c r="C112" s="498"/>
      <c r="D112" s="499"/>
      <c r="E112" s="499"/>
      <c r="F112" s="499"/>
      <c r="G112" s="499"/>
      <c r="H112" s="499"/>
    </row>
    <row r="113" spans="1:8" ht="15">
      <c r="A113" s="496"/>
      <c r="B113" s="497"/>
      <c r="C113" s="498"/>
      <c r="D113" s="499"/>
      <c r="E113" s="499"/>
      <c r="F113" s="499"/>
      <c r="G113" s="499"/>
      <c r="H113" s="499"/>
    </row>
    <row r="114" spans="1:8" ht="15">
      <c r="A114" s="496"/>
      <c r="B114" s="497"/>
      <c r="C114" s="498"/>
      <c r="D114" s="499"/>
      <c r="E114" s="499"/>
      <c r="F114" s="499"/>
      <c r="G114" s="499"/>
      <c r="H114" s="499"/>
    </row>
    <row r="115" spans="1:8" ht="15">
      <c r="A115" s="496"/>
      <c r="B115" s="497"/>
      <c r="C115" s="498"/>
      <c r="D115" s="499"/>
      <c r="E115" s="499"/>
      <c r="F115" s="499"/>
      <c r="G115" s="499"/>
      <c r="H115" s="499"/>
    </row>
    <row r="116" spans="1:8" ht="15">
      <c r="A116" s="496"/>
      <c r="B116" s="497"/>
      <c r="C116" s="498"/>
      <c r="D116" s="499"/>
      <c r="E116" s="499"/>
      <c r="F116" s="499"/>
      <c r="G116" s="499"/>
      <c r="H116" s="499"/>
    </row>
    <row r="117" spans="1:8" ht="15">
      <c r="A117" s="496"/>
      <c r="B117" s="497"/>
      <c r="C117" s="498"/>
      <c r="D117" s="499"/>
      <c r="E117" s="499"/>
      <c r="F117" s="499"/>
      <c r="G117" s="499"/>
      <c r="H117" s="499"/>
    </row>
    <row r="118" spans="1:8" ht="15">
      <c r="A118" s="496"/>
      <c r="B118" s="497"/>
      <c r="C118" s="498"/>
      <c r="D118" s="499"/>
      <c r="E118" s="499"/>
      <c r="F118" s="499"/>
      <c r="G118" s="499"/>
      <c r="H118" s="499"/>
    </row>
    <row r="119" spans="1:8" ht="15">
      <c r="A119" s="496"/>
      <c r="B119" s="497"/>
      <c r="C119" s="498"/>
      <c r="D119" s="499"/>
      <c r="E119" s="499"/>
      <c r="F119" s="499"/>
      <c r="G119" s="499"/>
      <c r="H119" s="499"/>
    </row>
    <row r="120" spans="1:8" ht="15">
      <c r="A120" s="496"/>
      <c r="B120" s="497"/>
      <c r="C120" s="498"/>
      <c r="D120" s="499"/>
      <c r="E120" s="499"/>
      <c r="F120" s="499"/>
      <c r="G120" s="499"/>
      <c r="H120" s="499"/>
    </row>
    <row r="121" spans="1:8" ht="15">
      <c r="A121" s="496"/>
      <c r="B121" s="497"/>
      <c r="C121" s="498"/>
      <c r="D121" s="499"/>
      <c r="E121" s="499"/>
      <c r="F121" s="499"/>
      <c r="G121" s="499"/>
      <c r="H121" s="499"/>
    </row>
    <row r="122" spans="1:8" ht="15">
      <c r="A122" s="496"/>
      <c r="B122" s="497"/>
      <c r="C122" s="498"/>
      <c r="D122" s="499"/>
      <c r="E122" s="499"/>
      <c r="F122" s="499"/>
      <c r="G122" s="499"/>
      <c r="H122" s="499"/>
    </row>
    <row r="123" spans="1:8" ht="15">
      <c r="A123" s="496"/>
      <c r="B123" s="497"/>
      <c r="C123" s="498"/>
      <c r="D123" s="499"/>
      <c r="E123" s="499"/>
      <c r="F123" s="499"/>
      <c r="G123" s="499"/>
      <c r="H123" s="499"/>
    </row>
    <row r="124" spans="1:8" ht="15">
      <c r="A124" s="496"/>
      <c r="B124" s="497"/>
      <c r="C124" s="498"/>
      <c r="D124" s="499"/>
      <c r="E124" s="499"/>
      <c r="F124" s="499"/>
      <c r="G124" s="499"/>
      <c r="H124" s="499"/>
    </row>
    <row r="125" spans="1:8" ht="15">
      <c r="A125" s="496"/>
      <c r="B125" s="497"/>
      <c r="C125" s="498"/>
      <c r="D125" s="499"/>
      <c r="E125" s="499"/>
      <c r="F125" s="499"/>
      <c r="G125" s="499"/>
      <c r="H125" s="499"/>
    </row>
    <row r="126" spans="1:8" ht="15">
      <c r="A126" s="496"/>
      <c r="B126" s="497"/>
      <c r="C126" s="498"/>
      <c r="D126" s="499"/>
      <c r="E126" s="499"/>
      <c r="F126" s="499"/>
      <c r="G126" s="499"/>
      <c r="H126" s="499"/>
    </row>
    <row r="127" spans="1:8" ht="15">
      <c r="A127" s="496"/>
      <c r="B127" s="497"/>
      <c r="C127" s="498"/>
      <c r="D127" s="499"/>
      <c r="E127" s="499"/>
      <c r="F127" s="499"/>
      <c r="G127" s="499"/>
      <c r="H127" s="499"/>
    </row>
    <row r="128" spans="1:8" ht="15">
      <c r="A128" s="496"/>
      <c r="B128" s="497"/>
      <c r="C128" s="498"/>
      <c r="D128" s="499"/>
      <c r="E128" s="499"/>
      <c r="F128" s="499"/>
      <c r="G128" s="499"/>
      <c r="H128" s="499"/>
    </row>
    <row r="129" spans="1:8" ht="15">
      <c r="A129" s="496"/>
      <c r="B129" s="497"/>
      <c r="C129" s="498"/>
      <c r="D129" s="499"/>
      <c r="E129" s="499"/>
      <c r="F129" s="499"/>
      <c r="G129" s="499"/>
      <c r="H129" s="499"/>
    </row>
    <row r="130" spans="1:8" ht="15">
      <c r="A130" s="496"/>
      <c r="B130" s="497"/>
      <c r="C130" s="498"/>
      <c r="D130" s="499"/>
      <c r="E130" s="499"/>
      <c r="F130" s="499"/>
      <c r="G130" s="499"/>
      <c r="H130" s="499"/>
    </row>
    <row r="131" spans="1:8" ht="15">
      <c r="A131" s="496"/>
      <c r="B131" s="497"/>
      <c r="C131" s="498"/>
      <c r="D131" s="499"/>
      <c r="E131" s="499"/>
      <c r="F131" s="499"/>
      <c r="G131" s="499"/>
      <c r="H131" s="499"/>
    </row>
    <row r="132" spans="1:8" ht="15">
      <c r="A132" s="496"/>
      <c r="B132" s="497"/>
      <c r="C132" s="498"/>
      <c r="D132" s="499"/>
      <c r="E132" s="499"/>
      <c r="F132" s="499"/>
      <c r="G132" s="499"/>
      <c r="H132" s="499"/>
    </row>
    <row r="133" spans="1:8" ht="15">
      <c r="A133" s="496"/>
      <c r="B133" s="497"/>
      <c r="C133" s="498"/>
      <c r="D133" s="499"/>
      <c r="E133" s="499"/>
      <c r="F133" s="499"/>
      <c r="G133" s="499"/>
      <c r="H133" s="499"/>
    </row>
    <row r="134" spans="1:8" ht="15">
      <c r="A134" s="496"/>
      <c r="B134" s="497"/>
      <c r="C134" s="498"/>
      <c r="D134" s="499"/>
      <c r="E134" s="499"/>
      <c r="F134" s="499"/>
      <c r="G134" s="499"/>
      <c r="H134" s="499"/>
    </row>
    <row r="135" spans="1:8" ht="15">
      <c r="A135" s="496"/>
      <c r="B135" s="497"/>
      <c r="C135" s="498"/>
      <c r="D135" s="499"/>
      <c r="E135" s="499"/>
      <c r="F135" s="499"/>
      <c r="G135" s="499"/>
      <c r="H135" s="499"/>
    </row>
    <row r="136" spans="1:8" ht="15">
      <c r="A136" s="496"/>
      <c r="B136" s="497"/>
      <c r="C136" s="498"/>
      <c r="D136" s="499"/>
      <c r="E136" s="499"/>
      <c r="F136" s="499"/>
      <c r="G136" s="499"/>
      <c r="H136" s="499"/>
    </row>
    <row r="137" spans="1:8" ht="15">
      <c r="A137" s="496"/>
      <c r="B137" s="497"/>
      <c r="C137" s="498"/>
      <c r="D137" s="499"/>
      <c r="E137" s="499"/>
      <c r="F137" s="499"/>
      <c r="G137" s="499"/>
      <c r="H137" s="499"/>
    </row>
    <row r="138" spans="1:8" ht="15">
      <c r="A138" s="496"/>
      <c r="B138" s="497"/>
      <c r="C138" s="498"/>
      <c r="D138" s="499"/>
      <c r="E138" s="499"/>
      <c r="F138" s="499"/>
      <c r="G138" s="499"/>
      <c r="H138" s="499"/>
    </row>
    <row r="139" spans="1:8" ht="15">
      <c r="A139" s="496"/>
      <c r="B139" s="497"/>
      <c r="C139" s="498"/>
      <c r="D139" s="499"/>
      <c r="E139" s="499"/>
      <c r="F139" s="499"/>
      <c r="G139" s="499"/>
      <c r="H139" s="499"/>
    </row>
    <row r="140" spans="1:8" ht="15">
      <c r="A140" s="496"/>
      <c r="B140" s="497"/>
      <c r="C140" s="498"/>
      <c r="D140" s="499"/>
      <c r="E140" s="499"/>
      <c r="F140" s="499"/>
      <c r="G140" s="499"/>
      <c r="H140" s="499"/>
    </row>
    <row r="141" spans="1:8" ht="15">
      <c r="A141" s="496"/>
      <c r="B141" s="497"/>
      <c r="C141" s="498"/>
      <c r="D141" s="499"/>
      <c r="E141" s="499"/>
      <c r="F141" s="499"/>
      <c r="G141" s="499"/>
      <c r="H141" s="499"/>
    </row>
    <row r="142" spans="1:8" ht="15">
      <c r="A142" s="496"/>
      <c r="B142" s="497"/>
      <c r="C142" s="498"/>
      <c r="D142" s="499"/>
      <c r="E142" s="499"/>
      <c r="F142" s="499"/>
      <c r="G142" s="499"/>
      <c r="H142" s="499"/>
    </row>
    <row r="143" spans="1:8" ht="15">
      <c r="A143" s="496"/>
      <c r="B143" s="497"/>
      <c r="C143" s="498"/>
      <c r="D143" s="499"/>
      <c r="E143" s="499"/>
      <c r="F143" s="499"/>
      <c r="G143" s="499"/>
      <c r="H143" s="499"/>
    </row>
    <row r="144" spans="1:8" ht="15">
      <c r="A144" s="496"/>
      <c r="B144" s="497"/>
      <c r="C144" s="498"/>
      <c r="D144" s="499"/>
      <c r="E144" s="499"/>
      <c r="F144" s="499"/>
      <c r="G144" s="499"/>
      <c r="H144" s="499"/>
    </row>
    <row r="145" spans="1:8" ht="15">
      <c r="A145" s="496"/>
      <c r="B145" s="497"/>
      <c r="C145" s="498"/>
      <c r="D145" s="499"/>
      <c r="E145" s="499"/>
      <c r="F145" s="499"/>
      <c r="G145" s="499"/>
      <c r="H145" s="499"/>
    </row>
    <row r="146" spans="1:8" ht="15">
      <c r="A146" s="496"/>
      <c r="B146" s="497"/>
      <c r="C146" s="498"/>
      <c r="D146" s="499"/>
      <c r="E146" s="499"/>
      <c r="F146" s="499"/>
      <c r="G146" s="499"/>
      <c r="H146" s="499"/>
    </row>
    <row r="147" spans="1:8" ht="15">
      <c r="A147" s="496"/>
      <c r="B147" s="497"/>
      <c r="C147" s="498"/>
      <c r="D147" s="499"/>
      <c r="E147" s="499"/>
      <c r="F147" s="499"/>
      <c r="G147" s="499"/>
      <c r="H147" s="499"/>
    </row>
    <row r="148" spans="1:8" ht="15">
      <c r="A148" s="496"/>
      <c r="B148" s="497"/>
      <c r="C148" s="498"/>
      <c r="D148" s="499"/>
      <c r="E148" s="499"/>
      <c r="F148" s="499"/>
      <c r="G148" s="499"/>
      <c r="H148" s="499"/>
    </row>
    <row r="149" spans="1:8" ht="15">
      <c r="A149" s="496"/>
      <c r="B149" s="497"/>
      <c r="C149" s="498"/>
      <c r="D149" s="499"/>
      <c r="E149" s="499"/>
      <c r="F149" s="499"/>
      <c r="G149" s="499"/>
      <c r="H149" s="499"/>
    </row>
    <row r="150" spans="1:8" ht="15">
      <c r="A150" s="496"/>
      <c r="B150" s="497"/>
      <c r="C150" s="498"/>
      <c r="D150" s="499"/>
      <c r="E150" s="499"/>
      <c r="F150" s="499"/>
      <c r="G150" s="499"/>
      <c r="H150" s="499"/>
    </row>
    <row r="151" spans="1:8" ht="15">
      <c r="A151" s="496"/>
      <c r="B151" s="497"/>
      <c r="C151" s="498"/>
      <c r="D151" s="499"/>
      <c r="E151" s="499"/>
      <c r="F151" s="499"/>
      <c r="G151" s="499"/>
      <c r="H151" s="499"/>
    </row>
    <row r="152" spans="1:8" ht="15">
      <c r="A152" s="496"/>
      <c r="B152" s="497"/>
      <c r="C152" s="498"/>
      <c r="D152" s="499"/>
      <c r="E152" s="499"/>
      <c r="F152" s="499"/>
      <c r="G152" s="499"/>
      <c r="H152" s="499"/>
    </row>
    <row r="153" spans="1:8" ht="15">
      <c r="A153" s="496"/>
      <c r="B153" s="497"/>
      <c r="C153" s="498"/>
      <c r="D153" s="499"/>
      <c r="E153" s="499"/>
      <c r="F153" s="499"/>
      <c r="G153" s="499"/>
      <c r="H153" s="499"/>
    </row>
    <row r="154" spans="1:8" ht="15">
      <c r="A154" s="496"/>
      <c r="B154" s="497"/>
      <c r="C154" s="498"/>
      <c r="D154" s="499"/>
      <c r="E154" s="499"/>
      <c r="F154" s="499"/>
      <c r="G154" s="499"/>
      <c r="H154" s="499"/>
    </row>
    <row r="155" spans="1:8" ht="15">
      <c r="A155" s="496"/>
      <c r="B155" s="497"/>
      <c r="C155" s="498"/>
      <c r="D155" s="499"/>
      <c r="E155" s="499"/>
      <c r="F155" s="499"/>
      <c r="G155" s="499"/>
      <c r="H155" s="499"/>
    </row>
    <row r="156" spans="1:8" ht="15">
      <c r="A156" s="496"/>
      <c r="B156" s="497"/>
      <c r="C156" s="498"/>
      <c r="D156" s="499"/>
      <c r="E156" s="499"/>
      <c r="F156" s="499"/>
      <c r="G156" s="499"/>
      <c r="H156" s="499"/>
    </row>
    <row r="157" spans="1:8" ht="15">
      <c r="A157" s="496"/>
      <c r="B157" s="497"/>
      <c r="C157" s="498"/>
      <c r="D157" s="499"/>
      <c r="E157" s="499"/>
      <c r="F157" s="499"/>
      <c r="G157" s="499"/>
      <c r="H157" s="499"/>
    </row>
    <row r="158" spans="1:8" ht="15">
      <c r="A158" s="496"/>
      <c r="B158" s="497"/>
      <c r="C158" s="498"/>
      <c r="D158" s="499"/>
      <c r="E158" s="499"/>
      <c r="F158" s="499"/>
      <c r="G158" s="499"/>
      <c r="H158" s="499"/>
    </row>
    <row r="159" spans="1:8" ht="15">
      <c r="A159" s="496"/>
      <c r="B159" s="497"/>
      <c r="C159" s="498"/>
      <c r="D159" s="499"/>
      <c r="E159" s="499"/>
      <c r="F159" s="499"/>
      <c r="G159" s="499"/>
      <c r="H159" s="499"/>
    </row>
    <row r="160" spans="1:8" ht="15">
      <c r="A160" s="496"/>
      <c r="B160" s="497"/>
      <c r="C160" s="498"/>
      <c r="D160" s="499"/>
      <c r="E160" s="499"/>
      <c r="F160" s="499"/>
      <c r="G160" s="499"/>
      <c r="H160" s="499"/>
    </row>
    <row r="161" spans="1:8" ht="15">
      <c r="A161" s="496"/>
      <c r="B161" s="497"/>
      <c r="C161" s="498"/>
      <c r="D161" s="499"/>
      <c r="E161" s="499"/>
      <c r="F161" s="499"/>
      <c r="G161" s="499"/>
      <c r="H161" s="499"/>
    </row>
    <row r="162" spans="1:8" ht="15">
      <c r="A162" s="496"/>
      <c r="B162" s="497"/>
      <c r="C162" s="498"/>
      <c r="D162" s="499"/>
      <c r="E162" s="499"/>
      <c r="F162" s="499"/>
      <c r="G162" s="499"/>
      <c r="H162" s="499"/>
    </row>
    <row r="163" spans="1:8" ht="15">
      <c r="A163" s="496"/>
      <c r="B163" s="497"/>
      <c r="C163" s="498"/>
      <c r="D163" s="499"/>
      <c r="E163" s="499"/>
      <c r="F163" s="499"/>
      <c r="G163" s="499"/>
      <c r="H163" s="499"/>
    </row>
    <row r="164" spans="1:8" ht="15">
      <c r="A164" s="496"/>
      <c r="B164" s="497"/>
      <c r="C164" s="498"/>
      <c r="D164" s="499"/>
      <c r="E164" s="499"/>
      <c r="F164" s="499"/>
      <c r="G164" s="499"/>
      <c r="H164" s="499"/>
    </row>
    <row r="165" spans="1:8" ht="15">
      <c r="A165" s="496"/>
      <c r="B165" s="497"/>
      <c r="C165" s="498"/>
      <c r="D165" s="499"/>
      <c r="E165" s="499"/>
      <c r="F165" s="499"/>
      <c r="G165" s="499"/>
      <c r="H165" s="499"/>
    </row>
    <row r="166" spans="1:8" ht="15">
      <c r="A166" s="496"/>
      <c r="B166" s="497"/>
      <c r="C166" s="498"/>
      <c r="D166" s="499"/>
      <c r="E166" s="499"/>
      <c r="F166" s="499"/>
      <c r="G166" s="499"/>
      <c r="H166" s="499"/>
    </row>
    <row r="167" spans="1:8" ht="15">
      <c r="A167" s="496"/>
      <c r="B167" s="497"/>
      <c r="C167" s="498"/>
      <c r="D167" s="499"/>
      <c r="E167" s="499"/>
      <c r="F167" s="499"/>
      <c r="G167" s="499"/>
      <c r="H167" s="499"/>
    </row>
    <row r="168" spans="1:8" ht="15">
      <c r="A168" s="496"/>
      <c r="B168" s="497"/>
      <c r="C168" s="498"/>
      <c r="D168" s="499"/>
      <c r="E168" s="499"/>
      <c r="F168" s="499"/>
      <c r="G168" s="499"/>
      <c r="H168" s="499"/>
    </row>
    <row r="169" spans="1:8" ht="15">
      <c r="A169" s="496"/>
      <c r="B169" s="497"/>
      <c r="C169" s="498"/>
      <c r="D169" s="499"/>
      <c r="E169" s="499"/>
      <c r="F169" s="499"/>
      <c r="G169" s="499"/>
      <c r="H169" s="499"/>
    </row>
    <row r="170" spans="1:8" ht="15">
      <c r="A170" s="496"/>
      <c r="B170" s="497"/>
      <c r="C170" s="498"/>
      <c r="D170" s="499"/>
      <c r="E170" s="499"/>
      <c r="F170" s="499"/>
      <c r="G170" s="499"/>
      <c r="H170" s="499"/>
    </row>
    <row r="171" spans="1:8" ht="15">
      <c r="A171" s="496"/>
      <c r="B171" s="497"/>
      <c r="C171" s="498"/>
      <c r="D171" s="499"/>
      <c r="E171" s="499"/>
      <c r="F171" s="499"/>
      <c r="G171" s="499"/>
      <c r="H171" s="499"/>
    </row>
    <row r="172" spans="1:8" ht="15">
      <c r="A172" s="496"/>
      <c r="B172" s="497"/>
      <c r="C172" s="498"/>
      <c r="D172" s="499"/>
      <c r="E172" s="499"/>
      <c r="F172" s="499"/>
      <c r="G172" s="499"/>
      <c r="H172" s="499"/>
    </row>
    <row r="173" spans="1:8" ht="15">
      <c r="A173" s="496"/>
      <c r="B173" s="497"/>
      <c r="C173" s="498"/>
      <c r="D173" s="499"/>
      <c r="E173" s="499"/>
      <c r="F173" s="499"/>
      <c r="G173" s="499"/>
      <c r="H173" s="499"/>
    </row>
    <row r="174" spans="1:8" ht="15">
      <c r="A174" s="496"/>
      <c r="B174" s="497"/>
      <c r="C174" s="498"/>
      <c r="D174" s="499"/>
      <c r="E174" s="499"/>
      <c r="F174" s="499"/>
      <c r="G174" s="499"/>
      <c r="H174" s="499"/>
    </row>
    <row r="175" spans="1:8" ht="15">
      <c r="A175" s="496"/>
      <c r="B175" s="497"/>
      <c r="C175" s="498"/>
      <c r="D175" s="499"/>
      <c r="E175" s="499"/>
      <c r="F175" s="499"/>
      <c r="G175" s="499"/>
      <c r="H175" s="499"/>
    </row>
    <row r="176" spans="1:8" ht="15">
      <c r="A176" s="496"/>
      <c r="B176" s="497"/>
      <c r="C176" s="498"/>
      <c r="D176" s="499"/>
      <c r="E176" s="499"/>
      <c r="F176" s="499"/>
      <c r="G176" s="499"/>
      <c r="H176" s="499"/>
    </row>
    <row r="177" spans="1:8" ht="15">
      <c r="A177" s="496"/>
      <c r="B177" s="497"/>
      <c r="C177" s="498"/>
      <c r="D177" s="499"/>
      <c r="E177" s="499"/>
      <c r="F177" s="499"/>
      <c r="G177" s="499"/>
      <c r="H177" s="499"/>
    </row>
    <row r="178" spans="1:8" ht="15">
      <c r="A178" s="496"/>
      <c r="B178" s="497"/>
      <c r="C178" s="498"/>
      <c r="D178" s="499"/>
      <c r="E178" s="499"/>
      <c r="F178" s="499"/>
      <c r="G178" s="499"/>
      <c r="H178" s="499"/>
    </row>
    <row r="179" spans="1:8" ht="15">
      <c r="A179" s="496"/>
      <c r="B179" s="497"/>
      <c r="C179" s="498"/>
      <c r="D179" s="499"/>
      <c r="E179" s="499"/>
      <c r="F179" s="499"/>
      <c r="G179" s="499"/>
      <c r="H179" s="499"/>
    </row>
    <row r="180" spans="1:8" ht="15">
      <c r="A180" s="496"/>
      <c r="B180" s="497"/>
      <c r="C180" s="498"/>
      <c r="D180" s="499"/>
      <c r="E180" s="499"/>
      <c r="F180" s="499"/>
      <c r="G180" s="499"/>
      <c r="H180" s="499"/>
    </row>
    <row r="181" spans="1:8" ht="15">
      <c r="A181" s="496"/>
      <c r="B181" s="497"/>
      <c r="C181" s="498"/>
      <c r="D181" s="499"/>
      <c r="E181" s="499"/>
      <c r="F181" s="499"/>
      <c r="G181" s="499"/>
      <c r="H181" s="499"/>
    </row>
    <row r="182" spans="1:8" ht="15">
      <c r="A182" s="496"/>
      <c r="B182" s="497"/>
      <c r="C182" s="498"/>
      <c r="D182" s="499"/>
      <c r="E182" s="499"/>
      <c r="F182" s="499"/>
      <c r="G182" s="499"/>
      <c r="H182" s="499"/>
    </row>
    <row r="183" spans="1:8" ht="15">
      <c r="A183" s="496"/>
      <c r="B183" s="497"/>
      <c r="C183" s="498"/>
      <c r="D183" s="499"/>
      <c r="E183" s="499"/>
      <c r="F183" s="499"/>
      <c r="G183" s="499"/>
      <c r="H183" s="499"/>
    </row>
    <row r="184" spans="1:8" ht="15">
      <c r="A184" s="496"/>
      <c r="B184" s="497"/>
      <c r="C184" s="498"/>
      <c r="D184" s="499"/>
      <c r="E184" s="499"/>
      <c r="F184" s="499"/>
      <c r="G184" s="499"/>
      <c r="H184" s="499"/>
    </row>
    <row r="185" spans="1:8" ht="15">
      <c r="A185" s="496"/>
      <c r="B185" s="497"/>
      <c r="C185" s="498"/>
      <c r="D185" s="499"/>
      <c r="E185" s="499"/>
      <c r="F185" s="499"/>
      <c r="G185" s="499"/>
      <c r="H185" s="499"/>
    </row>
    <row r="186" spans="1:8" ht="15">
      <c r="A186" s="496"/>
      <c r="B186" s="497"/>
      <c r="C186" s="498"/>
      <c r="D186" s="499"/>
      <c r="E186" s="499"/>
      <c r="F186" s="499"/>
      <c r="G186" s="499"/>
      <c r="H186" s="499"/>
    </row>
    <row r="187" spans="1:8" ht="15">
      <c r="A187" s="496"/>
      <c r="B187" s="497"/>
      <c r="C187" s="498"/>
      <c r="D187" s="499"/>
      <c r="E187" s="499"/>
      <c r="F187" s="499"/>
      <c r="G187" s="499"/>
      <c r="H187" s="499"/>
    </row>
    <row r="188" spans="1:8" ht="15">
      <c r="A188" s="496"/>
      <c r="B188" s="497"/>
      <c r="C188" s="498"/>
      <c r="D188" s="499"/>
      <c r="E188" s="499"/>
      <c r="F188" s="499"/>
      <c r="G188" s="499"/>
      <c r="H188" s="499"/>
    </row>
    <row r="189" spans="1:8" ht="15">
      <c r="A189" s="496"/>
      <c r="B189" s="497"/>
      <c r="C189" s="498"/>
      <c r="D189" s="499"/>
      <c r="E189" s="499"/>
      <c r="F189" s="499"/>
      <c r="G189" s="499"/>
      <c r="H189" s="499"/>
    </row>
    <row r="190" spans="1:8" ht="15">
      <c r="A190" s="496"/>
      <c r="B190" s="497"/>
      <c r="C190" s="498"/>
      <c r="D190" s="499"/>
      <c r="E190" s="499"/>
      <c r="F190" s="499"/>
      <c r="G190" s="499"/>
      <c r="H190" s="499"/>
    </row>
    <row r="191" spans="1:8" ht="15">
      <c r="A191" s="496"/>
      <c r="B191" s="497"/>
      <c r="C191" s="498"/>
      <c r="D191" s="499"/>
      <c r="E191" s="499"/>
      <c r="F191" s="499"/>
      <c r="G191" s="499"/>
      <c r="H191" s="499"/>
    </row>
    <row r="192" spans="1:8" ht="15">
      <c r="A192" s="496"/>
      <c r="B192" s="497"/>
      <c r="C192" s="498"/>
      <c r="D192" s="499"/>
      <c r="E192" s="499"/>
      <c r="F192" s="499"/>
      <c r="G192" s="499"/>
      <c r="H192" s="499"/>
    </row>
    <row r="193" spans="1:8" ht="15">
      <c r="A193" s="496"/>
      <c r="B193" s="497"/>
      <c r="C193" s="498"/>
      <c r="D193" s="499"/>
      <c r="E193" s="499"/>
      <c r="F193" s="499"/>
      <c r="G193" s="499"/>
      <c r="H193" s="499"/>
    </row>
    <row r="194" spans="1:8" ht="15">
      <c r="A194" s="496"/>
      <c r="B194" s="497"/>
      <c r="C194" s="498"/>
      <c r="D194" s="499"/>
      <c r="E194" s="499"/>
      <c r="F194" s="499"/>
      <c r="G194" s="499"/>
      <c r="H194" s="499"/>
    </row>
    <row r="195" spans="1:8" ht="15">
      <c r="A195" s="496"/>
      <c r="B195" s="497"/>
      <c r="C195" s="498"/>
      <c r="D195" s="499"/>
      <c r="E195" s="499"/>
      <c r="F195" s="499"/>
      <c r="G195" s="499"/>
      <c r="H195" s="499"/>
    </row>
    <row r="196" spans="1:8" ht="15">
      <c r="A196" s="496"/>
      <c r="B196" s="497"/>
      <c r="C196" s="498"/>
      <c r="D196" s="499"/>
      <c r="E196" s="499"/>
      <c r="F196" s="499"/>
      <c r="G196" s="499"/>
      <c r="H196" s="499"/>
    </row>
    <row r="197" spans="1:8" ht="15">
      <c r="A197" s="496"/>
      <c r="B197" s="497"/>
      <c r="C197" s="498"/>
      <c r="D197" s="499"/>
      <c r="E197" s="499"/>
      <c r="F197" s="499"/>
      <c r="G197" s="499"/>
      <c r="H197" s="499"/>
    </row>
    <row r="198" spans="1:8" ht="15">
      <c r="A198" s="496"/>
      <c r="B198" s="497"/>
      <c r="C198" s="498"/>
      <c r="D198" s="499"/>
      <c r="E198" s="499"/>
      <c r="F198" s="499"/>
      <c r="G198" s="499"/>
      <c r="H198" s="499"/>
    </row>
    <row r="199" spans="1:8" ht="15">
      <c r="A199" s="496"/>
      <c r="B199" s="497"/>
      <c r="C199" s="498"/>
      <c r="D199" s="499"/>
      <c r="E199" s="499"/>
      <c r="F199" s="499"/>
      <c r="G199" s="499"/>
      <c r="H199" s="499"/>
    </row>
    <row r="200" spans="1:8" ht="15">
      <c r="A200" s="496"/>
      <c r="B200" s="497"/>
      <c r="C200" s="498"/>
      <c r="D200" s="499"/>
      <c r="E200" s="499"/>
      <c r="F200" s="499"/>
      <c r="G200" s="499"/>
      <c r="H200" s="499"/>
    </row>
    <row r="201" spans="1:8" ht="15">
      <c r="A201" s="496"/>
      <c r="B201" s="497"/>
      <c r="C201" s="498"/>
      <c r="D201" s="499"/>
      <c r="E201" s="499"/>
      <c r="F201" s="499"/>
      <c r="G201" s="499"/>
      <c r="H201" s="499"/>
    </row>
    <row r="202" spans="1:8" ht="15">
      <c r="A202" s="496"/>
      <c r="B202" s="497"/>
      <c r="C202" s="498"/>
      <c r="D202" s="499"/>
      <c r="E202" s="499"/>
      <c r="F202" s="499"/>
      <c r="G202" s="499"/>
      <c r="H202" s="499"/>
    </row>
    <row r="203" spans="1:8" ht="15">
      <c r="A203" s="496"/>
      <c r="B203" s="497"/>
      <c r="C203" s="498"/>
      <c r="D203" s="499"/>
      <c r="E203" s="499"/>
      <c r="F203" s="499"/>
      <c r="G203" s="499"/>
      <c r="H203" s="499"/>
    </row>
    <row r="204" spans="1:8" ht="15">
      <c r="A204" s="496"/>
      <c r="B204" s="497"/>
      <c r="C204" s="498"/>
      <c r="D204" s="499"/>
      <c r="E204" s="499"/>
      <c r="F204" s="499"/>
      <c r="G204" s="499"/>
      <c r="H204" s="499"/>
    </row>
    <row r="205" spans="1:8" ht="15">
      <c r="A205" s="496"/>
      <c r="B205" s="497"/>
      <c r="C205" s="498"/>
      <c r="D205" s="499"/>
      <c r="E205" s="499"/>
      <c r="F205" s="499"/>
      <c r="G205" s="499"/>
      <c r="H205" s="499"/>
    </row>
    <row r="206" spans="1:8" ht="15">
      <c r="A206" s="496"/>
      <c r="B206" s="497"/>
      <c r="C206" s="498"/>
      <c r="D206" s="499"/>
      <c r="E206" s="499"/>
      <c r="F206" s="499"/>
      <c r="G206" s="499"/>
      <c r="H206" s="499"/>
    </row>
    <row r="207" spans="1:8" ht="15">
      <c r="A207" s="496"/>
      <c r="B207" s="497"/>
      <c r="C207" s="498"/>
      <c r="D207" s="499"/>
      <c r="E207" s="499"/>
      <c r="F207" s="499"/>
      <c r="G207" s="499"/>
      <c r="H207" s="499"/>
    </row>
    <row r="208" spans="1:8" ht="15">
      <c r="A208" s="496"/>
      <c r="B208" s="497"/>
      <c r="C208" s="498"/>
      <c r="D208" s="499"/>
      <c r="E208" s="499"/>
      <c r="F208" s="499"/>
      <c r="G208" s="499"/>
      <c r="H208" s="499"/>
    </row>
    <row r="209" spans="1:8" ht="15">
      <c r="A209" s="496"/>
      <c r="B209" s="497"/>
      <c r="C209" s="498"/>
      <c r="D209" s="499"/>
      <c r="E209" s="499"/>
      <c r="F209" s="499"/>
      <c r="G209" s="499"/>
      <c r="H209" s="499"/>
    </row>
    <row r="210" spans="1:8" ht="15">
      <c r="A210" s="496"/>
      <c r="B210" s="497"/>
      <c r="C210" s="498"/>
      <c r="D210" s="499"/>
      <c r="E210" s="499"/>
      <c r="F210" s="499"/>
      <c r="G210" s="499"/>
      <c r="H210" s="499"/>
    </row>
    <row r="211" spans="1:8" ht="15">
      <c r="A211" s="496"/>
      <c r="B211" s="497"/>
      <c r="C211" s="498"/>
      <c r="D211" s="499"/>
      <c r="E211" s="499"/>
      <c r="F211" s="499"/>
      <c r="G211" s="499"/>
      <c r="H211" s="499"/>
    </row>
    <row r="212" spans="1:8" ht="15">
      <c r="A212" s="496"/>
      <c r="B212" s="497"/>
      <c r="C212" s="498"/>
      <c r="D212" s="499"/>
      <c r="E212" s="499"/>
      <c r="F212" s="499"/>
      <c r="G212" s="499"/>
      <c r="H212" s="499"/>
    </row>
    <row r="213" spans="1:8" ht="15">
      <c r="A213" s="496"/>
      <c r="B213" s="497"/>
      <c r="C213" s="498"/>
      <c r="D213" s="499"/>
      <c r="E213" s="499"/>
      <c r="F213" s="499"/>
      <c r="G213" s="499"/>
      <c r="H213" s="499"/>
    </row>
    <row r="214" spans="1:8" ht="15">
      <c r="A214" s="496"/>
      <c r="B214" s="497"/>
      <c r="C214" s="498"/>
      <c r="D214" s="499"/>
      <c r="E214" s="499"/>
      <c r="F214" s="499"/>
      <c r="G214" s="499"/>
      <c r="H214" s="499"/>
    </row>
    <row r="215" spans="1:8" ht="15">
      <c r="A215" s="496"/>
      <c r="B215" s="497"/>
      <c r="C215" s="498"/>
      <c r="D215" s="499"/>
      <c r="E215" s="499"/>
      <c r="F215" s="499"/>
      <c r="G215" s="499"/>
      <c r="H215" s="499"/>
    </row>
    <row r="216" spans="1:8" ht="15">
      <c r="A216" s="496"/>
      <c r="B216" s="497"/>
      <c r="C216" s="498"/>
      <c r="D216" s="499"/>
      <c r="E216" s="499"/>
      <c r="F216" s="499"/>
      <c r="G216" s="499"/>
      <c r="H216" s="499"/>
    </row>
    <row r="217" spans="1:8" ht="15">
      <c r="A217" s="496"/>
      <c r="B217" s="497"/>
      <c r="C217" s="498"/>
      <c r="D217" s="499"/>
      <c r="E217" s="499"/>
      <c r="F217" s="499"/>
      <c r="G217" s="499"/>
      <c r="H217" s="499"/>
    </row>
    <row r="218" spans="1:8" ht="15">
      <c r="A218" s="496"/>
      <c r="B218" s="497"/>
      <c r="C218" s="498"/>
      <c r="D218" s="499"/>
      <c r="E218" s="499"/>
      <c r="F218" s="499"/>
      <c r="G218" s="499"/>
      <c r="H218" s="499"/>
    </row>
    <row r="219" spans="1:8" ht="15">
      <c r="A219" s="496"/>
      <c r="B219" s="497"/>
      <c r="C219" s="498"/>
      <c r="D219" s="499"/>
      <c r="E219" s="499"/>
      <c r="F219" s="499"/>
      <c r="G219" s="499"/>
      <c r="H219" s="499"/>
    </row>
    <row r="220" spans="1:8" ht="15">
      <c r="A220" s="496"/>
      <c r="B220" s="497"/>
      <c r="C220" s="498"/>
      <c r="D220" s="499"/>
      <c r="E220" s="499"/>
      <c r="F220" s="499"/>
      <c r="G220" s="499"/>
      <c r="H220" s="499"/>
    </row>
    <row r="221" spans="1:8" ht="15">
      <c r="A221" s="496"/>
      <c r="B221" s="497"/>
      <c r="C221" s="498"/>
      <c r="D221" s="499"/>
      <c r="E221" s="499"/>
      <c r="F221" s="499"/>
      <c r="G221" s="499"/>
      <c r="H221" s="499"/>
    </row>
    <row r="222" spans="1:8" ht="15">
      <c r="A222" s="496"/>
      <c r="B222" s="497"/>
      <c r="C222" s="498"/>
      <c r="D222" s="499"/>
      <c r="E222" s="499"/>
      <c r="F222" s="499"/>
      <c r="G222" s="499"/>
      <c r="H222" s="499"/>
    </row>
    <row r="223" spans="1:8" ht="15">
      <c r="A223" s="496"/>
      <c r="B223" s="497"/>
      <c r="C223" s="498"/>
      <c r="D223" s="499"/>
      <c r="E223" s="499"/>
      <c r="F223" s="499"/>
      <c r="G223" s="499"/>
      <c r="H223" s="499"/>
    </row>
  </sheetData>
  <sheetProtection algorithmName="SHA-512" hashValue="TOyx7M9IujeXmc8IN07E5S/BnfsWWUo0P+ROdM085wGDp2XIeaOZGKiR7giO9ofpRbmwBy0e074noSd/ZAK0Og==" saltValue="nVXI1pJ4FIzu3rO+RvWpzQ==" spinCount="100000" sheet="1" objects="1" scenarios="1" selectLockedCells="1"/>
  <mergeCells count="2">
    <mergeCell ref="B2:G2"/>
    <mergeCell ref="A96:H96"/>
  </mergeCells>
  <printOptions/>
  <pageMargins left="0.7086614173228347" right="0.7086614173228347" top="0.3937007874015748" bottom="0.3937007874015748" header="0.5118110236220472" footer="0.5118110236220472"/>
  <pageSetup fitToHeight="1" fitToWidth="1" horizontalDpi="600" verticalDpi="600" orientation="portrait" paperSize="8" scale="66" r:id="rId1"/>
  <headerFooter alignWithMargins="0">
    <oddHeader>&amp;C&amp;"Arial,Tučné"EPIMO spol. s r.o.&amp;"Arial,Obyčejné", Husova 655, Česká Třebová, tel. 603 814 084</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5A4D-6950-4606-9A9D-0F7DE24D3910}">
  <sheetPr>
    <outlinePr summaryBelow="0"/>
  </sheetPr>
  <dimension ref="A1:BH5000"/>
  <sheetViews>
    <sheetView workbookViewId="0" topLeftCell="A1">
      <pane ySplit="7" topLeftCell="A8" activePane="bottomLeft" state="frozen"/>
      <selection pane="topLeft" activeCell="H24" sqref="H24"/>
      <selection pane="bottomLeft" activeCell="F17" sqref="F17"/>
    </sheetView>
  </sheetViews>
  <sheetFormatPr defaultColWidth="9.140625" defaultRowHeight="15"/>
  <cols>
    <col min="1" max="1" width="3.421875" style="69" customWidth="1"/>
    <col min="2" max="2" width="12.57421875" style="70" customWidth="1"/>
    <col min="3" max="3" width="38.28125" style="70" customWidth="1"/>
    <col min="4" max="4" width="4.8515625" style="69" customWidth="1"/>
    <col min="5" max="5" width="10.57421875" style="69" customWidth="1"/>
    <col min="6" max="6" width="9.8515625" style="69" customWidth="1"/>
    <col min="7" max="7" width="12.7109375" style="69" customWidth="1"/>
    <col min="8" max="24" width="9.140625" style="69" hidden="1" customWidth="1"/>
    <col min="25" max="28" width="9.140625" style="69" customWidth="1"/>
    <col min="29" max="29" width="9.140625" style="69" hidden="1" customWidth="1"/>
    <col min="30" max="30" width="9.140625" style="69" customWidth="1"/>
    <col min="31" max="41" width="9.140625" style="69" hidden="1" customWidth="1"/>
    <col min="42" max="52" width="9.140625" style="69" customWidth="1"/>
    <col min="53" max="53" width="73.7109375" style="69" customWidth="1"/>
    <col min="54" max="16384" width="9.140625" style="69" customWidth="1"/>
  </cols>
  <sheetData>
    <row r="1" spans="1:33" ht="15.75" customHeight="1">
      <c r="A1" s="263" t="s">
        <v>1049</v>
      </c>
      <c r="B1" s="263"/>
      <c r="C1" s="263"/>
      <c r="D1" s="263"/>
      <c r="E1" s="263"/>
      <c r="F1" s="263"/>
      <c r="G1" s="263"/>
      <c r="AG1" s="69" t="s">
        <v>1048</v>
      </c>
    </row>
    <row r="2" spans="1:33" ht="24.95" customHeight="1">
      <c r="A2" s="111" t="s">
        <v>1047</v>
      </c>
      <c r="B2" s="110" t="s">
        <v>1046</v>
      </c>
      <c r="C2" s="264" t="s">
        <v>1045</v>
      </c>
      <c r="D2" s="265"/>
      <c r="E2" s="265"/>
      <c r="F2" s="265"/>
      <c r="G2" s="266"/>
      <c r="AG2" s="69" t="s">
        <v>1042</v>
      </c>
    </row>
    <row r="3" spans="1:33" ht="24.95" customHeight="1">
      <c r="A3" s="111" t="s">
        <v>1044</v>
      </c>
      <c r="B3" s="110" t="s">
        <v>2</v>
      </c>
      <c r="C3" s="264" t="s">
        <v>1043</v>
      </c>
      <c r="D3" s="265"/>
      <c r="E3" s="265"/>
      <c r="F3" s="265"/>
      <c r="G3" s="266"/>
      <c r="AC3" s="70" t="s">
        <v>1042</v>
      </c>
      <c r="AG3" s="69" t="s">
        <v>1041</v>
      </c>
    </row>
    <row r="4" spans="1:33" ht="24.95" customHeight="1">
      <c r="A4" s="109" t="s">
        <v>1040</v>
      </c>
      <c r="B4" s="108" t="s">
        <v>2</v>
      </c>
      <c r="C4" s="267" t="s">
        <v>1039</v>
      </c>
      <c r="D4" s="268"/>
      <c r="E4" s="268"/>
      <c r="F4" s="268"/>
      <c r="G4" s="269"/>
      <c r="AG4" s="69" t="s">
        <v>1038</v>
      </c>
    </row>
    <row r="5" ht="15">
      <c r="D5" s="71"/>
    </row>
    <row r="6" spans="1:24" ht="38.25">
      <c r="A6" s="104" t="s">
        <v>1037</v>
      </c>
      <c r="B6" s="107" t="s">
        <v>1036</v>
      </c>
      <c r="C6" s="107" t="s">
        <v>1035</v>
      </c>
      <c r="D6" s="106" t="s">
        <v>557</v>
      </c>
      <c r="E6" s="104" t="s">
        <v>556</v>
      </c>
      <c r="F6" s="105" t="s">
        <v>1034</v>
      </c>
      <c r="G6" s="104" t="s">
        <v>544</v>
      </c>
      <c r="H6" s="103" t="s">
        <v>547</v>
      </c>
      <c r="I6" s="103" t="s">
        <v>1033</v>
      </c>
      <c r="J6" s="103" t="s">
        <v>546</v>
      </c>
      <c r="K6" s="103" t="s">
        <v>1032</v>
      </c>
      <c r="L6" s="103" t="s">
        <v>899</v>
      </c>
      <c r="M6" s="103" t="s">
        <v>1031</v>
      </c>
      <c r="N6" s="103" t="s">
        <v>1030</v>
      </c>
      <c r="O6" s="103" t="s">
        <v>1029</v>
      </c>
      <c r="P6" s="103" t="s">
        <v>1028</v>
      </c>
      <c r="Q6" s="103" t="s">
        <v>1027</v>
      </c>
      <c r="R6" s="103" t="s">
        <v>1026</v>
      </c>
      <c r="S6" s="103" t="s">
        <v>1025</v>
      </c>
      <c r="T6" s="103" t="s">
        <v>1024</v>
      </c>
      <c r="U6" s="103" t="s">
        <v>1023</v>
      </c>
      <c r="V6" s="103" t="s">
        <v>1022</v>
      </c>
      <c r="W6" s="103" t="s">
        <v>1021</v>
      </c>
      <c r="X6" s="103" t="s">
        <v>1020</v>
      </c>
    </row>
    <row r="7" spans="1:24" ht="15" hidden="1">
      <c r="A7" s="73"/>
      <c r="B7" s="76"/>
      <c r="C7" s="76"/>
      <c r="D7" s="74"/>
      <c r="E7" s="102"/>
      <c r="F7" s="101"/>
      <c r="G7" s="101"/>
      <c r="H7" s="101"/>
      <c r="I7" s="101"/>
      <c r="J7" s="101"/>
      <c r="K7" s="101"/>
      <c r="L7" s="101"/>
      <c r="M7" s="101"/>
      <c r="N7" s="102"/>
      <c r="O7" s="102"/>
      <c r="P7" s="102"/>
      <c r="Q7" s="102"/>
      <c r="R7" s="101"/>
      <c r="S7" s="101"/>
      <c r="T7" s="101"/>
      <c r="U7" s="101"/>
      <c r="V7" s="101"/>
      <c r="W7" s="101"/>
      <c r="X7" s="101"/>
    </row>
    <row r="8" spans="1:33" ht="15">
      <c r="A8" s="97" t="s">
        <v>921</v>
      </c>
      <c r="B8" s="96" t="s">
        <v>510</v>
      </c>
      <c r="C8" s="95" t="s">
        <v>1019</v>
      </c>
      <c r="D8" s="94"/>
      <c r="E8" s="93"/>
      <c r="F8" s="92"/>
      <c r="G8" s="91">
        <f>G9+G13+G17+G21+G25+G29+G34</f>
        <v>0</v>
      </c>
      <c r="H8" s="89"/>
      <c r="I8" s="89">
        <v>57475.03</v>
      </c>
      <c r="J8" s="89"/>
      <c r="K8" s="89">
        <v>57082.05</v>
      </c>
      <c r="L8" s="89"/>
      <c r="M8" s="89"/>
      <c r="N8" s="90"/>
      <c r="O8" s="90"/>
      <c r="P8" s="90"/>
      <c r="Q8" s="90"/>
      <c r="R8" s="89"/>
      <c r="S8" s="89"/>
      <c r="T8" s="89"/>
      <c r="U8" s="89"/>
      <c r="V8" s="89"/>
      <c r="W8" s="89"/>
      <c r="X8" s="89"/>
      <c r="AG8" s="69" t="s">
        <v>919</v>
      </c>
    </row>
    <row r="9" spans="1:60" ht="15">
      <c r="A9" s="85">
        <v>1</v>
      </c>
      <c r="B9" s="84" t="s">
        <v>1018</v>
      </c>
      <c r="C9" s="83" t="s">
        <v>1017</v>
      </c>
      <c r="D9" s="82" t="s">
        <v>89</v>
      </c>
      <c r="E9" s="81">
        <v>31.24</v>
      </c>
      <c r="F9" s="514">
        <v>0</v>
      </c>
      <c r="G9" s="80">
        <f>F9*E9</f>
        <v>0</v>
      </c>
      <c r="H9" s="78">
        <v>152.19</v>
      </c>
      <c r="I9" s="78">
        <v>4754.415599999999</v>
      </c>
      <c r="J9" s="78">
        <v>64.81</v>
      </c>
      <c r="K9" s="78">
        <v>2024.6644</v>
      </c>
      <c r="L9" s="78">
        <v>21</v>
      </c>
      <c r="M9" s="78">
        <v>8202.6868</v>
      </c>
      <c r="N9" s="79">
        <v>0.0099</v>
      </c>
      <c r="O9" s="79">
        <v>0.309276</v>
      </c>
      <c r="P9" s="79">
        <v>0</v>
      </c>
      <c r="Q9" s="79">
        <v>0</v>
      </c>
      <c r="R9" s="78"/>
      <c r="S9" s="78" t="s">
        <v>910</v>
      </c>
      <c r="T9" s="78" t="s">
        <v>910</v>
      </c>
      <c r="U9" s="78">
        <v>0.136</v>
      </c>
      <c r="V9" s="78">
        <v>4.24864</v>
      </c>
      <c r="W9" s="78"/>
      <c r="X9" s="78" t="s">
        <v>926</v>
      </c>
      <c r="Y9" s="77"/>
      <c r="Z9" s="77"/>
      <c r="AA9" s="77"/>
      <c r="AB9" s="77"/>
      <c r="AC9" s="77"/>
      <c r="AD9" s="77"/>
      <c r="AE9" s="77"/>
      <c r="AF9" s="77"/>
      <c r="AG9" s="77" t="s">
        <v>925</v>
      </c>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row>
    <row r="10" spans="1:60" ht="15">
      <c r="A10" s="88"/>
      <c r="B10" s="87"/>
      <c r="C10" s="100" t="s">
        <v>981</v>
      </c>
      <c r="D10" s="99"/>
      <c r="E10" s="98">
        <v>7.5</v>
      </c>
      <c r="F10" s="78"/>
      <c r="G10" s="78"/>
      <c r="H10" s="78"/>
      <c r="I10" s="78"/>
      <c r="J10" s="78"/>
      <c r="K10" s="78"/>
      <c r="L10" s="78"/>
      <c r="M10" s="78"/>
      <c r="N10" s="79"/>
      <c r="O10" s="79"/>
      <c r="P10" s="79"/>
      <c r="Q10" s="79"/>
      <c r="R10" s="78"/>
      <c r="S10" s="78"/>
      <c r="T10" s="78"/>
      <c r="U10" s="78"/>
      <c r="V10" s="78"/>
      <c r="W10" s="78"/>
      <c r="X10" s="78"/>
      <c r="Y10" s="77"/>
      <c r="Z10" s="77"/>
      <c r="AA10" s="77"/>
      <c r="AB10" s="77"/>
      <c r="AC10" s="77"/>
      <c r="AD10" s="77"/>
      <c r="AE10" s="77"/>
      <c r="AF10" s="77"/>
      <c r="AG10" s="77" t="s">
        <v>922</v>
      </c>
      <c r="AH10" s="77">
        <v>0</v>
      </c>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row>
    <row r="11" spans="1:60" ht="15">
      <c r="A11" s="88"/>
      <c r="B11" s="87"/>
      <c r="C11" s="100" t="s">
        <v>980</v>
      </c>
      <c r="D11" s="99"/>
      <c r="E11" s="98">
        <v>4.14</v>
      </c>
      <c r="F11" s="78"/>
      <c r="G11" s="78"/>
      <c r="H11" s="78"/>
      <c r="I11" s="78"/>
      <c r="J11" s="78"/>
      <c r="K11" s="78"/>
      <c r="L11" s="78"/>
      <c r="M11" s="78"/>
      <c r="N11" s="79"/>
      <c r="O11" s="79"/>
      <c r="P11" s="79"/>
      <c r="Q11" s="79"/>
      <c r="R11" s="78"/>
      <c r="S11" s="78"/>
      <c r="T11" s="78"/>
      <c r="U11" s="78"/>
      <c r="V11" s="78"/>
      <c r="W11" s="78"/>
      <c r="X11" s="78"/>
      <c r="Y11" s="77"/>
      <c r="Z11" s="77"/>
      <c r="AA11" s="77"/>
      <c r="AB11" s="77"/>
      <c r="AC11" s="77"/>
      <c r="AD11" s="77"/>
      <c r="AE11" s="77"/>
      <c r="AF11" s="77"/>
      <c r="AG11" s="77" t="s">
        <v>922</v>
      </c>
      <c r="AH11" s="77">
        <v>0</v>
      </c>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row>
    <row r="12" spans="1:60" ht="15">
      <c r="A12" s="88"/>
      <c r="B12" s="87"/>
      <c r="C12" s="100" t="s">
        <v>979</v>
      </c>
      <c r="D12" s="99"/>
      <c r="E12" s="98">
        <v>19.6</v>
      </c>
      <c r="F12" s="78"/>
      <c r="G12" s="78"/>
      <c r="H12" s="78"/>
      <c r="I12" s="78"/>
      <c r="J12" s="78"/>
      <c r="K12" s="78"/>
      <c r="L12" s="78"/>
      <c r="M12" s="78"/>
      <c r="N12" s="79"/>
      <c r="O12" s="79"/>
      <c r="P12" s="79"/>
      <c r="Q12" s="79"/>
      <c r="R12" s="78"/>
      <c r="S12" s="78"/>
      <c r="T12" s="78"/>
      <c r="U12" s="78"/>
      <c r="V12" s="78"/>
      <c r="W12" s="78"/>
      <c r="X12" s="78"/>
      <c r="Y12" s="77"/>
      <c r="Z12" s="77"/>
      <c r="AA12" s="77"/>
      <c r="AB12" s="77"/>
      <c r="AC12" s="77"/>
      <c r="AD12" s="77"/>
      <c r="AE12" s="77"/>
      <c r="AF12" s="77"/>
      <c r="AG12" s="77" t="s">
        <v>922</v>
      </c>
      <c r="AH12" s="77">
        <v>0</v>
      </c>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row>
    <row r="13" spans="1:60" ht="15">
      <c r="A13" s="85">
        <v>2</v>
      </c>
      <c r="B13" s="84" t="s">
        <v>1016</v>
      </c>
      <c r="C13" s="83" t="s">
        <v>1015</v>
      </c>
      <c r="D13" s="82" t="s">
        <v>89</v>
      </c>
      <c r="E13" s="81">
        <v>31.24</v>
      </c>
      <c r="F13" s="514">
        <v>0</v>
      </c>
      <c r="G13" s="80">
        <f>F13*E13</f>
        <v>0</v>
      </c>
      <c r="H13" s="78">
        <v>138.89</v>
      </c>
      <c r="I13" s="78">
        <v>4338.923599999999</v>
      </c>
      <c r="J13" s="78">
        <v>38.61</v>
      </c>
      <c r="K13" s="78">
        <v>1206.1763999999998</v>
      </c>
      <c r="L13" s="78">
        <v>21</v>
      </c>
      <c r="M13" s="78">
        <v>6709.571000000001</v>
      </c>
      <c r="N13" s="79">
        <v>0.00945</v>
      </c>
      <c r="O13" s="79">
        <v>0.295218</v>
      </c>
      <c r="P13" s="79">
        <v>0</v>
      </c>
      <c r="Q13" s="79">
        <v>0</v>
      </c>
      <c r="R13" s="78"/>
      <c r="S13" s="78" t="s">
        <v>910</v>
      </c>
      <c r="T13" s="78" t="s">
        <v>910</v>
      </c>
      <c r="U13" s="78">
        <v>0.081</v>
      </c>
      <c r="V13" s="78">
        <v>2.53044</v>
      </c>
      <c r="W13" s="78"/>
      <c r="X13" s="78" t="s">
        <v>926</v>
      </c>
      <c r="Y13" s="77"/>
      <c r="Z13" s="77"/>
      <c r="AA13" s="77"/>
      <c r="AB13" s="77"/>
      <c r="AC13" s="77"/>
      <c r="AD13" s="77"/>
      <c r="AE13" s="77"/>
      <c r="AF13" s="77"/>
      <c r="AG13" s="77" t="s">
        <v>925</v>
      </c>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row>
    <row r="14" spans="1:60" ht="15">
      <c r="A14" s="88"/>
      <c r="B14" s="87"/>
      <c r="C14" s="100" t="s">
        <v>981</v>
      </c>
      <c r="D14" s="99"/>
      <c r="E14" s="98">
        <v>7.5</v>
      </c>
      <c r="F14" s="78"/>
      <c r="G14" s="78"/>
      <c r="H14" s="78"/>
      <c r="I14" s="78"/>
      <c r="J14" s="78"/>
      <c r="K14" s="78"/>
      <c r="L14" s="78"/>
      <c r="M14" s="78"/>
      <c r="N14" s="79"/>
      <c r="O14" s="79"/>
      <c r="P14" s="79"/>
      <c r="Q14" s="79"/>
      <c r="R14" s="78"/>
      <c r="S14" s="78"/>
      <c r="T14" s="78"/>
      <c r="U14" s="78"/>
      <c r="V14" s="78"/>
      <c r="W14" s="78"/>
      <c r="X14" s="78"/>
      <c r="Y14" s="77"/>
      <c r="Z14" s="77"/>
      <c r="AA14" s="77"/>
      <c r="AB14" s="77"/>
      <c r="AC14" s="77"/>
      <c r="AD14" s="77"/>
      <c r="AE14" s="77"/>
      <c r="AF14" s="77"/>
      <c r="AG14" s="77" t="s">
        <v>922</v>
      </c>
      <c r="AH14" s="77">
        <v>0</v>
      </c>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row>
    <row r="15" spans="1:60" ht="15">
      <c r="A15" s="88"/>
      <c r="B15" s="87"/>
      <c r="C15" s="100" t="s">
        <v>980</v>
      </c>
      <c r="D15" s="99"/>
      <c r="E15" s="98">
        <v>4.14</v>
      </c>
      <c r="F15" s="78"/>
      <c r="G15" s="78"/>
      <c r="H15" s="78"/>
      <c r="I15" s="78"/>
      <c r="J15" s="78"/>
      <c r="K15" s="78"/>
      <c r="L15" s="78"/>
      <c r="M15" s="78"/>
      <c r="N15" s="79"/>
      <c r="O15" s="79"/>
      <c r="P15" s="79"/>
      <c r="Q15" s="79"/>
      <c r="R15" s="78"/>
      <c r="S15" s="78"/>
      <c r="T15" s="78"/>
      <c r="U15" s="78"/>
      <c r="V15" s="78"/>
      <c r="W15" s="78"/>
      <c r="X15" s="78"/>
      <c r="Y15" s="77"/>
      <c r="Z15" s="77"/>
      <c r="AA15" s="77"/>
      <c r="AB15" s="77"/>
      <c r="AC15" s="77"/>
      <c r="AD15" s="77"/>
      <c r="AE15" s="77"/>
      <c r="AF15" s="77"/>
      <c r="AG15" s="77" t="s">
        <v>922</v>
      </c>
      <c r="AH15" s="77">
        <v>0</v>
      </c>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row>
    <row r="16" spans="1:60" ht="15">
      <c r="A16" s="88"/>
      <c r="B16" s="87"/>
      <c r="C16" s="100" t="s">
        <v>979</v>
      </c>
      <c r="D16" s="99"/>
      <c r="E16" s="98">
        <v>19.6</v>
      </c>
      <c r="F16" s="78"/>
      <c r="G16" s="78"/>
      <c r="H16" s="78"/>
      <c r="I16" s="78"/>
      <c r="J16" s="78"/>
      <c r="K16" s="78"/>
      <c r="L16" s="78"/>
      <c r="M16" s="78"/>
      <c r="N16" s="79"/>
      <c r="O16" s="79"/>
      <c r="P16" s="79"/>
      <c r="Q16" s="79"/>
      <c r="R16" s="78"/>
      <c r="S16" s="78"/>
      <c r="T16" s="78"/>
      <c r="U16" s="78"/>
      <c r="V16" s="78"/>
      <c r="W16" s="78"/>
      <c r="X16" s="78"/>
      <c r="Y16" s="77"/>
      <c r="Z16" s="77"/>
      <c r="AA16" s="77"/>
      <c r="AB16" s="77"/>
      <c r="AC16" s="77"/>
      <c r="AD16" s="77"/>
      <c r="AE16" s="77"/>
      <c r="AF16" s="77"/>
      <c r="AG16" s="77" t="s">
        <v>922</v>
      </c>
      <c r="AH16" s="77">
        <v>0</v>
      </c>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row>
    <row r="17" spans="1:60" ht="15">
      <c r="A17" s="85">
        <v>3</v>
      </c>
      <c r="B17" s="84" t="s">
        <v>1014</v>
      </c>
      <c r="C17" s="83" t="s">
        <v>1013</v>
      </c>
      <c r="D17" s="82" t="s">
        <v>89</v>
      </c>
      <c r="E17" s="81">
        <v>31.24</v>
      </c>
      <c r="F17" s="514">
        <v>0</v>
      </c>
      <c r="G17" s="80">
        <f>F17*E17</f>
        <v>0</v>
      </c>
      <c r="H17" s="78">
        <v>277.8</v>
      </c>
      <c r="I17" s="78">
        <v>8678.472</v>
      </c>
      <c r="J17" s="78">
        <v>185.2</v>
      </c>
      <c r="K17" s="78">
        <v>5785.647999999999</v>
      </c>
      <c r="L17" s="78">
        <v>21</v>
      </c>
      <c r="M17" s="78">
        <v>17501.5852</v>
      </c>
      <c r="N17" s="79">
        <v>0.0189</v>
      </c>
      <c r="O17" s="79">
        <v>0.590436</v>
      </c>
      <c r="P17" s="79">
        <v>0</v>
      </c>
      <c r="Q17" s="79">
        <v>0</v>
      </c>
      <c r="R17" s="78"/>
      <c r="S17" s="78" t="s">
        <v>910</v>
      </c>
      <c r="T17" s="78" t="s">
        <v>910</v>
      </c>
      <c r="U17" s="78">
        <v>0.36</v>
      </c>
      <c r="V17" s="78">
        <v>11.2464</v>
      </c>
      <c r="W17" s="78"/>
      <c r="X17" s="78" t="s">
        <v>926</v>
      </c>
      <c r="Y17" s="77"/>
      <c r="Z17" s="77"/>
      <c r="AA17" s="77"/>
      <c r="AB17" s="77"/>
      <c r="AC17" s="77"/>
      <c r="AD17" s="77"/>
      <c r="AE17" s="77"/>
      <c r="AF17" s="77"/>
      <c r="AG17" s="77" t="s">
        <v>925</v>
      </c>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row>
    <row r="18" spans="1:60" ht="15">
      <c r="A18" s="88"/>
      <c r="B18" s="87"/>
      <c r="C18" s="100" t="s">
        <v>981</v>
      </c>
      <c r="D18" s="99"/>
      <c r="E18" s="98">
        <v>7.5</v>
      </c>
      <c r="F18" s="78"/>
      <c r="G18" s="78"/>
      <c r="H18" s="78"/>
      <c r="I18" s="78"/>
      <c r="J18" s="78"/>
      <c r="K18" s="78"/>
      <c r="L18" s="78"/>
      <c r="M18" s="78"/>
      <c r="N18" s="79"/>
      <c r="O18" s="79"/>
      <c r="P18" s="79"/>
      <c r="Q18" s="79"/>
      <c r="R18" s="78"/>
      <c r="S18" s="78"/>
      <c r="T18" s="78"/>
      <c r="U18" s="78"/>
      <c r="V18" s="78"/>
      <c r="W18" s="78"/>
      <c r="X18" s="78"/>
      <c r="Y18" s="77"/>
      <c r="Z18" s="77"/>
      <c r="AA18" s="77"/>
      <c r="AB18" s="77"/>
      <c r="AC18" s="77"/>
      <c r="AD18" s="77"/>
      <c r="AE18" s="77"/>
      <c r="AF18" s="77"/>
      <c r="AG18" s="77" t="s">
        <v>922</v>
      </c>
      <c r="AH18" s="77">
        <v>0</v>
      </c>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row>
    <row r="19" spans="1:60" ht="15">
      <c r="A19" s="88"/>
      <c r="B19" s="87"/>
      <c r="C19" s="100" t="s">
        <v>980</v>
      </c>
      <c r="D19" s="99"/>
      <c r="E19" s="98">
        <v>4.14</v>
      </c>
      <c r="F19" s="78"/>
      <c r="G19" s="78"/>
      <c r="H19" s="78"/>
      <c r="I19" s="78"/>
      <c r="J19" s="78"/>
      <c r="K19" s="78"/>
      <c r="L19" s="78"/>
      <c r="M19" s="78"/>
      <c r="N19" s="79"/>
      <c r="O19" s="79"/>
      <c r="P19" s="79"/>
      <c r="Q19" s="79"/>
      <c r="R19" s="78"/>
      <c r="S19" s="78"/>
      <c r="T19" s="78"/>
      <c r="U19" s="78"/>
      <c r="V19" s="78"/>
      <c r="W19" s="78"/>
      <c r="X19" s="78"/>
      <c r="Y19" s="77"/>
      <c r="Z19" s="77"/>
      <c r="AA19" s="77"/>
      <c r="AB19" s="77"/>
      <c r="AC19" s="77"/>
      <c r="AD19" s="77"/>
      <c r="AE19" s="77"/>
      <c r="AF19" s="77"/>
      <c r="AG19" s="77" t="s">
        <v>922</v>
      </c>
      <c r="AH19" s="77">
        <v>0</v>
      </c>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row>
    <row r="20" spans="1:60" ht="15">
      <c r="A20" s="88"/>
      <c r="B20" s="87"/>
      <c r="C20" s="100" t="s">
        <v>979</v>
      </c>
      <c r="D20" s="99"/>
      <c r="E20" s="98">
        <v>19.6</v>
      </c>
      <c r="F20" s="78"/>
      <c r="G20" s="78"/>
      <c r="H20" s="78"/>
      <c r="I20" s="78"/>
      <c r="J20" s="78"/>
      <c r="K20" s="78"/>
      <c r="L20" s="78"/>
      <c r="M20" s="78"/>
      <c r="N20" s="79"/>
      <c r="O20" s="79"/>
      <c r="P20" s="79"/>
      <c r="Q20" s="79"/>
      <c r="R20" s="78"/>
      <c r="S20" s="78"/>
      <c r="T20" s="78"/>
      <c r="U20" s="78"/>
      <c r="V20" s="78"/>
      <c r="W20" s="78"/>
      <c r="X20" s="78"/>
      <c r="Y20" s="77"/>
      <c r="Z20" s="77"/>
      <c r="AA20" s="77"/>
      <c r="AB20" s="77"/>
      <c r="AC20" s="77"/>
      <c r="AD20" s="77"/>
      <c r="AE20" s="77"/>
      <c r="AF20" s="77"/>
      <c r="AG20" s="77" t="s">
        <v>922</v>
      </c>
      <c r="AH20" s="77">
        <v>0</v>
      </c>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row>
    <row r="21" spans="1:60" ht="22.5">
      <c r="A21" s="85">
        <v>4</v>
      </c>
      <c r="B21" s="84" t="s">
        <v>1012</v>
      </c>
      <c r="C21" s="83" t="s">
        <v>1011</v>
      </c>
      <c r="D21" s="82" t="s">
        <v>89</v>
      </c>
      <c r="E21" s="81">
        <v>31.24</v>
      </c>
      <c r="F21" s="514">
        <v>0</v>
      </c>
      <c r="G21" s="80">
        <f>F21*E21</f>
        <v>0</v>
      </c>
      <c r="H21" s="78">
        <v>832.68</v>
      </c>
      <c r="I21" s="78">
        <v>26012.923199999997</v>
      </c>
      <c r="J21" s="78">
        <v>309.32</v>
      </c>
      <c r="K21" s="78">
        <v>9663.156799999999</v>
      </c>
      <c r="L21" s="78">
        <v>21</v>
      </c>
      <c r="M21" s="78">
        <v>43168.056800000006</v>
      </c>
      <c r="N21" s="79">
        <v>0.0567</v>
      </c>
      <c r="O21" s="79">
        <v>1.7713079999999999</v>
      </c>
      <c r="P21" s="79">
        <v>0</v>
      </c>
      <c r="Q21" s="79">
        <v>0</v>
      </c>
      <c r="R21" s="78"/>
      <c r="S21" s="78" t="s">
        <v>910</v>
      </c>
      <c r="T21" s="78" t="s">
        <v>910</v>
      </c>
      <c r="U21" s="78">
        <v>0.6</v>
      </c>
      <c r="V21" s="78">
        <v>18.744</v>
      </c>
      <c r="W21" s="78"/>
      <c r="X21" s="78" t="s">
        <v>926</v>
      </c>
      <c r="Y21" s="77"/>
      <c r="Z21" s="77"/>
      <c r="AA21" s="77"/>
      <c r="AB21" s="77"/>
      <c r="AC21" s="77"/>
      <c r="AD21" s="77"/>
      <c r="AE21" s="77"/>
      <c r="AF21" s="77"/>
      <c r="AG21" s="77" t="s">
        <v>925</v>
      </c>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row>
    <row r="22" spans="1:60" ht="15">
      <c r="A22" s="88"/>
      <c r="B22" s="87"/>
      <c r="C22" s="100" t="s">
        <v>981</v>
      </c>
      <c r="D22" s="99"/>
      <c r="E22" s="98">
        <v>7.5</v>
      </c>
      <c r="F22" s="78"/>
      <c r="G22" s="78"/>
      <c r="H22" s="78"/>
      <c r="I22" s="78"/>
      <c r="J22" s="78"/>
      <c r="K22" s="78"/>
      <c r="L22" s="78"/>
      <c r="M22" s="78"/>
      <c r="N22" s="79"/>
      <c r="O22" s="79"/>
      <c r="P22" s="79"/>
      <c r="Q22" s="79"/>
      <c r="R22" s="78"/>
      <c r="S22" s="78"/>
      <c r="T22" s="78"/>
      <c r="U22" s="78"/>
      <c r="V22" s="78"/>
      <c r="W22" s="78"/>
      <c r="X22" s="78"/>
      <c r="Y22" s="77"/>
      <c r="Z22" s="77"/>
      <c r="AA22" s="77"/>
      <c r="AB22" s="77"/>
      <c r="AC22" s="77"/>
      <c r="AD22" s="77"/>
      <c r="AE22" s="77"/>
      <c r="AF22" s="77"/>
      <c r="AG22" s="77" t="s">
        <v>922</v>
      </c>
      <c r="AH22" s="77">
        <v>0</v>
      </c>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row>
    <row r="23" spans="1:60" ht="15">
      <c r="A23" s="88"/>
      <c r="B23" s="87"/>
      <c r="C23" s="100" t="s">
        <v>980</v>
      </c>
      <c r="D23" s="99"/>
      <c r="E23" s="98">
        <v>4.14</v>
      </c>
      <c r="F23" s="78"/>
      <c r="G23" s="78"/>
      <c r="H23" s="78"/>
      <c r="I23" s="78"/>
      <c r="J23" s="78"/>
      <c r="K23" s="78"/>
      <c r="L23" s="78"/>
      <c r="M23" s="78"/>
      <c r="N23" s="79"/>
      <c r="O23" s="79"/>
      <c r="P23" s="79"/>
      <c r="Q23" s="79"/>
      <c r="R23" s="78"/>
      <c r="S23" s="78"/>
      <c r="T23" s="78"/>
      <c r="U23" s="78"/>
      <c r="V23" s="78"/>
      <c r="W23" s="78"/>
      <c r="X23" s="78"/>
      <c r="Y23" s="77"/>
      <c r="Z23" s="77"/>
      <c r="AA23" s="77"/>
      <c r="AB23" s="77"/>
      <c r="AC23" s="77"/>
      <c r="AD23" s="77"/>
      <c r="AE23" s="77"/>
      <c r="AF23" s="77"/>
      <c r="AG23" s="77" t="s">
        <v>922</v>
      </c>
      <c r="AH23" s="77">
        <v>0</v>
      </c>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row>
    <row r="24" spans="1:60" ht="15">
      <c r="A24" s="88"/>
      <c r="B24" s="87"/>
      <c r="C24" s="100" t="s">
        <v>979</v>
      </c>
      <c r="D24" s="99"/>
      <c r="E24" s="98">
        <v>19.6</v>
      </c>
      <c r="F24" s="78"/>
      <c r="G24" s="78"/>
      <c r="H24" s="78"/>
      <c r="I24" s="78"/>
      <c r="J24" s="78"/>
      <c r="K24" s="78"/>
      <c r="L24" s="78"/>
      <c r="M24" s="78"/>
      <c r="N24" s="79"/>
      <c r="O24" s="79"/>
      <c r="P24" s="79"/>
      <c r="Q24" s="79"/>
      <c r="R24" s="78"/>
      <c r="S24" s="78"/>
      <c r="T24" s="78"/>
      <c r="U24" s="78"/>
      <c r="V24" s="78"/>
      <c r="W24" s="78"/>
      <c r="X24" s="78"/>
      <c r="Y24" s="77"/>
      <c r="Z24" s="77"/>
      <c r="AA24" s="77"/>
      <c r="AB24" s="77"/>
      <c r="AC24" s="77"/>
      <c r="AD24" s="77"/>
      <c r="AE24" s="77"/>
      <c r="AF24" s="77"/>
      <c r="AG24" s="77" t="s">
        <v>922</v>
      </c>
      <c r="AH24" s="77">
        <v>0</v>
      </c>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row>
    <row r="25" spans="1:60" ht="15">
      <c r="A25" s="85">
        <v>5</v>
      </c>
      <c r="B25" s="84" t="s">
        <v>1010</v>
      </c>
      <c r="C25" s="83" t="s">
        <v>1009</v>
      </c>
      <c r="D25" s="82" t="s">
        <v>89</v>
      </c>
      <c r="E25" s="81">
        <v>31.24</v>
      </c>
      <c r="F25" s="514">
        <v>0</v>
      </c>
      <c r="G25" s="80">
        <f>F25*E25</f>
        <v>0</v>
      </c>
      <c r="H25" s="78">
        <v>61.24</v>
      </c>
      <c r="I25" s="78">
        <v>1913.1376</v>
      </c>
      <c r="J25" s="78">
        <v>146.26</v>
      </c>
      <c r="K25" s="78">
        <v>4569.162399999999</v>
      </c>
      <c r="L25" s="78">
        <v>21</v>
      </c>
      <c r="M25" s="78">
        <v>7843.5830000000005</v>
      </c>
      <c r="N25" s="79">
        <v>0.00441</v>
      </c>
      <c r="O25" s="79">
        <v>0.13776839999999999</v>
      </c>
      <c r="P25" s="79">
        <v>0</v>
      </c>
      <c r="Q25" s="79">
        <v>0</v>
      </c>
      <c r="R25" s="78"/>
      <c r="S25" s="78" t="s">
        <v>910</v>
      </c>
      <c r="T25" s="78" t="s">
        <v>910</v>
      </c>
      <c r="U25" s="78">
        <v>0.285</v>
      </c>
      <c r="V25" s="78">
        <v>8.9034</v>
      </c>
      <c r="W25" s="78"/>
      <c r="X25" s="78" t="s">
        <v>926</v>
      </c>
      <c r="Y25" s="77"/>
      <c r="Z25" s="77"/>
      <c r="AA25" s="77"/>
      <c r="AB25" s="77"/>
      <c r="AC25" s="77"/>
      <c r="AD25" s="77"/>
      <c r="AE25" s="77"/>
      <c r="AF25" s="77"/>
      <c r="AG25" s="77" t="s">
        <v>925</v>
      </c>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row>
    <row r="26" spans="1:60" ht="15">
      <c r="A26" s="88"/>
      <c r="B26" s="87"/>
      <c r="C26" s="100" t="s">
        <v>981</v>
      </c>
      <c r="D26" s="99"/>
      <c r="E26" s="98">
        <v>7.5</v>
      </c>
      <c r="F26" s="78"/>
      <c r="G26" s="78"/>
      <c r="H26" s="78"/>
      <c r="I26" s="78"/>
      <c r="J26" s="78"/>
      <c r="K26" s="78"/>
      <c r="L26" s="78"/>
      <c r="M26" s="78"/>
      <c r="N26" s="79"/>
      <c r="O26" s="79"/>
      <c r="P26" s="79"/>
      <c r="Q26" s="79"/>
      <c r="R26" s="78"/>
      <c r="S26" s="78"/>
      <c r="T26" s="78"/>
      <c r="U26" s="78"/>
      <c r="V26" s="78"/>
      <c r="W26" s="78"/>
      <c r="X26" s="78"/>
      <c r="Y26" s="77"/>
      <c r="Z26" s="77"/>
      <c r="AA26" s="77"/>
      <c r="AB26" s="77"/>
      <c r="AC26" s="77"/>
      <c r="AD26" s="77"/>
      <c r="AE26" s="77"/>
      <c r="AF26" s="77"/>
      <c r="AG26" s="77" t="s">
        <v>922</v>
      </c>
      <c r="AH26" s="77">
        <v>0</v>
      </c>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row>
    <row r="27" spans="1:60" ht="15">
      <c r="A27" s="88"/>
      <c r="B27" s="87"/>
      <c r="C27" s="100" t="s">
        <v>980</v>
      </c>
      <c r="D27" s="99"/>
      <c r="E27" s="98">
        <v>4.14</v>
      </c>
      <c r="F27" s="78"/>
      <c r="G27" s="78"/>
      <c r="H27" s="78"/>
      <c r="I27" s="78"/>
      <c r="J27" s="78"/>
      <c r="K27" s="78"/>
      <c r="L27" s="78"/>
      <c r="M27" s="78"/>
      <c r="N27" s="79"/>
      <c r="O27" s="79"/>
      <c r="P27" s="79"/>
      <c r="Q27" s="79"/>
      <c r="R27" s="78"/>
      <c r="S27" s="78"/>
      <c r="T27" s="78"/>
      <c r="U27" s="78"/>
      <c r="V27" s="78"/>
      <c r="W27" s="78"/>
      <c r="X27" s="78"/>
      <c r="Y27" s="77"/>
      <c r="Z27" s="77"/>
      <c r="AA27" s="77"/>
      <c r="AB27" s="77"/>
      <c r="AC27" s="77"/>
      <c r="AD27" s="77"/>
      <c r="AE27" s="77"/>
      <c r="AF27" s="77"/>
      <c r="AG27" s="77" t="s">
        <v>922</v>
      </c>
      <c r="AH27" s="77">
        <v>0</v>
      </c>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row>
    <row r="28" spans="1:60" ht="15">
      <c r="A28" s="88"/>
      <c r="B28" s="87"/>
      <c r="C28" s="100" t="s">
        <v>979</v>
      </c>
      <c r="D28" s="99"/>
      <c r="E28" s="98">
        <v>19.6</v>
      </c>
      <c r="F28" s="78"/>
      <c r="G28" s="78"/>
      <c r="H28" s="78"/>
      <c r="I28" s="78"/>
      <c r="J28" s="78"/>
      <c r="K28" s="78"/>
      <c r="L28" s="78"/>
      <c r="M28" s="78"/>
      <c r="N28" s="79"/>
      <c r="O28" s="79"/>
      <c r="P28" s="79"/>
      <c r="Q28" s="79"/>
      <c r="R28" s="78"/>
      <c r="S28" s="78"/>
      <c r="T28" s="78"/>
      <c r="U28" s="78"/>
      <c r="V28" s="78"/>
      <c r="W28" s="78"/>
      <c r="X28" s="78"/>
      <c r="Y28" s="77"/>
      <c r="Z28" s="77"/>
      <c r="AA28" s="77"/>
      <c r="AB28" s="77"/>
      <c r="AC28" s="77"/>
      <c r="AD28" s="77"/>
      <c r="AE28" s="77"/>
      <c r="AF28" s="77"/>
      <c r="AG28" s="77" t="s">
        <v>922</v>
      </c>
      <c r="AH28" s="77">
        <v>0</v>
      </c>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row>
    <row r="29" spans="1:60" ht="15">
      <c r="A29" s="85">
        <v>6</v>
      </c>
      <c r="B29" s="84" t="s">
        <v>1007</v>
      </c>
      <c r="C29" s="83" t="s">
        <v>1006</v>
      </c>
      <c r="D29" s="82" t="s">
        <v>89</v>
      </c>
      <c r="E29" s="81">
        <v>31.24</v>
      </c>
      <c r="F29" s="514">
        <v>0</v>
      </c>
      <c r="G29" s="80">
        <f>F29*E29</f>
        <v>0</v>
      </c>
      <c r="H29" s="78">
        <v>112.76</v>
      </c>
      <c r="I29" s="78">
        <v>3522.6224</v>
      </c>
      <c r="J29" s="78">
        <v>27.24</v>
      </c>
      <c r="K29" s="78">
        <v>850.9775999999999</v>
      </c>
      <c r="L29" s="78">
        <v>21</v>
      </c>
      <c r="M29" s="78">
        <v>5292.0560000000005</v>
      </c>
      <c r="N29" s="79">
        <v>0.0005</v>
      </c>
      <c r="O29" s="79">
        <v>0.01562</v>
      </c>
      <c r="P29" s="79">
        <v>0</v>
      </c>
      <c r="Q29" s="79">
        <v>0</v>
      </c>
      <c r="R29" s="78"/>
      <c r="S29" s="78" t="s">
        <v>910</v>
      </c>
      <c r="T29" s="78" t="s">
        <v>910</v>
      </c>
      <c r="U29" s="78">
        <v>0.045</v>
      </c>
      <c r="V29" s="78">
        <v>1.4058</v>
      </c>
      <c r="W29" s="78"/>
      <c r="X29" s="78" t="s">
        <v>926</v>
      </c>
      <c r="Y29" s="77"/>
      <c r="Z29" s="77"/>
      <c r="AA29" s="77"/>
      <c r="AB29" s="77"/>
      <c r="AC29" s="77"/>
      <c r="AD29" s="77"/>
      <c r="AE29" s="77"/>
      <c r="AF29" s="77"/>
      <c r="AG29" s="77" t="s">
        <v>925</v>
      </c>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row>
    <row r="30" spans="1:60" ht="15">
      <c r="A30" s="88"/>
      <c r="B30" s="87"/>
      <c r="C30" s="270" t="s">
        <v>1008</v>
      </c>
      <c r="D30" s="271"/>
      <c r="E30" s="271"/>
      <c r="F30" s="271"/>
      <c r="G30" s="271"/>
      <c r="H30" s="78"/>
      <c r="I30" s="78"/>
      <c r="J30" s="78"/>
      <c r="K30" s="78"/>
      <c r="L30" s="78"/>
      <c r="M30" s="78"/>
      <c r="N30" s="79"/>
      <c r="O30" s="79"/>
      <c r="P30" s="79"/>
      <c r="Q30" s="79"/>
      <c r="R30" s="78"/>
      <c r="S30" s="78"/>
      <c r="T30" s="78"/>
      <c r="U30" s="78"/>
      <c r="V30" s="78"/>
      <c r="W30" s="78"/>
      <c r="X30" s="78"/>
      <c r="Y30" s="77"/>
      <c r="Z30" s="77"/>
      <c r="AA30" s="77"/>
      <c r="AB30" s="77"/>
      <c r="AC30" s="77"/>
      <c r="AD30" s="77"/>
      <c r="AE30" s="77"/>
      <c r="AF30" s="77"/>
      <c r="AG30" s="77" t="s">
        <v>907</v>
      </c>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row>
    <row r="31" spans="1:60" ht="15">
      <c r="A31" s="88"/>
      <c r="B31" s="87"/>
      <c r="C31" s="100" t="s">
        <v>981</v>
      </c>
      <c r="D31" s="99"/>
      <c r="E31" s="98">
        <v>7.5</v>
      </c>
      <c r="F31" s="78"/>
      <c r="G31" s="78"/>
      <c r="H31" s="78"/>
      <c r="I31" s="78"/>
      <c r="J31" s="78"/>
      <c r="K31" s="78"/>
      <c r="L31" s="78"/>
      <c r="M31" s="78"/>
      <c r="N31" s="79"/>
      <c r="O31" s="79"/>
      <c r="P31" s="79"/>
      <c r="Q31" s="79"/>
      <c r="R31" s="78"/>
      <c r="S31" s="78"/>
      <c r="T31" s="78"/>
      <c r="U31" s="78"/>
      <c r="V31" s="78"/>
      <c r="W31" s="78"/>
      <c r="X31" s="78"/>
      <c r="Y31" s="77"/>
      <c r="Z31" s="77"/>
      <c r="AA31" s="77"/>
      <c r="AB31" s="77"/>
      <c r="AC31" s="77"/>
      <c r="AD31" s="77"/>
      <c r="AE31" s="77"/>
      <c r="AF31" s="77"/>
      <c r="AG31" s="77" t="s">
        <v>922</v>
      </c>
      <c r="AH31" s="77">
        <v>0</v>
      </c>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row>
    <row r="32" spans="1:60" ht="15">
      <c r="A32" s="88"/>
      <c r="B32" s="87"/>
      <c r="C32" s="100" t="s">
        <v>980</v>
      </c>
      <c r="D32" s="99"/>
      <c r="E32" s="98">
        <v>4.14</v>
      </c>
      <c r="F32" s="78"/>
      <c r="G32" s="78"/>
      <c r="H32" s="78"/>
      <c r="I32" s="78"/>
      <c r="J32" s="78"/>
      <c r="K32" s="78"/>
      <c r="L32" s="78"/>
      <c r="M32" s="78"/>
      <c r="N32" s="79"/>
      <c r="O32" s="79"/>
      <c r="P32" s="79"/>
      <c r="Q32" s="79"/>
      <c r="R32" s="78"/>
      <c r="S32" s="78"/>
      <c r="T32" s="78"/>
      <c r="U32" s="78"/>
      <c r="V32" s="78"/>
      <c r="W32" s="78"/>
      <c r="X32" s="78"/>
      <c r="Y32" s="77"/>
      <c r="Z32" s="77"/>
      <c r="AA32" s="77"/>
      <c r="AB32" s="77"/>
      <c r="AC32" s="77"/>
      <c r="AD32" s="77"/>
      <c r="AE32" s="77"/>
      <c r="AF32" s="77"/>
      <c r="AG32" s="77" t="s">
        <v>922</v>
      </c>
      <c r="AH32" s="77">
        <v>0</v>
      </c>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row>
    <row r="33" spans="1:60" ht="15">
      <c r="A33" s="88"/>
      <c r="B33" s="87"/>
      <c r="C33" s="100" t="s">
        <v>979</v>
      </c>
      <c r="D33" s="99"/>
      <c r="E33" s="98">
        <v>19.6</v>
      </c>
      <c r="F33" s="78"/>
      <c r="G33" s="78"/>
      <c r="H33" s="78"/>
      <c r="I33" s="78"/>
      <c r="J33" s="78"/>
      <c r="K33" s="78"/>
      <c r="L33" s="78"/>
      <c r="M33" s="78"/>
      <c r="N33" s="79"/>
      <c r="O33" s="79"/>
      <c r="P33" s="79"/>
      <c r="Q33" s="79"/>
      <c r="R33" s="78"/>
      <c r="S33" s="78"/>
      <c r="T33" s="78"/>
      <c r="U33" s="78"/>
      <c r="V33" s="78"/>
      <c r="W33" s="78"/>
      <c r="X33" s="78"/>
      <c r="Y33" s="77"/>
      <c r="Z33" s="77"/>
      <c r="AA33" s="77"/>
      <c r="AB33" s="77"/>
      <c r="AC33" s="77"/>
      <c r="AD33" s="77"/>
      <c r="AE33" s="77"/>
      <c r="AF33" s="77"/>
      <c r="AG33" s="77" t="s">
        <v>922</v>
      </c>
      <c r="AH33" s="77">
        <v>0</v>
      </c>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row>
    <row r="34" spans="1:60" ht="15">
      <c r="A34" s="85">
        <v>7</v>
      </c>
      <c r="B34" s="84" t="s">
        <v>1007</v>
      </c>
      <c r="C34" s="83" t="s">
        <v>1006</v>
      </c>
      <c r="D34" s="82" t="s">
        <v>89</v>
      </c>
      <c r="E34" s="81">
        <v>31.24</v>
      </c>
      <c r="F34" s="514">
        <v>0</v>
      </c>
      <c r="G34" s="80">
        <f>F34*E34</f>
        <v>0</v>
      </c>
      <c r="H34" s="78">
        <v>112.76</v>
      </c>
      <c r="I34" s="78">
        <v>3522.6224</v>
      </c>
      <c r="J34" s="78">
        <v>27.24</v>
      </c>
      <c r="K34" s="78">
        <v>850.9775999999999</v>
      </c>
      <c r="L34" s="78">
        <v>21</v>
      </c>
      <c r="M34" s="78">
        <v>5292.0560000000005</v>
      </c>
      <c r="N34" s="79">
        <v>0.0005</v>
      </c>
      <c r="O34" s="79">
        <v>0.01562</v>
      </c>
      <c r="P34" s="79">
        <v>0</v>
      </c>
      <c r="Q34" s="79">
        <v>0</v>
      </c>
      <c r="R34" s="78"/>
      <c r="S34" s="78" t="s">
        <v>910</v>
      </c>
      <c r="T34" s="78" t="s">
        <v>910</v>
      </c>
      <c r="U34" s="78">
        <v>0.045</v>
      </c>
      <c r="V34" s="78">
        <v>1.4058</v>
      </c>
      <c r="W34" s="78"/>
      <c r="X34" s="78" t="s">
        <v>926</v>
      </c>
      <c r="Y34" s="77"/>
      <c r="Z34" s="77"/>
      <c r="AA34" s="77"/>
      <c r="AB34" s="77"/>
      <c r="AC34" s="77"/>
      <c r="AD34" s="77"/>
      <c r="AE34" s="77"/>
      <c r="AF34" s="77"/>
      <c r="AG34" s="77" t="s">
        <v>925</v>
      </c>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row>
    <row r="35" spans="1:60" ht="15">
      <c r="A35" s="88"/>
      <c r="B35" s="87"/>
      <c r="C35" s="270" t="s">
        <v>1005</v>
      </c>
      <c r="D35" s="271"/>
      <c r="E35" s="271"/>
      <c r="F35" s="271"/>
      <c r="G35" s="271"/>
      <c r="H35" s="78"/>
      <c r="I35" s="78"/>
      <c r="J35" s="78"/>
      <c r="K35" s="78"/>
      <c r="L35" s="78"/>
      <c r="M35" s="78"/>
      <c r="N35" s="79"/>
      <c r="O35" s="79"/>
      <c r="P35" s="79"/>
      <c r="Q35" s="79"/>
      <c r="R35" s="78"/>
      <c r="S35" s="78"/>
      <c r="T35" s="78"/>
      <c r="U35" s="78"/>
      <c r="V35" s="78"/>
      <c r="W35" s="78"/>
      <c r="X35" s="78"/>
      <c r="Y35" s="77"/>
      <c r="Z35" s="77"/>
      <c r="AA35" s="77"/>
      <c r="AB35" s="77"/>
      <c r="AC35" s="77"/>
      <c r="AD35" s="77"/>
      <c r="AE35" s="77"/>
      <c r="AF35" s="77"/>
      <c r="AG35" s="77" t="s">
        <v>907</v>
      </c>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row>
    <row r="36" spans="1:60" ht="15">
      <c r="A36" s="88"/>
      <c r="B36" s="87"/>
      <c r="C36" s="100" t="s">
        <v>1004</v>
      </c>
      <c r="D36" s="99"/>
      <c r="E36" s="98">
        <v>31.24</v>
      </c>
      <c r="F36" s="78"/>
      <c r="G36" s="78"/>
      <c r="H36" s="78"/>
      <c r="I36" s="78"/>
      <c r="J36" s="78"/>
      <c r="K36" s="78"/>
      <c r="L36" s="78"/>
      <c r="M36" s="78"/>
      <c r="N36" s="79"/>
      <c r="O36" s="79"/>
      <c r="P36" s="79"/>
      <c r="Q36" s="79"/>
      <c r="R36" s="78"/>
      <c r="S36" s="78"/>
      <c r="T36" s="78"/>
      <c r="U36" s="78"/>
      <c r="V36" s="78"/>
      <c r="W36" s="78"/>
      <c r="X36" s="78"/>
      <c r="Y36" s="77"/>
      <c r="Z36" s="77"/>
      <c r="AA36" s="77"/>
      <c r="AB36" s="77"/>
      <c r="AC36" s="77"/>
      <c r="AD36" s="77"/>
      <c r="AE36" s="77"/>
      <c r="AF36" s="77"/>
      <c r="AG36" s="77" t="s">
        <v>922</v>
      </c>
      <c r="AH36" s="77">
        <v>5</v>
      </c>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row>
    <row r="37" spans="1:60" ht="15">
      <c r="A37" s="85">
        <v>8</v>
      </c>
      <c r="B37" s="84" t="s">
        <v>1003</v>
      </c>
      <c r="C37" s="83" t="s">
        <v>1002</v>
      </c>
      <c r="D37" s="82" t="s">
        <v>89</v>
      </c>
      <c r="E37" s="81">
        <v>31.24</v>
      </c>
      <c r="F37" s="514">
        <v>0</v>
      </c>
      <c r="G37" s="80">
        <f>F37*E37</f>
        <v>0</v>
      </c>
      <c r="H37" s="78">
        <v>0</v>
      </c>
      <c r="I37" s="78">
        <v>0</v>
      </c>
      <c r="J37" s="78">
        <v>840</v>
      </c>
      <c r="K37" s="78">
        <v>26241.6</v>
      </c>
      <c r="L37" s="78">
        <v>21</v>
      </c>
      <c r="M37" s="78">
        <v>31752.336</v>
      </c>
      <c r="N37" s="79">
        <v>0</v>
      </c>
      <c r="O37" s="79">
        <v>0</v>
      </c>
      <c r="P37" s="79">
        <v>0</v>
      </c>
      <c r="Q37" s="79">
        <v>0</v>
      </c>
      <c r="R37" s="78"/>
      <c r="S37" s="78" t="s">
        <v>903</v>
      </c>
      <c r="T37" s="78" t="s">
        <v>902</v>
      </c>
      <c r="U37" s="78">
        <v>0</v>
      </c>
      <c r="V37" s="78">
        <v>0</v>
      </c>
      <c r="W37" s="78"/>
      <c r="X37" s="78" t="s">
        <v>926</v>
      </c>
      <c r="Y37" s="77"/>
      <c r="Z37" s="77"/>
      <c r="AA37" s="77"/>
      <c r="AB37" s="77"/>
      <c r="AC37" s="77"/>
      <c r="AD37" s="77"/>
      <c r="AE37" s="77"/>
      <c r="AF37" s="77"/>
      <c r="AG37" s="77" t="s">
        <v>925</v>
      </c>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row>
    <row r="38" spans="1:60" ht="22.5">
      <c r="A38" s="88"/>
      <c r="B38" s="87"/>
      <c r="C38" s="270" t="s">
        <v>1001</v>
      </c>
      <c r="D38" s="271"/>
      <c r="E38" s="271"/>
      <c r="F38" s="271"/>
      <c r="G38" s="271"/>
      <c r="H38" s="78"/>
      <c r="I38" s="78"/>
      <c r="J38" s="78"/>
      <c r="K38" s="78"/>
      <c r="L38" s="78"/>
      <c r="M38" s="78"/>
      <c r="N38" s="79"/>
      <c r="O38" s="79"/>
      <c r="P38" s="79"/>
      <c r="Q38" s="79"/>
      <c r="R38" s="78"/>
      <c r="S38" s="78"/>
      <c r="T38" s="78"/>
      <c r="U38" s="78"/>
      <c r="V38" s="78"/>
      <c r="W38" s="78"/>
      <c r="X38" s="78"/>
      <c r="Y38" s="77"/>
      <c r="Z38" s="77"/>
      <c r="AA38" s="77"/>
      <c r="AB38" s="77"/>
      <c r="AC38" s="77"/>
      <c r="AD38" s="77"/>
      <c r="AE38" s="77"/>
      <c r="AF38" s="77"/>
      <c r="AG38" s="77" t="s">
        <v>907</v>
      </c>
      <c r="AH38" s="77"/>
      <c r="AI38" s="77"/>
      <c r="AJ38" s="77"/>
      <c r="AK38" s="77"/>
      <c r="AL38" s="77"/>
      <c r="AM38" s="77"/>
      <c r="AN38" s="77"/>
      <c r="AO38" s="77"/>
      <c r="AP38" s="77"/>
      <c r="AQ38" s="77"/>
      <c r="AR38" s="77"/>
      <c r="AS38" s="77"/>
      <c r="AT38" s="77"/>
      <c r="AU38" s="77"/>
      <c r="AV38" s="77"/>
      <c r="AW38" s="77"/>
      <c r="AX38" s="77"/>
      <c r="AY38" s="77"/>
      <c r="AZ38" s="77"/>
      <c r="BA38" s="86" t="str">
        <f>C38</f>
        <v>Omítka odsolovací nanášená ručně, jednovrstvá tl. 20-30mm, zatřená, hubená vápenná omítka v poměru 1:3:8 (vápno: nastavený přírod. Materiál:písek), zpětné očištění zdiva, včetně zvlhčování</v>
      </c>
      <c r="BB38" s="77"/>
      <c r="BC38" s="77"/>
      <c r="BD38" s="77"/>
      <c r="BE38" s="77"/>
      <c r="BF38" s="77"/>
      <c r="BG38" s="77"/>
      <c r="BH38" s="77"/>
    </row>
    <row r="39" spans="1:60" ht="15">
      <c r="A39" s="88"/>
      <c r="B39" s="87"/>
      <c r="C39" s="100" t="s">
        <v>981</v>
      </c>
      <c r="D39" s="99"/>
      <c r="E39" s="98">
        <v>7.5</v>
      </c>
      <c r="F39" s="78"/>
      <c r="G39" s="78"/>
      <c r="H39" s="78"/>
      <c r="I39" s="78"/>
      <c r="J39" s="78"/>
      <c r="K39" s="78"/>
      <c r="L39" s="78"/>
      <c r="M39" s="78"/>
      <c r="N39" s="79"/>
      <c r="O39" s="79"/>
      <c r="P39" s="79"/>
      <c r="Q39" s="79"/>
      <c r="R39" s="78"/>
      <c r="S39" s="78"/>
      <c r="T39" s="78"/>
      <c r="U39" s="78"/>
      <c r="V39" s="78"/>
      <c r="W39" s="78"/>
      <c r="X39" s="78"/>
      <c r="Y39" s="77"/>
      <c r="Z39" s="77"/>
      <c r="AA39" s="77"/>
      <c r="AB39" s="77"/>
      <c r="AC39" s="77"/>
      <c r="AD39" s="77"/>
      <c r="AE39" s="77"/>
      <c r="AF39" s="77"/>
      <c r="AG39" s="77" t="s">
        <v>922</v>
      </c>
      <c r="AH39" s="77">
        <v>0</v>
      </c>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row>
    <row r="40" spans="1:60" ht="15">
      <c r="A40" s="88"/>
      <c r="B40" s="87"/>
      <c r="C40" s="100" t="s">
        <v>980</v>
      </c>
      <c r="D40" s="99"/>
      <c r="E40" s="98">
        <v>4.14</v>
      </c>
      <c r="F40" s="78"/>
      <c r="G40" s="78"/>
      <c r="H40" s="78"/>
      <c r="I40" s="78"/>
      <c r="J40" s="78"/>
      <c r="K40" s="78"/>
      <c r="L40" s="78"/>
      <c r="M40" s="78"/>
      <c r="N40" s="79"/>
      <c r="O40" s="79"/>
      <c r="P40" s="79"/>
      <c r="Q40" s="79"/>
      <c r="R40" s="78"/>
      <c r="S40" s="78"/>
      <c r="T40" s="78"/>
      <c r="U40" s="78"/>
      <c r="V40" s="78"/>
      <c r="W40" s="78"/>
      <c r="X40" s="78"/>
      <c r="Y40" s="77"/>
      <c r="Z40" s="77"/>
      <c r="AA40" s="77"/>
      <c r="AB40" s="77"/>
      <c r="AC40" s="77"/>
      <c r="AD40" s="77"/>
      <c r="AE40" s="77"/>
      <c r="AF40" s="77"/>
      <c r="AG40" s="77" t="s">
        <v>922</v>
      </c>
      <c r="AH40" s="77">
        <v>0</v>
      </c>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row>
    <row r="41" spans="1:60" ht="15">
      <c r="A41" s="88"/>
      <c r="B41" s="87"/>
      <c r="C41" s="100" t="s">
        <v>979</v>
      </c>
      <c r="D41" s="99"/>
      <c r="E41" s="98">
        <v>19.6</v>
      </c>
      <c r="F41" s="78"/>
      <c r="G41" s="78"/>
      <c r="H41" s="78"/>
      <c r="I41" s="78"/>
      <c r="J41" s="78"/>
      <c r="K41" s="78"/>
      <c r="L41" s="78"/>
      <c r="M41" s="78"/>
      <c r="N41" s="79"/>
      <c r="O41" s="79"/>
      <c r="P41" s="79"/>
      <c r="Q41" s="79"/>
      <c r="R41" s="78"/>
      <c r="S41" s="78"/>
      <c r="T41" s="78"/>
      <c r="U41" s="78"/>
      <c r="V41" s="78"/>
      <c r="W41" s="78"/>
      <c r="X41" s="78"/>
      <c r="Y41" s="77"/>
      <c r="Z41" s="77"/>
      <c r="AA41" s="77"/>
      <c r="AB41" s="77"/>
      <c r="AC41" s="77"/>
      <c r="AD41" s="77"/>
      <c r="AE41" s="77"/>
      <c r="AF41" s="77"/>
      <c r="AG41" s="77" t="s">
        <v>922</v>
      </c>
      <c r="AH41" s="77">
        <v>0</v>
      </c>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row>
    <row r="42" spans="1:60" ht="15">
      <c r="A42" s="85">
        <v>9</v>
      </c>
      <c r="B42" s="84" t="s">
        <v>1000</v>
      </c>
      <c r="C42" s="83" t="s">
        <v>999</v>
      </c>
      <c r="D42" s="82" t="s">
        <v>89</v>
      </c>
      <c r="E42" s="81">
        <v>31.24</v>
      </c>
      <c r="F42" s="514">
        <v>0</v>
      </c>
      <c r="G42" s="80">
        <f>F42*E42</f>
        <v>0</v>
      </c>
      <c r="H42" s="78">
        <v>151.47</v>
      </c>
      <c r="I42" s="78">
        <v>4731.922799999999</v>
      </c>
      <c r="J42" s="78">
        <v>188.53</v>
      </c>
      <c r="K42" s="78">
        <v>5889.6772</v>
      </c>
      <c r="L42" s="78">
        <v>21</v>
      </c>
      <c r="M42" s="78">
        <v>12852.136</v>
      </c>
      <c r="N42" s="79">
        <v>0.0294</v>
      </c>
      <c r="O42" s="79">
        <v>0.9184559999999999</v>
      </c>
      <c r="P42" s="79">
        <v>0</v>
      </c>
      <c r="Q42" s="79">
        <v>0</v>
      </c>
      <c r="R42" s="78"/>
      <c r="S42" s="78" t="s">
        <v>903</v>
      </c>
      <c r="T42" s="78" t="s">
        <v>902</v>
      </c>
      <c r="U42" s="78">
        <v>0.48</v>
      </c>
      <c r="V42" s="78">
        <v>14.995199999999999</v>
      </c>
      <c r="W42" s="78"/>
      <c r="X42" s="78" t="s">
        <v>926</v>
      </c>
      <c r="Y42" s="77"/>
      <c r="Z42" s="77"/>
      <c r="AA42" s="77"/>
      <c r="AB42" s="77"/>
      <c r="AC42" s="77"/>
      <c r="AD42" s="77"/>
      <c r="AE42" s="77"/>
      <c r="AF42" s="77"/>
      <c r="AG42" s="77" t="s">
        <v>925</v>
      </c>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row>
    <row r="43" spans="1:60" ht="15">
      <c r="A43" s="88"/>
      <c r="B43" s="87"/>
      <c r="C43" s="100" t="s">
        <v>981</v>
      </c>
      <c r="D43" s="99"/>
      <c r="E43" s="98">
        <v>7.5</v>
      </c>
      <c r="F43" s="78"/>
      <c r="G43" s="78"/>
      <c r="H43" s="78"/>
      <c r="I43" s="78"/>
      <c r="J43" s="78"/>
      <c r="K43" s="78"/>
      <c r="L43" s="78"/>
      <c r="M43" s="78"/>
      <c r="N43" s="79"/>
      <c r="O43" s="79"/>
      <c r="P43" s="79"/>
      <c r="Q43" s="79"/>
      <c r="R43" s="78"/>
      <c r="S43" s="78"/>
      <c r="T43" s="78"/>
      <c r="U43" s="78"/>
      <c r="V43" s="78"/>
      <c r="W43" s="78"/>
      <c r="X43" s="78"/>
      <c r="Y43" s="77"/>
      <c r="Z43" s="77"/>
      <c r="AA43" s="77"/>
      <c r="AB43" s="77"/>
      <c r="AC43" s="77"/>
      <c r="AD43" s="77"/>
      <c r="AE43" s="77"/>
      <c r="AF43" s="77"/>
      <c r="AG43" s="77" t="s">
        <v>922</v>
      </c>
      <c r="AH43" s="77">
        <v>0</v>
      </c>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row>
    <row r="44" spans="1:60" ht="15">
      <c r="A44" s="88"/>
      <c r="B44" s="87"/>
      <c r="C44" s="100" t="s">
        <v>980</v>
      </c>
      <c r="D44" s="99"/>
      <c r="E44" s="98">
        <v>4.14</v>
      </c>
      <c r="F44" s="78"/>
      <c r="G44" s="78"/>
      <c r="H44" s="78"/>
      <c r="I44" s="78"/>
      <c r="J44" s="78"/>
      <c r="K44" s="78"/>
      <c r="L44" s="78"/>
      <c r="M44" s="78"/>
      <c r="N44" s="79"/>
      <c r="O44" s="79"/>
      <c r="P44" s="79"/>
      <c r="Q44" s="79"/>
      <c r="R44" s="78"/>
      <c r="S44" s="78"/>
      <c r="T44" s="78"/>
      <c r="U44" s="78"/>
      <c r="V44" s="78"/>
      <c r="W44" s="78"/>
      <c r="X44" s="78"/>
      <c r="Y44" s="77"/>
      <c r="Z44" s="77"/>
      <c r="AA44" s="77"/>
      <c r="AB44" s="77"/>
      <c r="AC44" s="77"/>
      <c r="AD44" s="77"/>
      <c r="AE44" s="77"/>
      <c r="AF44" s="77"/>
      <c r="AG44" s="77" t="s">
        <v>922</v>
      </c>
      <c r="AH44" s="77">
        <v>0</v>
      </c>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row>
    <row r="45" spans="1:60" ht="15">
      <c r="A45" s="88"/>
      <c r="B45" s="87"/>
      <c r="C45" s="100" t="s">
        <v>979</v>
      </c>
      <c r="D45" s="99"/>
      <c r="E45" s="98">
        <v>19.6</v>
      </c>
      <c r="F45" s="78"/>
      <c r="G45" s="78"/>
      <c r="H45" s="78"/>
      <c r="I45" s="78"/>
      <c r="J45" s="78"/>
      <c r="K45" s="78"/>
      <c r="L45" s="78"/>
      <c r="M45" s="78"/>
      <c r="N45" s="79"/>
      <c r="O45" s="79"/>
      <c r="P45" s="79"/>
      <c r="Q45" s="79"/>
      <c r="R45" s="78"/>
      <c r="S45" s="78"/>
      <c r="T45" s="78"/>
      <c r="U45" s="78"/>
      <c r="V45" s="78"/>
      <c r="W45" s="78"/>
      <c r="X45" s="78"/>
      <c r="Y45" s="77"/>
      <c r="Z45" s="77"/>
      <c r="AA45" s="77"/>
      <c r="AB45" s="77"/>
      <c r="AC45" s="77"/>
      <c r="AD45" s="77"/>
      <c r="AE45" s="77"/>
      <c r="AF45" s="77"/>
      <c r="AG45" s="77" t="s">
        <v>922</v>
      </c>
      <c r="AH45" s="77">
        <v>0</v>
      </c>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row>
    <row r="46" spans="1:33" ht="25.5">
      <c r="A46" s="97" t="s">
        <v>921</v>
      </c>
      <c r="B46" s="96" t="s">
        <v>92</v>
      </c>
      <c r="C46" s="95" t="s">
        <v>998</v>
      </c>
      <c r="D46" s="94"/>
      <c r="E46" s="93"/>
      <c r="F46" s="92"/>
      <c r="G46" s="91">
        <f>G47</f>
        <v>0</v>
      </c>
      <c r="H46" s="89"/>
      <c r="I46" s="89">
        <v>3548.27</v>
      </c>
      <c r="J46" s="89"/>
      <c r="K46" s="89">
        <v>7851.73</v>
      </c>
      <c r="L46" s="89"/>
      <c r="M46" s="89"/>
      <c r="N46" s="90"/>
      <c r="O46" s="90"/>
      <c r="P46" s="90"/>
      <c r="Q46" s="90"/>
      <c r="R46" s="89"/>
      <c r="S46" s="89"/>
      <c r="T46" s="89"/>
      <c r="U46" s="89"/>
      <c r="V46" s="89"/>
      <c r="W46" s="89"/>
      <c r="X46" s="89"/>
      <c r="AG46" s="69" t="s">
        <v>919</v>
      </c>
    </row>
    <row r="47" spans="1:60" ht="22.5">
      <c r="A47" s="85">
        <v>10</v>
      </c>
      <c r="B47" s="84" t="s">
        <v>997</v>
      </c>
      <c r="C47" s="83" t="s">
        <v>996</v>
      </c>
      <c r="D47" s="82" t="s">
        <v>73</v>
      </c>
      <c r="E47" s="81">
        <v>1</v>
      </c>
      <c r="F47" s="514">
        <v>0</v>
      </c>
      <c r="G47" s="80">
        <f>F47*E47</f>
        <v>0</v>
      </c>
      <c r="H47" s="78">
        <v>3548.27</v>
      </c>
      <c r="I47" s="78">
        <v>3548.27</v>
      </c>
      <c r="J47" s="78">
        <v>7851.73</v>
      </c>
      <c r="K47" s="78">
        <v>7851.73</v>
      </c>
      <c r="L47" s="78">
        <v>21</v>
      </c>
      <c r="M47" s="78">
        <v>13794</v>
      </c>
      <c r="N47" s="79">
        <v>0.00573</v>
      </c>
      <c r="O47" s="79">
        <v>0.00573</v>
      </c>
      <c r="P47" s="79">
        <v>0</v>
      </c>
      <c r="Q47" s="79">
        <v>0</v>
      </c>
      <c r="R47" s="78"/>
      <c r="S47" s="78" t="s">
        <v>903</v>
      </c>
      <c r="T47" s="78" t="s">
        <v>902</v>
      </c>
      <c r="U47" s="78">
        <v>0.31</v>
      </c>
      <c r="V47" s="78">
        <v>0.31</v>
      </c>
      <c r="W47" s="78"/>
      <c r="X47" s="78" t="s">
        <v>926</v>
      </c>
      <c r="Y47" s="77"/>
      <c r="Z47" s="77"/>
      <c r="AA47" s="77"/>
      <c r="AB47" s="77"/>
      <c r="AC47" s="77"/>
      <c r="AD47" s="77"/>
      <c r="AE47" s="77"/>
      <c r="AF47" s="77"/>
      <c r="AG47" s="77" t="s">
        <v>925</v>
      </c>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row>
    <row r="48" spans="1:60" ht="15">
      <c r="A48" s="88"/>
      <c r="B48" s="87"/>
      <c r="C48" s="270" t="s">
        <v>995</v>
      </c>
      <c r="D48" s="271"/>
      <c r="E48" s="271"/>
      <c r="F48" s="271"/>
      <c r="G48" s="271"/>
      <c r="H48" s="78"/>
      <c r="I48" s="78"/>
      <c r="J48" s="78"/>
      <c r="K48" s="78"/>
      <c r="L48" s="78"/>
      <c r="M48" s="78"/>
      <c r="N48" s="79"/>
      <c r="O48" s="79"/>
      <c r="P48" s="79"/>
      <c r="Q48" s="79"/>
      <c r="R48" s="78"/>
      <c r="S48" s="78"/>
      <c r="T48" s="78"/>
      <c r="U48" s="78"/>
      <c r="V48" s="78"/>
      <c r="W48" s="78"/>
      <c r="X48" s="78"/>
      <c r="Y48" s="77"/>
      <c r="Z48" s="77"/>
      <c r="AA48" s="77"/>
      <c r="AB48" s="77"/>
      <c r="AC48" s="77"/>
      <c r="AD48" s="77"/>
      <c r="AE48" s="77"/>
      <c r="AF48" s="77"/>
      <c r="AG48" s="77" t="s">
        <v>907</v>
      </c>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row>
    <row r="49" spans="1:60" ht="15">
      <c r="A49" s="88"/>
      <c r="B49" s="87"/>
      <c r="C49" s="272" t="s">
        <v>994</v>
      </c>
      <c r="D49" s="273"/>
      <c r="E49" s="273"/>
      <c r="F49" s="273"/>
      <c r="G49" s="273"/>
      <c r="H49" s="78"/>
      <c r="I49" s="78"/>
      <c r="J49" s="78"/>
      <c r="K49" s="78"/>
      <c r="L49" s="78"/>
      <c r="M49" s="78"/>
      <c r="N49" s="79"/>
      <c r="O49" s="79"/>
      <c r="P49" s="79"/>
      <c r="Q49" s="79"/>
      <c r="R49" s="78"/>
      <c r="S49" s="78"/>
      <c r="T49" s="78"/>
      <c r="U49" s="78"/>
      <c r="V49" s="78"/>
      <c r="W49" s="78"/>
      <c r="X49" s="78"/>
      <c r="Y49" s="77"/>
      <c r="Z49" s="77"/>
      <c r="AA49" s="77"/>
      <c r="AB49" s="77"/>
      <c r="AC49" s="77"/>
      <c r="AD49" s="77"/>
      <c r="AE49" s="77"/>
      <c r="AF49" s="77"/>
      <c r="AG49" s="77" t="s">
        <v>907</v>
      </c>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row>
    <row r="50" spans="1:60" ht="15">
      <c r="A50" s="88"/>
      <c r="B50" s="87"/>
      <c r="C50" s="272" t="s">
        <v>993</v>
      </c>
      <c r="D50" s="273"/>
      <c r="E50" s="273"/>
      <c r="F50" s="273"/>
      <c r="G50" s="273"/>
      <c r="H50" s="78"/>
      <c r="I50" s="78"/>
      <c r="J50" s="78"/>
      <c r="K50" s="78"/>
      <c r="L50" s="78"/>
      <c r="M50" s="78"/>
      <c r="N50" s="79"/>
      <c r="O50" s="79"/>
      <c r="P50" s="79"/>
      <c r="Q50" s="79"/>
      <c r="R50" s="78"/>
      <c r="S50" s="78"/>
      <c r="T50" s="78"/>
      <c r="U50" s="78"/>
      <c r="V50" s="78"/>
      <c r="W50" s="78"/>
      <c r="X50" s="78"/>
      <c r="Y50" s="77"/>
      <c r="Z50" s="77"/>
      <c r="AA50" s="77"/>
      <c r="AB50" s="77"/>
      <c r="AC50" s="77"/>
      <c r="AD50" s="77"/>
      <c r="AE50" s="77"/>
      <c r="AF50" s="77"/>
      <c r="AG50" s="77" t="s">
        <v>907</v>
      </c>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row>
    <row r="51" spans="1:60" ht="15">
      <c r="A51" s="88"/>
      <c r="B51" s="87"/>
      <c r="C51" s="272" t="s">
        <v>992</v>
      </c>
      <c r="D51" s="273"/>
      <c r="E51" s="273"/>
      <c r="F51" s="273"/>
      <c r="G51" s="273"/>
      <c r="H51" s="78"/>
      <c r="I51" s="78"/>
      <c r="J51" s="78"/>
      <c r="K51" s="78"/>
      <c r="L51" s="78"/>
      <c r="M51" s="78"/>
      <c r="N51" s="79"/>
      <c r="O51" s="79"/>
      <c r="P51" s="79"/>
      <c r="Q51" s="79"/>
      <c r="R51" s="78"/>
      <c r="S51" s="78"/>
      <c r="T51" s="78"/>
      <c r="U51" s="78"/>
      <c r="V51" s="78"/>
      <c r="W51" s="78"/>
      <c r="X51" s="78"/>
      <c r="Y51" s="77"/>
      <c r="Z51" s="77"/>
      <c r="AA51" s="77"/>
      <c r="AB51" s="77"/>
      <c r="AC51" s="77"/>
      <c r="AD51" s="77"/>
      <c r="AE51" s="77"/>
      <c r="AF51" s="77"/>
      <c r="AG51" s="77" t="s">
        <v>907</v>
      </c>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row>
    <row r="52" spans="1:33" ht="15">
      <c r="A52" s="97" t="s">
        <v>921</v>
      </c>
      <c r="B52" s="96" t="s">
        <v>87</v>
      </c>
      <c r="C52" s="95" t="s">
        <v>140</v>
      </c>
      <c r="D52" s="94"/>
      <c r="E52" s="93"/>
      <c r="F52" s="92"/>
      <c r="G52" s="91">
        <f>G53+G57+G65+G69</f>
        <v>0</v>
      </c>
      <c r="H52" s="89"/>
      <c r="I52" s="89">
        <v>0</v>
      </c>
      <c r="J52" s="89"/>
      <c r="K52" s="89">
        <v>33514.27</v>
      </c>
      <c r="L52" s="89"/>
      <c r="M52" s="89"/>
      <c r="N52" s="90"/>
      <c r="O52" s="90"/>
      <c r="P52" s="90"/>
      <c r="Q52" s="90"/>
      <c r="R52" s="89"/>
      <c r="S52" s="89"/>
      <c r="T52" s="89"/>
      <c r="U52" s="89"/>
      <c r="V52" s="89"/>
      <c r="W52" s="89"/>
      <c r="X52" s="89"/>
      <c r="AG52" s="69" t="s">
        <v>919</v>
      </c>
    </row>
    <row r="53" spans="1:60" ht="15">
      <c r="A53" s="85">
        <v>11</v>
      </c>
      <c r="B53" s="84" t="s">
        <v>991</v>
      </c>
      <c r="C53" s="83" t="s">
        <v>990</v>
      </c>
      <c r="D53" s="82" t="s">
        <v>89</v>
      </c>
      <c r="E53" s="81">
        <v>31.24</v>
      </c>
      <c r="F53" s="514">
        <v>0</v>
      </c>
      <c r="G53" s="80">
        <f>F53*E53</f>
        <v>0</v>
      </c>
      <c r="H53" s="78">
        <v>0</v>
      </c>
      <c r="I53" s="78">
        <v>0</v>
      </c>
      <c r="J53" s="78">
        <v>251</v>
      </c>
      <c r="K53" s="78">
        <v>7841.24</v>
      </c>
      <c r="L53" s="78">
        <v>21</v>
      </c>
      <c r="M53" s="78">
        <v>9487.9004</v>
      </c>
      <c r="N53" s="79">
        <v>0</v>
      </c>
      <c r="O53" s="79">
        <v>0</v>
      </c>
      <c r="P53" s="79">
        <v>0</v>
      </c>
      <c r="Q53" s="79">
        <v>0</v>
      </c>
      <c r="R53" s="78"/>
      <c r="S53" s="78" t="s">
        <v>910</v>
      </c>
      <c r="T53" s="78" t="s">
        <v>910</v>
      </c>
      <c r="U53" s="78">
        <v>0.526</v>
      </c>
      <c r="V53" s="78">
        <v>16.43224</v>
      </c>
      <c r="W53" s="78"/>
      <c r="X53" s="78" t="s">
        <v>926</v>
      </c>
      <c r="Y53" s="77"/>
      <c r="Z53" s="77"/>
      <c r="AA53" s="77"/>
      <c r="AB53" s="77"/>
      <c r="AC53" s="77"/>
      <c r="AD53" s="77"/>
      <c r="AE53" s="77"/>
      <c r="AF53" s="77"/>
      <c r="AG53" s="77" t="s">
        <v>925</v>
      </c>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row>
    <row r="54" spans="1:60" ht="15">
      <c r="A54" s="88"/>
      <c r="B54" s="87"/>
      <c r="C54" s="100" t="s">
        <v>981</v>
      </c>
      <c r="D54" s="99"/>
      <c r="E54" s="98">
        <v>7.5</v>
      </c>
      <c r="F54" s="78"/>
      <c r="G54" s="78"/>
      <c r="H54" s="78"/>
      <c r="I54" s="78"/>
      <c r="J54" s="78"/>
      <c r="K54" s="78"/>
      <c r="L54" s="78"/>
      <c r="M54" s="78"/>
      <c r="N54" s="79"/>
      <c r="O54" s="79"/>
      <c r="P54" s="79"/>
      <c r="Q54" s="79"/>
      <c r="R54" s="78"/>
      <c r="S54" s="78"/>
      <c r="T54" s="78"/>
      <c r="U54" s="78"/>
      <c r="V54" s="78"/>
      <c r="W54" s="78"/>
      <c r="X54" s="78"/>
      <c r="Y54" s="77"/>
      <c r="Z54" s="77"/>
      <c r="AA54" s="77"/>
      <c r="AB54" s="77"/>
      <c r="AC54" s="77"/>
      <c r="AD54" s="77"/>
      <c r="AE54" s="77"/>
      <c r="AF54" s="77"/>
      <c r="AG54" s="77" t="s">
        <v>922</v>
      </c>
      <c r="AH54" s="77">
        <v>0</v>
      </c>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row>
    <row r="55" spans="1:60" ht="15">
      <c r="A55" s="88"/>
      <c r="B55" s="87"/>
      <c r="C55" s="100" t="s">
        <v>980</v>
      </c>
      <c r="D55" s="99"/>
      <c r="E55" s="98">
        <v>4.14</v>
      </c>
      <c r="F55" s="78"/>
      <c r="G55" s="78"/>
      <c r="H55" s="78"/>
      <c r="I55" s="78"/>
      <c r="J55" s="78"/>
      <c r="K55" s="78"/>
      <c r="L55" s="78"/>
      <c r="M55" s="78"/>
      <c r="N55" s="79"/>
      <c r="O55" s="79"/>
      <c r="P55" s="79"/>
      <c r="Q55" s="79"/>
      <c r="R55" s="78"/>
      <c r="S55" s="78"/>
      <c r="T55" s="78"/>
      <c r="U55" s="78"/>
      <c r="V55" s="78"/>
      <c r="W55" s="78"/>
      <c r="X55" s="78"/>
      <c r="Y55" s="77"/>
      <c r="Z55" s="77"/>
      <c r="AA55" s="77"/>
      <c r="AB55" s="77"/>
      <c r="AC55" s="77"/>
      <c r="AD55" s="77"/>
      <c r="AE55" s="77"/>
      <c r="AF55" s="77"/>
      <c r="AG55" s="77" t="s">
        <v>922</v>
      </c>
      <c r="AH55" s="77">
        <v>0</v>
      </c>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row>
    <row r="56" spans="1:60" ht="15">
      <c r="A56" s="88"/>
      <c r="B56" s="87"/>
      <c r="C56" s="100" t="s">
        <v>979</v>
      </c>
      <c r="D56" s="99"/>
      <c r="E56" s="98">
        <v>19.6</v>
      </c>
      <c r="F56" s="78"/>
      <c r="G56" s="78"/>
      <c r="H56" s="78"/>
      <c r="I56" s="78"/>
      <c r="J56" s="78"/>
      <c r="K56" s="78"/>
      <c r="L56" s="78"/>
      <c r="M56" s="78"/>
      <c r="N56" s="79"/>
      <c r="O56" s="79"/>
      <c r="P56" s="79"/>
      <c r="Q56" s="79"/>
      <c r="R56" s="78"/>
      <c r="S56" s="78"/>
      <c r="T56" s="78"/>
      <c r="U56" s="78"/>
      <c r="V56" s="78"/>
      <c r="W56" s="78"/>
      <c r="X56" s="78"/>
      <c r="Y56" s="77"/>
      <c r="Z56" s="77"/>
      <c r="AA56" s="77"/>
      <c r="AB56" s="77"/>
      <c r="AC56" s="77"/>
      <c r="AD56" s="77"/>
      <c r="AE56" s="77"/>
      <c r="AF56" s="77"/>
      <c r="AG56" s="77" t="s">
        <v>922</v>
      </c>
      <c r="AH56" s="77">
        <v>0</v>
      </c>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row>
    <row r="57" spans="1:60" ht="15">
      <c r="A57" s="85">
        <v>12</v>
      </c>
      <c r="B57" s="84" t="s">
        <v>989</v>
      </c>
      <c r="C57" s="83" t="s">
        <v>988</v>
      </c>
      <c r="D57" s="82" t="s">
        <v>89</v>
      </c>
      <c r="E57" s="81">
        <v>31.24</v>
      </c>
      <c r="F57" s="514">
        <v>0</v>
      </c>
      <c r="G57" s="80">
        <f>F57*E57</f>
        <v>0</v>
      </c>
      <c r="H57" s="78">
        <v>0</v>
      </c>
      <c r="I57" s="78">
        <v>0</v>
      </c>
      <c r="J57" s="78">
        <v>606</v>
      </c>
      <c r="K57" s="78">
        <v>18931.44</v>
      </c>
      <c r="L57" s="78">
        <v>21</v>
      </c>
      <c r="M57" s="78">
        <v>22907.0424</v>
      </c>
      <c r="N57" s="79">
        <v>0</v>
      </c>
      <c r="O57" s="79">
        <v>0</v>
      </c>
      <c r="P57" s="79">
        <v>0.063</v>
      </c>
      <c r="Q57" s="79">
        <v>1.9681199999999999</v>
      </c>
      <c r="R57" s="78"/>
      <c r="S57" s="78" t="s">
        <v>910</v>
      </c>
      <c r="T57" s="78" t="s">
        <v>910</v>
      </c>
      <c r="U57" s="78">
        <v>1.006</v>
      </c>
      <c r="V57" s="78">
        <v>31.427439999999997</v>
      </c>
      <c r="W57" s="78"/>
      <c r="X57" s="78" t="s">
        <v>926</v>
      </c>
      <c r="Y57" s="77"/>
      <c r="Z57" s="77"/>
      <c r="AA57" s="77"/>
      <c r="AB57" s="77"/>
      <c r="AC57" s="77"/>
      <c r="AD57" s="77"/>
      <c r="AE57" s="77"/>
      <c r="AF57" s="77"/>
      <c r="AG57" s="77" t="s">
        <v>925</v>
      </c>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row>
    <row r="58" spans="1:60" ht="15">
      <c r="A58" s="88"/>
      <c r="B58" s="87"/>
      <c r="C58" s="270" t="s">
        <v>987</v>
      </c>
      <c r="D58" s="271"/>
      <c r="E58" s="271"/>
      <c r="F58" s="271"/>
      <c r="G58" s="271"/>
      <c r="H58" s="78"/>
      <c r="I58" s="78"/>
      <c r="J58" s="78"/>
      <c r="K58" s="78"/>
      <c r="L58" s="78"/>
      <c r="M58" s="78"/>
      <c r="N58" s="79"/>
      <c r="O58" s="79"/>
      <c r="P58" s="79"/>
      <c r="Q58" s="79"/>
      <c r="R58" s="78"/>
      <c r="S58" s="78"/>
      <c r="T58" s="78"/>
      <c r="U58" s="78"/>
      <c r="V58" s="78"/>
      <c r="W58" s="78"/>
      <c r="X58" s="78"/>
      <c r="Y58" s="77"/>
      <c r="Z58" s="77"/>
      <c r="AA58" s="77"/>
      <c r="AB58" s="77"/>
      <c r="AC58" s="77"/>
      <c r="AD58" s="77"/>
      <c r="AE58" s="77"/>
      <c r="AF58" s="77"/>
      <c r="AG58" s="77" t="s">
        <v>907</v>
      </c>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row>
    <row r="59" spans="1:60" ht="15">
      <c r="A59" s="88"/>
      <c r="B59" s="87"/>
      <c r="C59" s="272" t="s">
        <v>986</v>
      </c>
      <c r="D59" s="273"/>
      <c r="E59" s="273"/>
      <c r="F59" s="273"/>
      <c r="G59" s="273"/>
      <c r="H59" s="78"/>
      <c r="I59" s="78"/>
      <c r="J59" s="78"/>
      <c r="K59" s="78"/>
      <c r="L59" s="78"/>
      <c r="M59" s="78"/>
      <c r="N59" s="79"/>
      <c r="O59" s="79"/>
      <c r="P59" s="79"/>
      <c r="Q59" s="79"/>
      <c r="R59" s="78"/>
      <c r="S59" s="78"/>
      <c r="T59" s="78"/>
      <c r="U59" s="78"/>
      <c r="V59" s="78"/>
      <c r="W59" s="78"/>
      <c r="X59" s="78"/>
      <c r="Y59" s="77"/>
      <c r="Z59" s="77"/>
      <c r="AA59" s="77"/>
      <c r="AB59" s="77"/>
      <c r="AC59" s="77"/>
      <c r="AD59" s="77"/>
      <c r="AE59" s="77"/>
      <c r="AF59" s="77"/>
      <c r="AG59" s="77" t="s">
        <v>907</v>
      </c>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row>
    <row r="60" spans="1:60" ht="15">
      <c r="A60" s="88"/>
      <c r="B60" s="87"/>
      <c r="C60" s="272" t="s">
        <v>985</v>
      </c>
      <c r="D60" s="273"/>
      <c r="E60" s="273"/>
      <c r="F60" s="273"/>
      <c r="G60" s="273"/>
      <c r="H60" s="78"/>
      <c r="I60" s="78"/>
      <c r="J60" s="78"/>
      <c r="K60" s="78"/>
      <c r="L60" s="78"/>
      <c r="M60" s="78"/>
      <c r="N60" s="79"/>
      <c r="O60" s="79"/>
      <c r="P60" s="79"/>
      <c r="Q60" s="79"/>
      <c r="R60" s="78"/>
      <c r="S60" s="78"/>
      <c r="T60" s="78"/>
      <c r="U60" s="78"/>
      <c r="V60" s="78"/>
      <c r="W60" s="78"/>
      <c r="X60" s="78"/>
      <c r="Y60" s="77"/>
      <c r="Z60" s="77"/>
      <c r="AA60" s="77"/>
      <c r="AB60" s="77"/>
      <c r="AC60" s="77"/>
      <c r="AD60" s="77"/>
      <c r="AE60" s="77"/>
      <c r="AF60" s="77"/>
      <c r="AG60" s="77" t="s">
        <v>907</v>
      </c>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row>
    <row r="61" spans="1:60" ht="15">
      <c r="A61" s="88"/>
      <c r="B61" s="87"/>
      <c r="C61" s="272" t="s">
        <v>984</v>
      </c>
      <c r="D61" s="273"/>
      <c r="E61" s="273"/>
      <c r="F61" s="273"/>
      <c r="G61" s="273"/>
      <c r="H61" s="78"/>
      <c r="I61" s="78"/>
      <c r="J61" s="78"/>
      <c r="K61" s="78"/>
      <c r="L61" s="78"/>
      <c r="M61" s="78"/>
      <c r="N61" s="79"/>
      <c r="O61" s="79"/>
      <c r="P61" s="79"/>
      <c r="Q61" s="79"/>
      <c r="R61" s="78"/>
      <c r="S61" s="78"/>
      <c r="T61" s="78"/>
      <c r="U61" s="78"/>
      <c r="V61" s="78"/>
      <c r="W61" s="78"/>
      <c r="X61" s="78"/>
      <c r="Y61" s="77"/>
      <c r="Z61" s="77"/>
      <c r="AA61" s="77"/>
      <c r="AB61" s="77"/>
      <c r="AC61" s="77"/>
      <c r="AD61" s="77"/>
      <c r="AE61" s="77"/>
      <c r="AF61" s="77"/>
      <c r="AG61" s="77" t="s">
        <v>907</v>
      </c>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row>
    <row r="62" spans="1:60" ht="15">
      <c r="A62" s="88"/>
      <c r="B62" s="87"/>
      <c r="C62" s="100" t="s">
        <v>981</v>
      </c>
      <c r="D62" s="99"/>
      <c r="E62" s="98">
        <v>7.5</v>
      </c>
      <c r="F62" s="78"/>
      <c r="G62" s="78"/>
      <c r="H62" s="78"/>
      <c r="I62" s="78"/>
      <c r="J62" s="78"/>
      <c r="K62" s="78"/>
      <c r="L62" s="78"/>
      <c r="M62" s="78"/>
      <c r="N62" s="79"/>
      <c r="O62" s="79"/>
      <c r="P62" s="79"/>
      <c r="Q62" s="79"/>
      <c r="R62" s="78"/>
      <c r="S62" s="78"/>
      <c r="T62" s="78"/>
      <c r="U62" s="78"/>
      <c r="V62" s="78"/>
      <c r="W62" s="78"/>
      <c r="X62" s="78"/>
      <c r="Y62" s="77"/>
      <c r="Z62" s="77"/>
      <c r="AA62" s="77"/>
      <c r="AB62" s="77"/>
      <c r="AC62" s="77"/>
      <c r="AD62" s="77"/>
      <c r="AE62" s="77"/>
      <c r="AF62" s="77"/>
      <c r="AG62" s="77" t="s">
        <v>922</v>
      </c>
      <c r="AH62" s="77">
        <v>0</v>
      </c>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row>
    <row r="63" spans="1:60" ht="15">
      <c r="A63" s="88"/>
      <c r="B63" s="87"/>
      <c r="C63" s="100" t="s">
        <v>980</v>
      </c>
      <c r="D63" s="99"/>
      <c r="E63" s="98">
        <v>4.14</v>
      </c>
      <c r="F63" s="78"/>
      <c r="G63" s="78"/>
      <c r="H63" s="78"/>
      <c r="I63" s="78"/>
      <c r="J63" s="78"/>
      <c r="K63" s="78"/>
      <c r="L63" s="78"/>
      <c r="M63" s="78"/>
      <c r="N63" s="79"/>
      <c r="O63" s="79"/>
      <c r="P63" s="79"/>
      <c r="Q63" s="79"/>
      <c r="R63" s="78"/>
      <c r="S63" s="78"/>
      <c r="T63" s="78"/>
      <c r="U63" s="78"/>
      <c r="V63" s="78"/>
      <c r="W63" s="78"/>
      <c r="X63" s="78"/>
      <c r="Y63" s="77"/>
      <c r="Z63" s="77"/>
      <c r="AA63" s="77"/>
      <c r="AB63" s="77"/>
      <c r="AC63" s="77"/>
      <c r="AD63" s="77"/>
      <c r="AE63" s="77"/>
      <c r="AF63" s="77"/>
      <c r="AG63" s="77" t="s">
        <v>922</v>
      </c>
      <c r="AH63" s="77">
        <v>0</v>
      </c>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row>
    <row r="64" spans="1:60" ht="15">
      <c r="A64" s="88"/>
      <c r="B64" s="87"/>
      <c r="C64" s="100" t="s">
        <v>979</v>
      </c>
      <c r="D64" s="99"/>
      <c r="E64" s="98">
        <v>19.6</v>
      </c>
      <c r="F64" s="78"/>
      <c r="G64" s="78"/>
      <c r="H64" s="78"/>
      <c r="I64" s="78"/>
      <c r="J64" s="78"/>
      <c r="K64" s="78"/>
      <c r="L64" s="78"/>
      <c r="M64" s="78"/>
      <c r="N64" s="79"/>
      <c r="O64" s="79"/>
      <c r="P64" s="79"/>
      <c r="Q64" s="79"/>
      <c r="R64" s="78"/>
      <c r="S64" s="78"/>
      <c r="T64" s="78"/>
      <c r="U64" s="78"/>
      <c r="V64" s="78"/>
      <c r="W64" s="78"/>
      <c r="X64" s="78"/>
      <c r="Y64" s="77"/>
      <c r="Z64" s="77"/>
      <c r="AA64" s="77"/>
      <c r="AB64" s="77"/>
      <c r="AC64" s="77"/>
      <c r="AD64" s="77"/>
      <c r="AE64" s="77"/>
      <c r="AF64" s="77"/>
      <c r="AG64" s="77" t="s">
        <v>922</v>
      </c>
      <c r="AH64" s="77">
        <v>0</v>
      </c>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row>
    <row r="65" spans="1:60" ht="15">
      <c r="A65" s="85">
        <v>13</v>
      </c>
      <c r="B65" s="84" t="s">
        <v>983</v>
      </c>
      <c r="C65" s="83" t="s">
        <v>982</v>
      </c>
      <c r="D65" s="82" t="s">
        <v>89</v>
      </c>
      <c r="E65" s="81">
        <v>31.24</v>
      </c>
      <c r="F65" s="514">
        <v>0</v>
      </c>
      <c r="G65" s="80">
        <f>F65*E65</f>
        <v>0</v>
      </c>
      <c r="H65" s="78">
        <v>0</v>
      </c>
      <c r="I65" s="78">
        <v>0</v>
      </c>
      <c r="J65" s="78">
        <v>129.5</v>
      </c>
      <c r="K65" s="78">
        <v>4045.58</v>
      </c>
      <c r="L65" s="78">
        <v>21</v>
      </c>
      <c r="M65" s="78">
        <v>4895.1518</v>
      </c>
      <c r="N65" s="79">
        <v>0</v>
      </c>
      <c r="O65" s="79">
        <v>0</v>
      </c>
      <c r="P65" s="79">
        <v>0.05</v>
      </c>
      <c r="Q65" s="79">
        <v>1.562</v>
      </c>
      <c r="R65" s="78"/>
      <c r="S65" s="78" t="s">
        <v>910</v>
      </c>
      <c r="T65" s="78" t="s">
        <v>910</v>
      </c>
      <c r="U65" s="78">
        <v>0.33</v>
      </c>
      <c r="V65" s="78">
        <v>10.3092</v>
      </c>
      <c r="W65" s="78"/>
      <c r="X65" s="78" t="s">
        <v>926</v>
      </c>
      <c r="Y65" s="77"/>
      <c r="Z65" s="77"/>
      <c r="AA65" s="77"/>
      <c r="AB65" s="77"/>
      <c r="AC65" s="77"/>
      <c r="AD65" s="77"/>
      <c r="AE65" s="77"/>
      <c r="AF65" s="77"/>
      <c r="AG65" s="77" t="s">
        <v>925</v>
      </c>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row>
    <row r="66" spans="1:60" ht="15">
      <c r="A66" s="88"/>
      <c r="B66" s="87"/>
      <c r="C66" s="100" t="s">
        <v>981</v>
      </c>
      <c r="D66" s="99"/>
      <c r="E66" s="98">
        <v>7.5</v>
      </c>
      <c r="F66" s="78"/>
      <c r="G66" s="78"/>
      <c r="H66" s="78"/>
      <c r="I66" s="78"/>
      <c r="J66" s="78"/>
      <c r="K66" s="78"/>
      <c r="L66" s="78"/>
      <c r="M66" s="78"/>
      <c r="N66" s="79"/>
      <c r="O66" s="79"/>
      <c r="P66" s="79"/>
      <c r="Q66" s="79"/>
      <c r="R66" s="78"/>
      <c r="S66" s="78"/>
      <c r="T66" s="78"/>
      <c r="U66" s="78"/>
      <c r="V66" s="78"/>
      <c r="W66" s="78"/>
      <c r="X66" s="78"/>
      <c r="Y66" s="77"/>
      <c r="Z66" s="77"/>
      <c r="AA66" s="77"/>
      <c r="AB66" s="77"/>
      <c r="AC66" s="77"/>
      <c r="AD66" s="77"/>
      <c r="AE66" s="77"/>
      <c r="AF66" s="77"/>
      <c r="AG66" s="77" t="s">
        <v>922</v>
      </c>
      <c r="AH66" s="77">
        <v>0</v>
      </c>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row>
    <row r="67" spans="1:60" ht="15">
      <c r="A67" s="88"/>
      <c r="B67" s="87"/>
      <c r="C67" s="100" t="s">
        <v>980</v>
      </c>
      <c r="D67" s="99"/>
      <c r="E67" s="98">
        <v>4.14</v>
      </c>
      <c r="F67" s="78"/>
      <c r="G67" s="78"/>
      <c r="H67" s="78"/>
      <c r="I67" s="78"/>
      <c r="J67" s="78"/>
      <c r="K67" s="78"/>
      <c r="L67" s="78"/>
      <c r="M67" s="78"/>
      <c r="N67" s="79"/>
      <c r="O67" s="79"/>
      <c r="P67" s="79"/>
      <c r="Q67" s="79"/>
      <c r="R67" s="78"/>
      <c r="S67" s="78"/>
      <c r="T67" s="78"/>
      <c r="U67" s="78"/>
      <c r="V67" s="78"/>
      <c r="W67" s="78"/>
      <c r="X67" s="78"/>
      <c r="Y67" s="77"/>
      <c r="Z67" s="77"/>
      <c r="AA67" s="77"/>
      <c r="AB67" s="77"/>
      <c r="AC67" s="77"/>
      <c r="AD67" s="77"/>
      <c r="AE67" s="77"/>
      <c r="AF67" s="77"/>
      <c r="AG67" s="77" t="s">
        <v>922</v>
      </c>
      <c r="AH67" s="77">
        <v>0</v>
      </c>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row>
    <row r="68" spans="1:60" ht="15">
      <c r="A68" s="88"/>
      <c r="B68" s="87"/>
      <c r="C68" s="100" t="s">
        <v>979</v>
      </c>
      <c r="D68" s="99"/>
      <c r="E68" s="98">
        <v>19.6</v>
      </c>
      <c r="F68" s="78"/>
      <c r="G68" s="78"/>
      <c r="H68" s="78"/>
      <c r="I68" s="78"/>
      <c r="J68" s="78"/>
      <c r="K68" s="78"/>
      <c r="L68" s="78"/>
      <c r="M68" s="78"/>
      <c r="N68" s="79"/>
      <c r="O68" s="79"/>
      <c r="P68" s="79"/>
      <c r="Q68" s="79"/>
      <c r="R68" s="78"/>
      <c r="S68" s="78"/>
      <c r="T68" s="78"/>
      <c r="U68" s="78"/>
      <c r="V68" s="78"/>
      <c r="W68" s="78"/>
      <c r="X68" s="78"/>
      <c r="Y68" s="77"/>
      <c r="Z68" s="77"/>
      <c r="AA68" s="77"/>
      <c r="AB68" s="77"/>
      <c r="AC68" s="77"/>
      <c r="AD68" s="77"/>
      <c r="AE68" s="77"/>
      <c r="AF68" s="77"/>
      <c r="AG68" s="77" t="s">
        <v>922</v>
      </c>
      <c r="AH68" s="77">
        <v>0</v>
      </c>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row>
    <row r="69" spans="1:60" ht="15">
      <c r="A69" s="85">
        <v>14</v>
      </c>
      <c r="B69" s="84" t="s">
        <v>91</v>
      </c>
      <c r="C69" s="83" t="s">
        <v>90</v>
      </c>
      <c r="D69" s="82" t="s">
        <v>89</v>
      </c>
      <c r="E69" s="81">
        <v>31.24</v>
      </c>
      <c r="F69" s="514">
        <v>0</v>
      </c>
      <c r="G69" s="80">
        <f>F69*E69</f>
        <v>0</v>
      </c>
      <c r="H69" s="78">
        <v>0</v>
      </c>
      <c r="I69" s="78">
        <v>0</v>
      </c>
      <c r="J69" s="78">
        <v>86.3</v>
      </c>
      <c r="K69" s="78">
        <v>2696.0119999999997</v>
      </c>
      <c r="L69" s="78">
        <v>21</v>
      </c>
      <c r="M69" s="78">
        <v>3262.1721000000002</v>
      </c>
      <c r="N69" s="79">
        <v>0</v>
      </c>
      <c r="O69" s="79">
        <v>0</v>
      </c>
      <c r="P69" s="79">
        <v>0.014</v>
      </c>
      <c r="Q69" s="79">
        <v>0.43735999999999997</v>
      </c>
      <c r="R69" s="78"/>
      <c r="S69" s="78" t="s">
        <v>910</v>
      </c>
      <c r="T69" s="78" t="s">
        <v>910</v>
      </c>
      <c r="U69" s="78">
        <v>0.22</v>
      </c>
      <c r="V69" s="78">
        <v>6.8728</v>
      </c>
      <c r="W69" s="78"/>
      <c r="X69" s="78" t="s">
        <v>926</v>
      </c>
      <c r="Y69" s="77"/>
      <c r="Z69" s="77"/>
      <c r="AA69" s="77"/>
      <c r="AB69" s="77"/>
      <c r="AC69" s="77"/>
      <c r="AD69" s="77"/>
      <c r="AE69" s="77"/>
      <c r="AF69" s="77"/>
      <c r="AG69" s="77" t="s">
        <v>925</v>
      </c>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row>
    <row r="70" spans="1:60" ht="15">
      <c r="A70" s="88"/>
      <c r="B70" s="87"/>
      <c r="C70" s="100" t="s">
        <v>981</v>
      </c>
      <c r="D70" s="99"/>
      <c r="E70" s="98">
        <v>7.5</v>
      </c>
      <c r="F70" s="78"/>
      <c r="G70" s="78"/>
      <c r="H70" s="78"/>
      <c r="I70" s="78"/>
      <c r="J70" s="78"/>
      <c r="K70" s="78"/>
      <c r="L70" s="78"/>
      <c r="M70" s="78"/>
      <c r="N70" s="79"/>
      <c r="O70" s="79"/>
      <c r="P70" s="79"/>
      <c r="Q70" s="79"/>
      <c r="R70" s="78"/>
      <c r="S70" s="78"/>
      <c r="T70" s="78"/>
      <c r="U70" s="78"/>
      <c r="V70" s="78"/>
      <c r="W70" s="78"/>
      <c r="X70" s="78"/>
      <c r="Y70" s="77"/>
      <c r="Z70" s="77"/>
      <c r="AA70" s="77"/>
      <c r="AB70" s="77"/>
      <c r="AC70" s="77"/>
      <c r="AD70" s="77"/>
      <c r="AE70" s="77"/>
      <c r="AF70" s="77"/>
      <c r="AG70" s="77" t="s">
        <v>922</v>
      </c>
      <c r="AH70" s="77">
        <v>0</v>
      </c>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row>
    <row r="71" spans="1:60" ht="15">
      <c r="A71" s="88"/>
      <c r="B71" s="87"/>
      <c r="C71" s="100" t="s">
        <v>980</v>
      </c>
      <c r="D71" s="99"/>
      <c r="E71" s="98">
        <v>4.14</v>
      </c>
      <c r="F71" s="78"/>
      <c r="G71" s="78"/>
      <c r="H71" s="78"/>
      <c r="I71" s="78"/>
      <c r="J71" s="78"/>
      <c r="K71" s="78"/>
      <c r="L71" s="78"/>
      <c r="M71" s="78"/>
      <c r="N71" s="79"/>
      <c r="O71" s="79"/>
      <c r="P71" s="79"/>
      <c r="Q71" s="79"/>
      <c r="R71" s="78"/>
      <c r="S71" s="78"/>
      <c r="T71" s="78"/>
      <c r="U71" s="78"/>
      <c r="V71" s="78"/>
      <c r="W71" s="78"/>
      <c r="X71" s="78"/>
      <c r="Y71" s="77"/>
      <c r="Z71" s="77"/>
      <c r="AA71" s="77"/>
      <c r="AB71" s="77"/>
      <c r="AC71" s="77"/>
      <c r="AD71" s="77"/>
      <c r="AE71" s="77"/>
      <c r="AF71" s="77"/>
      <c r="AG71" s="77" t="s">
        <v>922</v>
      </c>
      <c r="AH71" s="77">
        <v>0</v>
      </c>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row>
    <row r="72" spans="1:60" ht="15">
      <c r="A72" s="88"/>
      <c r="B72" s="87"/>
      <c r="C72" s="100" t="s">
        <v>979</v>
      </c>
      <c r="D72" s="99"/>
      <c r="E72" s="98">
        <v>19.6</v>
      </c>
      <c r="F72" s="78"/>
      <c r="G72" s="78"/>
      <c r="H72" s="78"/>
      <c r="I72" s="78"/>
      <c r="J72" s="78"/>
      <c r="K72" s="78"/>
      <c r="L72" s="78"/>
      <c r="M72" s="78"/>
      <c r="N72" s="79"/>
      <c r="O72" s="79"/>
      <c r="P72" s="79"/>
      <c r="Q72" s="79"/>
      <c r="R72" s="78"/>
      <c r="S72" s="78"/>
      <c r="T72" s="78"/>
      <c r="U72" s="78"/>
      <c r="V72" s="78"/>
      <c r="W72" s="78"/>
      <c r="X72" s="78"/>
      <c r="Y72" s="77"/>
      <c r="Z72" s="77"/>
      <c r="AA72" s="77"/>
      <c r="AB72" s="77"/>
      <c r="AC72" s="77"/>
      <c r="AD72" s="77"/>
      <c r="AE72" s="77"/>
      <c r="AF72" s="77"/>
      <c r="AG72" s="77" t="s">
        <v>922</v>
      </c>
      <c r="AH72" s="77">
        <v>0</v>
      </c>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row>
    <row r="73" spans="1:33" ht="15">
      <c r="A73" s="97" t="s">
        <v>921</v>
      </c>
      <c r="B73" s="96" t="s">
        <v>978</v>
      </c>
      <c r="C73" s="95" t="s">
        <v>977</v>
      </c>
      <c r="D73" s="94"/>
      <c r="E73" s="93"/>
      <c r="F73" s="92"/>
      <c r="G73" s="91">
        <f>G74</f>
        <v>0</v>
      </c>
      <c r="H73" s="89"/>
      <c r="I73" s="89">
        <v>0</v>
      </c>
      <c r="J73" s="89"/>
      <c r="K73" s="89">
        <v>30960</v>
      </c>
      <c r="L73" s="89"/>
      <c r="M73" s="89"/>
      <c r="N73" s="90"/>
      <c r="O73" s="90"/>
      <c r="P73" s="90"/>
      <c r="Q73" s="90"/>
      <c r="R73" s="89"/>
      <c r="S73" s="89"/>
      <c r="T73" s="89"/>
      <c r="U73" s="89"/>
      <c r="V73" s="89"/>
      <c r="W73" s="89"/>
      <c r="X73" s="89"/>
      <c r="AG73" s="69" t="s">
        <v>919</v>
      </c>
    </row>
    <row r="74" spans="1:60" ht="22.5">
      <c r="A74" s="85">
        <v>15</v>
      </c>
      <c r="B74" s="84" t="s">
        <v>976</v>
      </c>
      <c r="C74" s="83" t="s">
        <v>975</v>
      </c>
      <c r="D74" s="82" t="s">
        <v>974</v>
      </c>
      <c r="E74" s="81">
        <v>72</v>
      </c>
      <c r="F74" s="514">
        <v>0</v>
      </c>
      <c r="G74" s="80">
        <f>F74*E74</f>
        <v>0</v>
      </c>
      <c r="H74" s="78">
        <v>0</v>
      </c>
      <c r="I74" s="78">
        <v>0</v>
      </c>
      <c r="J74" s="78">
        <v>430</v>
      </c>
      <c r="K74" s="78">
        <v>30960</v>
      </c>
      <c r="L74" s="78">
        <v>21</v>
      </c>
      <c r="M74" s="78">
        <v>37461.6</v>
      </c>
      <c r="N74" s="79">
        <v>0</v>
      </c>
      <c r="O74" s="79">
        <v>0</v>
      </c>
      <c r="P74" s="79">
        <v>0</v>
      </c>
      <c r="Q74" s="79">
        <v>0</v>
      </c>
      <c r="R74" s="78"/>
      <c r="S74" s="78" t="s">
        <v>910</v>
      </c>
      <c r="T74" s="78" t="s">
        <v>910</v>
      </c>
      <c r="U74" s="78">
        <v>1</v>
      </c>
      <c r="V74" s="78">
        <v>72</v>
      </c>
      <c r="W74" s="78"/>
      <c r="X74" s="78" t="s">
        <v>926</v>
      </c>
      <c r="Y74" s="77"/>
      <c r="Z74" s="77"/>
      <c r="AA74" s="77"/>
      <c r="AB74" s="77"/>
      <c r="AC74" s="77"/>
      <c r="AD74" s="77"/>
      <c r="AE74" s="77"/>
      <c r="AF74" s="77"/>
      <c r="AG74" s="77" t="s">
        <v>925</v>
      </c>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row>
    <row r="75" spans="1:60" ht="15">
      <c r="A75" s="88"/>
      <c r="B75" s="87"/>
      <c r="C75" s="270" t="s">
        <v>973</v>
      </c>
      <c r="D75" s="271"/>
      <c r="E75" s="271"/>
      <c r="F75" s="271"/>
      <c r="G75" s="271"/>
      <c r="H75" s="78"/>
      <c r="I75" s="78"/>
      <c r="J75" s="78"/>
      <c r="K75" s="78"/>
      <c r="L75" s="78"/>
      <c r="M75" s="78"/>
      <c r="N75" s="79"/>
      <c r="O75" s="79"/>
      <c r="P75" s="79"/>
      <c r="Q75" s="79"/>
      <c r="R75" s="78"/>
      <c r="S75" s="78"/>
      <c r="T75" s="78"/>
      <c r="U75" s="78"/>
      <c r="V75" s="78"/>
      <c r="W75" s="78"/>
      <c r="X75" s="78"/>
      <c r="Y75" s="77"/>
      <c r="Z75" s="77"/>
      <c r="AA75" s="77"/>
      <c r="AB75" s="77"/>
      <c r="AC75" s="77"/>
      <c r="AD75" s="77"/>
      <c r="AE75" s="77"/>
      <c r="AF75" s="77"/>
      <c r="AG75" s="77" t="s">
        <v>907</v>
      </c>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row>
    <row r="76" spans="1:60" ht="15">
      <c r="A76" s="88"/>
      <c r="B76" s="87"/>
      <c r="C76" s="100" t="s">
        <v>972</v>
      </c>
      <c r="D76" s="99"/>
      <c r="E76" s="98">
        <v>36</v>
      </c>
      <c r="F76" s="78"/>
      <c r="G76" s="78"/>
      <c r="H76" s="78"/>
      <c r="I76" s="78"/>
      <c r="J76" s="78"/>
      <c r="K76" s="78"/>
      <c r="L76" s="78"/>
      <c r="M76" s="78"/>
      <c r="N76" s="79"/>
      <c r="O76" s="79"/>
      <c r="P76" s="79"/>
      <c r="Q76" s="79"/>
      <c r="R76" s="78"/>
      <c r="S76" s="78"/>
      <c r="T76" s="78"/>
      <c r="U76" s="78"/>
      <c r="V76" s="78"/>
      <c r="W76" s="78"/>
      <c r="X76" s="78"/>
      <c r="Y76" s="77"/>
      <c r="Z76" s="77"/>
      <c r="AA76" s="77"/>
      <c r="AB76" s="77"/>
      <c r="AC76" s="77"/>
      <c r="AD76" s="77"/>
      <c r="AE76" s="77"/>
      <c r="AF76" s="77"/>
      <c r="AG76" s="77" t="s">
        <v>922</v>
      </c>
      <c r="AH76" s="77">
        <v>0</v>
      </c>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row>
    <row r="77" spans="1:60" ht="15">
      <c r="A77" s="88"/>
      <c r="B77" s="87"/>
      <c r="C77" s="100" t="s">
        <v>971</v>
      </c>
      <c r="D77" s="99"/>
      <c r="E77" s="98">
        <v>18</v>
      </c>
      <c r="F77" s="78"/>
      <c r="G77" s="78"/>
      <c r="H77" s="78"/>
      <c r="I77" s="78"/>
      <c r="J77" s="78"/>
      <c r="K77" s="78"/>
      <c r="L77" s="78"/>
      <c r="M77" s="78"/>
      <c r="N77" s="79"/>
      <c r="O77" s="79"/>
      <c r="P77" s="79"/>
      <c r="Q77" s="79"/>
      <c r="R77" s="78"/>
      <c r="S77" s="78"/>
      <c r="T77" s="78"/>
      <c r="U77" s="78"/>
      <c r="V77" s="78"/>
      <c r="W77" s="78"/>
      <c r="X77" s="78"/>
      <c r="Y77" s="77"/>
      <c r="Z77" s="77"/>
      <c r="AA77" s="77"/>
      <c r="AB77" s="77"/>
      <c r="AC77" s="77"/>
      <c r="AD77" s="77"/>
      <c r="AE77" s="77"/>
      <c r="AF77" s="77"/>
      <c r="AG77" s="77" t="s">
        <v>922</v>
      </c>
      <c r="AH77" s="77">
        <v>0</v>
      </c>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row>
    <row r="78" spans="1:60" ht="15">
      <c r="A78" s="88"/>
      <c r="B78" s="87"/>
      <c r="C78" s="100" t="s">
        <v>970</v>
      </c>
      <c r="D78" s="99"/>
      <c r="E78" s="98">
        <v>18</v>
      </c>
      <c r="F78" s="78"/>
      <c r="G78" s="78"/>
      <c r="H78" s="78"/>
      <c r="I78" s="78"/>
      <c r="J78" s="78"/>
      <c r="K78" s="78"/>
      <c r="L78" s="78"/>
      <c r="M78" s="78"/>
      <c r="N78" s="79"/>
      <c r="O78" s="79"/>
      <c r="P78" s="79"/>
      <c r="Q78" s="79"/>
      <c r="R78" s="78"/>
      <c r="S78" s="78"/>
      <c r="T78" s="78"/>
      <c r="U78" s="78"/>
      <c r="V78" s="78"/>
      <c r="W78" s="78"/>
      <c r="X78" s="78"/>
      <c r="Y78" s="77"/>
      <c r="Z78" s="77"/>
      <c r="AA78" s="77"/>
      <c r="AB78" s="77"/>
      <c r="AC78" s="77"/>
      <c r="AD78" s="77"/>
      <c r="AE78" s="77"/>
      <c r="AF78" s="77"/>
      <c r="AG78" s="77" t="s">
        <v>922</v>
      </c>
      <c r="AH78" s="77">
        <v>0</v>
      </c>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row>
    <row r="79" spans="1:33" ht="15">
      <c r="A79" s="97" t="s">
        <v>921</v>
      </c>
      <c r="B79" s="96" t="s">
        <v>969</v>
      </c>
      <c r="C79" s="95" t="s">
        <v>968</v>
      </c>
      <c r="D79" s="94"/>
      <c r="E79" s="93"/>
      <c r="F79" s="92"/>
      <c r="G79" s="91">
        <f>G80+G82+G85+G87+G89+G92+G94+G97</f>
        <v>0</v>
      </c>
      <c r="H79" s="89"/>
      <c r="I79" s="89">
        <v>4395.96</v>
      </c>
      <c r="J79" s="89"/>
      <c r="K79" s="89">
        <v>245344.04</v>
      </c>
      <c r="L79" s="89"/>
      <c r="M79" s="89"/>
      <c r="N79" s="90"/>
      <c r="O79" s="90"/>
      <c r="P79" s="90"/>
      <c r="Q79" s="90"/>
      <c r="R79" s="89"/>
      <c r="S79" s="89"/>
      <c r="T79" s="89"/>
      <c r="U79" s="89"/>
      <c r="V79" s="89"/>
      <c r="W79" s="89"/>
      <c r="X79" s="89"/>
      <c r="AG79" s="69" t="s">
        <v>919</v>
      </c>
    </row>
    <row r="80" spans="1:60" ht="22.5">
      <c r="A80" s="85">
        <v>16</v>
      </c>
      <c r="B80" s="84" t="s">
        <v>967</v>
      </c>
      <c r="C80" s="83" t="s">
        <v>966</v>
      </c>
      <c r="D80" s="82" t="s">
        <v>69</v>
      </c>
      <c r="E80" s="81">
        <v>6</v>
      </c>
      <c r="F80" s="514">
        <v>0</v>
      </c>
      <c r="G80" s="80">
        <f>F80*E80</f>
        <v>0</v>
      </c>
      <c r="H80" s="78">
        <v>732.66</v>
      </c>
      <c r="I80" s="78">
        <v>4395.96</v>
      </c>
      <c r="J80" s="78">
        <v>1352.34</v>
      </c>
      <c r="K80" s="78">
        <v>8114.039999999999</v>
      </c>
      <c r="L80" s="78">
        <v>21</v>
      </c>
      <c r="M80" s="78">
        <v>15137.1</v>
      </c>
      <c r="N80" s="79">
        <v>0</v>
      </c>
      <c r="O80" s="79">
        <v>0</v>
      </c>
      <c r="P80" s="79">
        <v>0.00226</v>
      </c>
      <c r="Q80" s="79">
        <v>0.01356</v>
      </c>
      <c r="R80" s="78"/>
      <c r="S80" s="78" t="s">
        <v>910</v>
      </c>
      <c r="T80" s="78" t="s">
        <v>910</v>
      </c>
      <c r="U80" s="78">
        <v>2.3</v>
      </c>
      <c r="V80" s="78">
        <v>13.799999999999999</v>
      </c>
      <c r="W80" s="78"/>
      <c r="X80" s="78" t="s">
        <v>926</v>
      </c>
      <c r="Y80" s="77"/>
      <c r="Z80" s="77"/>
      <c r="AA80" s="77"/>
      <c r="AB80" s="77"/>
      <c r="AC80" s="77"/>
      <c r="AD80" s="77"/>
      <c r="AE80" s="77"/>
      <c r="AF80" s="77"/>
      <c r="AG80" s="77" t="s">
        <v>925</v>
      </c>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row>
    <row r="81" spans="1:60" ht="15">
      <c r="A81" s="88"/>
      <c r="B81" s="87"/>
      <c r="C81" s="270" t="s">
        <v>965</v>
      </c>
      <c r="D81" s="271"/>
      <c r="E81" s="271"/>
      <c r="F81" s="271"/>
      <c r="G81" s="271"/>
      <c r="H81" s="78"/>
      <c r="I81" s="78"/>
      <c r="J81" s="78"/>
      <c r="K81" s="78"/>
      <c r="L81" s="78"/>
      <c r="M81" s="78"/>
      <c r="N81" s="79"/>
      <c r="O81" s="79"/>
      <c r="P81" s="79"/>
      <c r="Q81" s="79"/>
      <c r="R81" s="78"/>
      <c r="S81" s="78"/>
      <c r="T81" s="78"/>
      <c r="U81" s="78"/>
      <c r="V81" s="78"/>
      <c r="W81" s="78"/>
      <c r="X81" s="78"/>
      <c r="Y81" s="77"/>
      <c r="Z81" s="77"/>
      <c r="AA81" s="77"/>
      <c r="AB81" s="77"/>
      <c r="AC81" s="77"/>
      <c r="AD81" s="77"/>
      <c r="AE81" s="77"/>
      <c r="AF81" s="77"/>
      <c r="AG81" s="77" t="s">
        <v>907</v>
      </c>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row>
    <row r="82" spans="1:60" ht="22.5">
      <c r="A82" s="85">
        <v>17</v>
      </c>
      <c r="B82" s="84" t="s">
        <v>964</v>
      </c>
      <c r="C82" s="83" t="s">
        <v>963</v>
      </c>
      <c r="D82" s="82" t="s">
        <v>962</v>
      </c>
      <c r="E82" s="81">
        <v>18</v>
      </c>
      <c r="F82" s="514">
        <v>0</v>
      </c>
      <c r="G82" s="80">
        <f>F82*E82</f>
        <v>0</v>
      </c>
      <c r="H82" s="78">
        <v>0</v>
      </c>
      <c r="I82" s="78">
        <v>0</v>
      </c>
      <c r="J82" s="78">
        <v>3150</v>
      </c>
      <c r="K82" s="78">
        <v>56700</v>
      </c>
      <c r="L82" s="78">
        <v>21</v>
      </c>
      <c r="M82" s="78">
        <v>68607</v>
      </c>
      <c r="N82" s="79">
        <v>0</v>
      </c>
      <c r="O82" s="79">
        <v>0</v>
      </c>
      <c r="P82" s="79">
        <v>0</v>
      </c>
      <c r="Q82" s="79">
        <v>0</v>
      </c>
      <c r="R82" s="78"/>
      <c r="S82" s="78" t="s">
        <v>903</v>
      </c>
      <c r="T82" s="78" t="s">
        <v>902</v>
      </c>
      <c r="U82" s="78">
        <v>4.00583</v>
      </c>
      <c r="V82" s="78">
        <v>72.10494</v>
      </c>
      <c r="W82" s="78"/>
      <c r="X82" s="78" t="s">
        <v>926</v>
      </c>
      <c r="Y82" s="77"/>
      <c r="Z82" s="77"/>
      <c r="AA82" s="77"/>
      <c r="AB82" s="77"/>
      <c r="AC82" s="77"/>
      <c r="AD82" s="77"/>
      <c r="AE82" s="77"/>
      <c r="AF82" s="77"/>
      <c r="AG82" s="77" t="s">
        <v>925</v>
      </c>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row>
    <row r="83" spans="1:60" ht="15">
      <c r="A83" s="88"/>
      <c r="B83" s="87"/>
      <c r="C83" s="270" t="s">
        <v>961</v>
      </c>
      <c r="D83" s="271"/>
      <c r="E83" s="271"/>
      <c r="F83" s="271"/>
      <c r="G83" s="271"/>
      <c r="H83" s="78"/>
      <c r="I83" s="78"/>
      <c r="J83" s="78"/>
      <c r="K83" s="78"/>
      <c r="L83" s="78"/>
      <c r="M83" s="78"/>
      <c r="N83" s="79"/>
      <c r="O83" s="79"/>
      <c r="P83" s="79"/>
      <c r="Q83" s="79"/>
      <c r="R83" s="78"/>
      <c r="S83" s="78"/>
      <c r="T83" s="78"/>
      <c r="U83" s="78"/>
      <c r="V83" s="78"/>
      <c r="W83" s="78"/>
      <c r="X83" s="78"/>
      <c r="Y83" s="77"/>
      <c r="Z83" s="77"/>
      <c r="AA83" s="77"/>
      <c r="AB83" s="77"/>
      <c r="AC83" s="77"/>
      <c r="AD83" s="77"/>
      <c r="AE83" s="77"/>
      <c r="AF83" s="77"/>
      <c r="AG83" s="77" t="s">
        <v>907</v>
      </c>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row>
    <row r="84" spans="1:60" ht="15">
      <c r="A84" s="88"/>
      <c r="B84" s="87"/>
      <c r="C84" s="100" t="s">
        <v>454</v>
      </c>
      <c r="D84" s="99"/>
      <c r="E84" s="98">
        <v>18</v>
      </c>
      <c r="F84" s="78"/>
      <c r="G84" s="78"/>
      <c r="H84" s="78"/>
      <c r="I84" s="78"/>
      <c r="J84" s="78"/>
      <c r="K84" s="78"/>
      <c r="L84" s="78"/>
      <c r="M84" s="78"/>
      <c r="N84" s="79"/>
      <c r="O84" s="79"/>
      <c r="P84" s="79"/>
      <c r="Q84" s="79"/>
      <c r="R84" s="78"/>
      <c r="S84" s="78"/>
      <c r="T84" s="78"/>
      <c r="U84" s="78"/>
      <c r="V84" s="78"/>
      <c r="W84" s="78"/>
      <c r="X84" s="78"/>
      <c r="Y84" s="77"/>
      <c r="Z84" s="77"/>
      <c r="AA84" s="77"/>
      <c r="AB84" s="77"/>
      <c r="AC84" s="77"/>
      <c r="AD84" s="77"/>
      <c r="AE84" s="77"/>
      <c r="AF84" s="77"/>
      <c r="AG84" s="77" t="s">
        <v>922</v>
      </c>
      <c r="AH84" s="77">
        <v>0</v>
      </c>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row>
    <row r="85" spans="1:60" ht="15">
      <c r="A85" s="85">
        <v>18</v>
      </c>
      <c r="B85" s="84" t="s">
        <v>960</v>
      </c>
      <c r="C85" s="83" t="s">
        <v>959</v>
      </c>
      <c r="D85" s="82" t="s">
        <v>958</v>
      </c>
      <c r="E85" s="81">
        <v>30</v>
      </c>
      <c r="F85" s="514">
        <v>0</v>
      </c>
      <c r="G85" s="80">
        <f>F85*E85</f>
        <v>0</v>
      </c>
      <c r="H85" s="78">
        <v>0</v>
      </c>
      <c r="I85" s="78">
        <v>0</v>
      </c>
      <c r="J85" s="78">
        <v>420</v>
      </c>
      <c r="K85" s="78">
        <v>12600</v>
      </c>
      <c r="L85" s="78">
        <v>21</v>
      </c>
      <c r="M85" s="78">
        <v>15246</v>
      </c>
      <c r="N85" s="79">
        <v>0</v>
      </c>
      <c r="O85" s="79">
        <v>0</v>
      </c>
      <c r="P85" s="79">
        <v>0</v>
      </c>
      <c r="Q85" s="79">
        <v>0</v>
      </c>
      <c r="R85" s="78"/>
      <c r="S85" s="78" t="s">
        <v>903</v>
      </c>
      <c r="T85" s="78" t="s">
        <v>902</v>
      </c>
      <c r="U85" s="78">
        <v>4.00583</v>
      </c>
      <c r="V85" s="78">
        <v>120.17489999999998</v>
      </c>
      <c r="W85" s="78"/>
      <c r="X85" s="78" t="s">
        <v>926</v>
      </c>
      <c r="Y85" s="77"/>
      <c r="Z85" s="77"/>
      <c r="AA85" s="77"/>
      <c r="AB85" s="77"/>
      <c r="AC85" s="77"/>
      <c r="AD85" s="77"/>
      <c r="AE85" s="77"/>
      <c r="AF85" s="77"/>
      <c r="AG85" s="77" t="s">
        <v>925</v>
      </c>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row>
    <row r="86" spans="1:60" ht="22.5">
      <c r="A86" s="88"/>
      <c r="B86" s="87"/>
      <c r="C86" s="270" t="s">
        <v>957</v>
      </c>
      <c r="D86" s="271"/>
      <c r="E86" s="271"/>
      <c r="F86" s="271"/>
      <c r="G86" s="271"/>
      <c r="H86" s="78"/>
      <c r="I86" s="78"/>
      <c r="J86" s="78"/>
      <c r="K86" s="78"/>
      <c r="L86" s="78"/>
      <c r="M86" s="78"/>
      <c r="N86" s="79"/>
      <c r="O86" s="79"/>
      <c r="P86" s="79"/>
      <c r="Q86" s="79"/>
      <c r="R86" s="78"/>
      <c r="S86" s="78"/>
      <c r="T86" s="78"/>
      <c r="U86" s="78"/>
      <c r="V86" s="78"/>
      <c r="W86" s="78"/>
      <c r="X86" s="78"/>
      <c r="Y86" s="77"/>
      <c r="Z86" s="77"/>
      <c r="AA86" s="77"/>
      <c r="AB86" s="77"/>
      <c r="AC86" s="77"/>
      <c r="AD86" s="77"/>
      <c r="AE86" s="77"/>
      <c r="AF86" s="77"/>
      <c r="AG86" s="77" t="s">
        <v>907</v>
      </c>
      <c r="AH86" s="77"/>
      <c r="AI86" s="77"/>
      <c r="AJ86" s="77"/>
      <c r="AK86" s="77"/>
      <c r="AL86" s="77"/>
      <c r="AM86" s="77"/>
      <c r="AN86" s="77"/>
      <c r="AO86" s="77"/>
      <c r="AP86" s="77"/>
      <c r="AQ86" s="77"/>
      <c r="AR86" s="77"/>
      <c r="AS86" s="77"/>
      <c r="AT86" s="77"/>
      <c r="AU86" s="77"/>
      <c r="AV86" s="77"/>
      <c r="AW86" s="77"/>
      <c r="AX86" s="77"/>
      <c r="AY86" s="77"/>
      <c r="AZ86" s="77"/>
      <c r="BA86" s="86" t="str">
        <f>C86</f>
        <v>Snížení vnitřní relativní vlhkosti vzduchu kondenzačními vysoušeči - vlhkost zdiva a vlhkost technologická</v>
      </c>
      <c r="BB86" s="77"/>
      <c r="BC86" s="77"/>
      <c r="BD86" s="77"/>
      <c r="BE86" s="77"/>
      <c r="BF86" s="77"/>
      <c r="BG86" s="77"/>
      <c r="BH86" s="77"/>
    </row>
    <row r="87" spans="1:60" ht="22.5">
      <c r="A87" s="85">
        <v>19</v>
      </c>
      <c r="B87" s="84" t="s">
        <v>956</v>
      </c>
      <c r="C87" s="83" t="s">
        <v>955</v>
      </c>
      <c r="D87" s="82" t="s">
        <v>143</v>
      </c>
      <c r="E87" s="81">
        <v>1</v>
      </c>
      <c r="F87" s="514">
        <v>0</v>
      </c>
      <c r="G87" s="80">
        <f>F87*E87</f>
        <v>0</v>
      </c>
      <c r="H87" s="78">
        <v>0</v>
      </c>
      <c r="I87" s="78">
        <v>0</v>
      </c>
      <c r="J87" s="78">
        <v>34560</v>
      </c>
      <c r="K87" s="78">
        <v>34560</v>
      </c>
      <c r="L87" s="78">
        <v>21</v>
      </c>
      <c r="M87" s="78">
        <v>41817.6</v>
      </c>
      <c r="N87" s="79">
        <v>0</v>
      </c>
      <c r="O87" s="79">
        <v>0</v>
      </c>
      <c r="P87" s="79">
        <v>0</v>
      </c>
      <c r="Q87" s="79">
        <v>0</v>
      </c>
      <c r="R87" s="78"/>
      <c r="S87" s="78" t="s">
        <v>903</v>
      </c>
      <c r="T87" s="78" t="s">
        <v>902</v>
      </c>
      <c r="U87" s="78">
        <v>0</v>
      </c>
      <c r="V87" s="78">
        <v>0</v>
      </c>
      <c r="W87" s="78"/>
      <c r="X87" s="78" t="s">
        <v>926</v>
      </c>
      <c r="Y87" s="77"/>
      <c r="Z87" s="77"/>
      <c r="AA87" s="77"/>
      <c r="AB87" s="77"/>
      <c r="AC87" s="77"/>
      <c r="AD87" s="77"/>
      <c r="AE87" s="77"/>
      <c r="AF87" s="77"/>
      <c r="AG87" s="77" t="s">
        <v>925</v>
      </c>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row>
    <row r="88" spans="1:60" ht="45">
      <c r="A88" s="88"/>
      <c r="B88" s="87"/>
      <c r="C88" s="270" t="s">
        <v>954</v>
      </c>
      <c r="D88" s="271"/>
      <c r="E88" s="271"/>
      <c r="F88" s="271"/>
      <c r="G88" s="271"/>
      <c r="H88" s="78"/>
      <c r="I88" s="78"/>
      <c r="J88" s="78"/>
      <c r="K88" s="78"/>
      <c r="L88" s="78"/>
      <c r="M88" s="78"/>
      <c r="N88" s="79"/>
      <c r="O88" s="79"/>
      <c r="P88" s="79"/>
      <c r="Q88" s="79"/>
      <c r="R88" s="78"/>
      <c r="S88" s="78"/>
      <c r="T88" s="78"/>
      <c r="U88" s="78"/>
      <c r="V88" s="78"/>
      <c r="W88" s="78"/>
      <c r="X88" s="78"/>
      <c r="Y88" s="77"/>
      <c r="Z88" s="77"/>
      <c r="AA88" s="77"/>
      <c r="AB88" s="77"/>
      <c r="AC88" s="77"/>
      <c r="AD88" s="77"/>
      <c r="AE88" s="77"/>
      <c r="AF88" s="77"/>
      <c r="AG88" s="77" t="s">
        <v>907</v>
      </c>
      <c r="AH88" s="77"/>
      <c r="AI88" s="77"/>
      <c r="AJ88" s="77"/>
      <c r="AK88" s="77"/>
      <c r="AL88" s="77"/>
      <c r="AM88" s="77"/>
      <c r="AN88" s="77"/>
      <c r="AO88" s="77"/>
      <c r="AP88" s="77"/>
      <c r="AQ88" s="77"/>
      <c r="AR88" s="77"/>
      <c r="AS88" s="77"/>
      <c r="AT88" s="77"/>
      <c r="AU88" s="77"/>
      <c r="AV88" s="77"/>
      <c r="AW88" s="77"/>
      <c r="AX88" s="77"/>
      <c r="AY88" s="77"/>
      <c r="AZ88" s="77"/>
      <c r="BA88" s="86" t="str">
        <f>C88</f>
        <v>Dodávka, montáž a uvedení do provozu řídící jednotky systému mírné drátové elektroosmózy. Výstupní hodnoty ŘJ -  napětí max. 6V s účinnou efektivní hodnotou 2,8V, záznam údajů (průtok proudu v mA, počítadlo provozních hodin), napojení na síťový rozvod 230V/50Hz ( zřízení přívodního kabelu napájení není součástí dodávky )</v>
      </c>
      <c r="BB88" s="77"/>
      <c r="BC88" s="77"/>
      <c r="BD88" s="77"/>
      <c r="BE88" s="77"/>
      <c r="BF88" s="77"/>
      <c r="BG88" s="77"/>
      <c r="BH88" s="77"/>
    </row>
    <row r="89" spans="1:60" ht="22.5">
      <c r="A89" s="85">
        <v>20</v>
      </c>
      <c r="B89" s="84" t="s">
        <v>953</v>
      </c>
      <c r="C89" s="83" t="s">
        <v>952</v>
      </c>
      <c r="D89" s="82" t="s">
        <v>246</v>
      </c>
      <c r="E89" s="81">
        <v>21.9</v>
      </c>
      <c r="F89" s="514">
        <v>0</v>
      </c>
      <c r="G89" s="80">
        <f>F89*E89</f>
        <v>0</v>
      </c>
      <c r="H89" s="78">
        <v>0</v>
      </c>
      <c r="I89" s="78">
        <v>0</v>
      </c>
      <c r="J89" s="78">
        <v>4860</v>
      </c>
      <c r="K89" s="78">
        <v>106434</v>
      </c>
      <c r="L89" s="78">
        <v>21</v>
      </c>
      <c r="M89" s="78">
        <v>128785.14</v>
      </c>
      <c r="N89" s="79">
        <v>0</v>
      </c>
      <c r="O89" s="79">
        <v>0</v>
      </c>
      <c r="P89" s="79">
        <v>0</v>
      </c>
      <c r="Q89" s="79">
        <v>0</v>
      </c>
      <c r="R89" s="78"/>
      <c r="S89" s="78" t="s">
        <v>903</v>
      </c>
      <c r="T89" s="78" t="s">
        <v>902</v>
      </c>
      <c r="U89" s="78">
        <v>0</v>
      </c>
      <c r="V89" s="78">
        <v>0</v>
      </c>
      <c r="W89" s="78"/>
      <c r="X89" s="78" t="s">
        <v>926</v>
      </c>
      <c r="Y89" s="77"/>
      <c r="Z89" s="77"/>
      <c r="AA89" s="77"/>
      <c r="AB89" s="77"/>
      <c r="AC89" s="77"/>
      <c r="AD89" s="77"/>
      <c r="AE89" s="77"/>
      <c r="AF89" s="77"/>
      <c r="AG89" s="77" t="s">
        <v>925</v>
      </c>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row>
    <row r="90" spans="1:60" ht="45">
      <c r="A90" s="88"/>
      <c r="B90" s="87"/>
      <c r="C90" s="270" t="s">
        <v>951</v>
      </c>
      <c r="D90" s="271"/>
      <c r="E90" s="271"/>
      <c r="F90" s="271"/>
      <c r="G90" s="271"/>
      <c r="H90" s="78"/>
      <c r="I90" s="78"/>
      <c r="J90" s="78"/>
      <c r="K90" s="78"/>
      <c r="L90" s="78"/>
      <c r="M90" s="78"/>
      <c r="N90" s="79"/>
      <c r="O90" s="79"/>
      <c r="P90" s="79"/>
      <c r="Q90" s="79"/>
      <c r="R90" s="78"/>
      <c r="S90" s="78"/>
      <c r="T90" s="78"/>
      <c r="U90" s="78"/>
      <c r="V90" s="78"/>
      <c r="W90" s="78"/>
      <c r="X90" s="78"/>
      <c r="Y90" s="77"/>
      <c r="Z90" s="77"/>
      <c r="AA90" s="77"/>
      <c r="AB90" s="77"/>
      <c r="AC90" s="77"/>
      <c r="AD90" s="77"/>
      <c r="AE90" s="77"/>
      <c r="AF90" s="77"/>
      <c r="AG90" s="77" t="s">
        <v>907</v>
      </c>
      <c r="AH90" s="77"/>
      <c r="AI90" s="77"/>
      <c r="AJ90" s="77"/>
      <c r="AK90" s="77"/>
      <c r="AL90" s="77"/>
      <c r="AM90" s="77"/>
      <c r="AN90" s="77"/>
      <c r="AO90" s="77"/>
      <c r="AP90" s="77"/>
      <c r="AQ90" s="77"/>
      <c r="AR90" s="77"/>
      <c r="AS90" s="77"/>
      <c r="AT90" s="77"/>
      <c r="AU90" s="77"/>
      <c r="AV90" s="77"/>
      <c r="AW90" s="77"/>
      <c r="AX90" s="77"/>
      <c r="AY90" s="77"/>
      <c r="AZ90" s="77"/>
      <c r="BA90" s="86" t="str">
        <f>C90</f>
        <v>Síťová elektroda (anoda + pól) -  pás ze skelných vláken potažených vodivým plastem vysoký 25-30cm, kontaktní vodič titan stříbro (3:4). Instalace na zdivo zbavené stávajících omítek vč. spárování, po předchozím podrovnáním maltou vápenné báze ( standard Knauf MV 1 ), krytí kontaktní maltou s vodivou příměsí.</v>
      </c>
      <c r="BB90" s="77"/>
      <c r="BC90" s="77"/>
      <c r="BD90" s="77"/>
      <c r="BE90" s="77"/>
      <c r="BF90" s="77"/>
      <c r="BG90" s="77"/>
      <c r="BH90" s="77"/>
    </row>
    <row r="91" spans="1:60" ht="15">
      <c r="A91" s="88"/>
      <c r="B91" s="87"/>
      <c r="C91" s="100" t="s">
        <v>950</v>
      </c>
      <c r="D91" s="99"/>
      <c r="E91" s="98">
        <v>21.9</v>
      </c>
      <c r="F91" s="78"/>
      <c r="G91" s="78"/>
      <c r="H91" s="78"/>
      <c r="I91" s="78"/>
      <c r="J91" s="78"/>
      <c r="K91" s="78"/>
      <c r="L91" s="78"/>
      <c r="M91" s="78"/>
      <c r="N91" s="79"/>
      <c r="O91" s="79"/>
      <c r="P91" s="79"/>
      <c r="Q91" s="79"/>
      <c r="R91" s="78"/>
      <c r="S91" s="78"/>
      <c r="T91" s="78"/>
      <c r="U91" s="78"/>
      <c r="V91" s="78"/>
      <c r="W91" s="78"/>
      <c r="X91" s="78"/>
      <c r="Y91" s="77"/>
      <c r="Z91" s="77"/>
      <c r="AA91" s="77"/>
      <c r="AB91" s="77"/>
      <c r="AC91" s="77"/>
      <c r="AD91" s="77"/>
      <c r="AE91" s="77"/>
      <c r="AF91" s="77"/>
      <c r="AG91" s="77" t="s">
        <v>922</v>
      </c>
      <c r="AH91" s="77">
        <v>0</v>
      </c>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row>
    <row r="92" spans="1:60" ht="22.5">
      <c r="A92" s="85">
        <v>21</v>
      </c>
      <c r="B92" s="84" t="s">
        <v>949</v>
      </c>
      <c r="C92" s="83" t="s">
        <v>948</v>
      </c>
      <c r="D92" s="82" t="s">
        <v>143</v>
      </c>
      <c r="E92" s="81">
        <v>6</v>
      </c>
      <c r="F92" s="514">
        <v>0</v>
      </c>
      <c r="G92" s="80">
        <f>F92*E92</f>
        <v>0</v>
      </c>
      <c r="H92" s="78">
        <v>0</v>
      </c>
      <c r="I92" s="78">
        <v>0</v>
      </c>
      <c r="J92" s="78">
        <v>3050</v>
      </c>
      <c r="K92" s="78">
        <v>18300</v>
      </c>
      <c r="L92" s="78">
        <v>21</v>
      </c>
      <c r="M92" s="78">
        <v>22143</v>
      </c>
      <c r="N92" s="79">
        <v>0</v>
      </c>
      <c r="O92" s="79">
        <v>0</v>
      </c>
      <c r="P92" s="79">
        <v>0</v>
      </c>
      <c r="Q92" s="79">
        <v>0</v>
      </c>
      <c r="R92" s="78"/>
      <c r="S92" s="78" t="s">
        <v>903</v>
      </c>
      <c r="T92" s="78" t="s">
        <v>902</v>
      </c>
      <c r="U92" s="78">
        <v>0</v>
      </c>
      <c r="V92" s="78">
        <v>0</v>
      </c>
      <c r="W92" s="78"/>
      <c r="X92" s="78" t="s">
        <v>926</v>
      </c>
      <c r="Y92" s="77"/>
      <c r="Z92" s="77"/>
      <c r="AA92" s="77"/>
      <c r="AB92" s="77"/>
      <c r="AC92" s="77"/>
      <c r="AD92" s="77"/>
      <c r="AE92" s="77"/>
      <c r="AF92" s="77"/>
      <c r="AG92" s="77" t="s">
        <v>925</v>
      </c>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row>
    <row r="93" spans="1:60" ht="45">
      <c r="A93" s="88"/>
      <c r="B93" s="87"/>
      <c r="C93" s="270" t="s">
        <v>947</v>
      </c>
      <c r="D93" s="271"/>
      <c r="E93" s="271"/>
      <c r="F93" s="271"/>
      <c r="G93" s="271"/>
      <c r="H93" s="78"/>
      <c r="I93" s="78"/>
      <c r="J93" s="78"/>
      <c r="K93" s="78"/>
      <c r="L93" s="78"/>
      <c r="M93" s="78"/>
      <c r="N93" s="79"/>
      <c r="O93" s="79"/>
      <c r="P93" s="79"/>
      <c r="Q93" s="79"/>
      <c r="R93" s="78"/>
      <c r="S93" s="78"/>
      <c r="T93" s="78"/>
      <c r="U93" s="78"/>
      <c r="V93" s="78"/>
      <c r="W93" s="78"/>
      <c r="X93" s="78"/>
      <c r="Y93" s="77"/>
      <c r="Z93" s="77"/>
      <c r="AA93" s="77"/>
      <c r="AB93" s="77"/>
      <c r="AC93" s="77"/>
      <c r="AD93" s="77"/>
      <c r="AE93" s="77"/>
      <c r="AF93" s="77"/>
      <c r="AG93" s="77" t="s">
        <v>907</v>
      </c>
      <c r="AH93" s="77"/>
      <c r="AI93" s="77"/>
      <c r="AJ93" s="77"/>
      <c r="AK93" s="77"/>
      <c r="AL93" s="77"/>
      <c r="AM93" s="77"/>
      <c r="AN93" s="77"/>
      <c r="AO93" s="77"/>
      <c r="AP93" s="77"/>
      <c r="AQ93" s="77"/>
      <c r="AR93" s="77"/>
      <c r="AS93" s="77"/>
      <c r="AT93" s="77"/>
      <c r="AU93" s="77"/>
      <c r="AV93" s="77"/>
      <c r="AW93" s="77"/>
      <c r="AX93" s="77"/>
      <c r="AY93" s="77"/>
      <c r="AZ93" s="77"/>
      <c r="BA93" s="86" t="str">
        <f>C93</f>
        <v>Zemní elektroda (katoda -pól) - tyčové elektrody na bázi grafitu v délce 450-650mm  průměru min 20mm, osová rozteč do 4,5m ( není li projektem stanoveno jinak ), provozované napětí 1,4V. Položka zahrnuje, instalaci katody do vývrtu a její zalití kontaktním lakem na bázi grafitu, vč. dodávky laku. Vývrt ( hl.1,0m/1ks ) není součástí položky a je oceněn v oddíle prorážení otvorů.</v>
      </c>
      <c r="BB93" s="77"/>
      <c r="BC93" s="77"/>
      <c r="BD93" s="77"/>
      <c r="BE93" s="77"/>
      <c r="BF93" s="77"/>
      <c r="BG93" s="77"/>
      <c r="BH93" s="77"/>
    </row>
    <row r="94" spans="1:60" ht="22.5">
      <c r="A94" s="85">
        <v>22</v>
      </c>
      <c r="B94" s="84" t="s">
        <v>946</v>
      </c>
      <c r="C94" s="83" t="s">
        <v>945</v>
      </c>
      <c r="D94" s="82" t="s">
        <v>246</v>
      </c>
      <c r="E94" s="81">
        <v>6.3</v>
      </c>
      <c r="F94" s="514">
        <v>0</v>
      </c>
      <c r="G94" s="80">
        <f>F94*E94</f>
        <v>0</v>
      </c>
      <c r="H94" s="78">
        <v>0</v>
      </c>
      <c r="I94" s="78">
        <v>0</v>
      </c>
      <c r="J94" s="78">
        <v>720</v>
      </c>
      <c r="K94" s="78">
        <v>4536</v>
      </c>
      <c r="L94" s="78">
        <v>21</v>
      </c>
      <c r="M94" s="78">
        <v>5488.56</v>
      </c>
      <c r="N94" s="79">
        <v>0</v>
      </c>
      <c r="O94" s="79">
        <v>0</v>
      </c>
      <c r="P94" s="79">
        <v>0</v>
      </c>
      <c r="Q94" s="79">
        <v>0</v>
      </c>
      <c r="R94" s="78"/>
      <c r="S94" s="78" t="s">
        <v>903</v>
      </c>
      <c r="T94" s="78" t="s">
        <v>902</v>
      </c>
      <c r="U94" s="78">
        <v>0</v>
      </c>
      <c r="V94" s="78">
        <v>0</v>
      </c>
      <c r="W94" s="78"/>
      <c r="X94" s="78" t="s">
        <v>926</v>
      </c>
      <c r="Y94" s="77"/>
      <c r="Z94" s="77"/>
      <c r="AA94" s="77"/>
      <c r="AB94" s="77"/>
      <c r="AC94" s="77"/>
      <c r="AD94" s="77"/>
      <c r="AE94" s="77"/>
      <c r="AF94" s="77"/>
      <c r="AG94" s="77" t="s">
        <v>925</v>
      </c>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row>
    <row r="95" spans="1:60" ht="15">
      <c r="A95" s="88"/>
      <c r="B95" s="87"/>
      <c r="C95" s="270" t="s">
        <v>944</v>
      </c>
      <c r="D95" s="271"/>
      <c r="E95" s="271"/>
      <c r="F95" s="271"/>
      <c r="G95" s="271"/>
      <c r="H95" s="78"/>
      <c r="I95" s="78"/>
      <c r="J95" s="78"/>
      <c r="K95" s="78"/>
      <c r="L95" s="78"/>
      <c r="M95" s="78"/>
      <c r="N95" s="79"/>
      <c r="O95" s="79"/>
      <c r="P95" s="79"/>
      <c r="Q95" s="79"/>
      <c r="R95" s="78"/>
      <c r="S95" s="78"/>
      <c r="T95" s="78"/>
      <c r="U95" s="78"/>
      <c r="V95" s="78"/>
      <c r="W95" s="78"/>
      <c r="X95" s="78"/>
      <c r="Y95" s="77"/>
      <c r="Z95" s="77"/>
      <c r="AA95" s="77"/>
      <c r="AB95" s="77"/>
      <c r="AC95" s="77"/>
      <c r="AD95" s="77"/>
      <c r="AE95" s="77"/>
      <c r="AF95" s="77"/>
      <c r="AG95" s="77" t="s">
        <v>907</v>
      </c>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row>
    <row r="96" spans="1:60" ht="15">
      <c r="A96" s="88"/>
      <c r="B96" s="87"/>
      <c r="C96" s="100" t="s">
        <v>943</v>
      </c>
      <c r="D96" s="99"/>
      <c r="E96" s="98">
        <v>6.3</v>
      </c>
      <c r="F96" s="78"/>
      <c r="G96" s="78"/>
      <c r="H96" s="78"/>
      <c r="I96" s="78"/>
      <c r="J96" s="78"/>
      <c r="K96" s="78"/>
      <c r="L96" s="78"/>
      <c r="M96" s="78"/>
      <c r="N96" s="79"/>
      <c r="O96" s="79"/>
      <c r="P96" s="79"/>
      <c r="Q96" s="79"/>
      <c r="R96" s="78"/>
      <c r="S96" s="78"/>
      <c r="T96" s="78"/>
      <c r="U96" s="78"/>
      <c r="V96" s="78"/>
      <c r="W96" s="78"/>
      <c r="X96" s="78"/>
      <c r="Y96" s="77"/>
      <c r="Z96" s="77"/>
      <c r="AA96" s="77"/>
      <c r="AB96" s="77"/>
      <c r="AC96" s="77"/>
      <c r="AD96" s="77"/>
      <c r="AE96" s="77"/>
      <c r="AF96" s="77"/>
      <c r="AG96" s="77" t="s">
        <v>922</v>
      </c>
      <c r="AH96" s="77">
        <v>0</v>
      </c>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row>
    <row r="97" spans="1:60" ht="45">
      <c r="A97" s="85">
        <v>23</v>
      </c>
      <c r="B97" s="84" t="s">
        <v>942</v>
      </c>
      <c r="C97" s="83" t="s">
        <v>941</v>
      </c>
      <c r="D97" s="82" t="s">
        <v>143</v>
      </c>
      <c r="E97" s="81">
        <v>2</v>
      </c>
      <c r="F97" s="514">
        <v>0</v>
      </c>
      <c r="G97" s="80">
        <f>F97*E97</f>
        <v>0</v>
      </c>
      <c r="H97" s="78">
        <v>0</v>
      </c>
      <c r="I97" s="78">
        <v>0</v>
      </c>
      <c r="J97" s="78">
        <v>2050</v>
      </c>
      <c r="K97" s="78">
        <v>4100</v>
      </c>
      <c r="L97" s="78">
        <v>21</v>
      </c>
      <c r="M97" s="78">
        <v>4961</v>
      </c>
      <c r="N97" s="79">
        <v>0</v>
      </c>
      <c r="O97" s="79">
        <v>0</v>
      </c>
      <c r="P97" s="79">
        <v>0</v>
      </c>
      <c r="Q97" s="79">
        <v>0</v>
      </c>
      <c r="R97" s="78"/>
      <c r="S97" s="78" t="s">
        <v>903</v>
      </c>
      <c r="T97" s="78" t="s">
        <v>902</v>
      </c>
      <c r="U97" s="78">
        <v>0</v>
      </c>
      <c r="V97" s="78">
        <v>0</v>
      </c>
      <c r="W97" s="78"/>
      <c r="X97" s="78" t="s">
        <v>926</v>
      </c>
      <c r="Y97" s="77"/>
      <c r="Z97" s="77"/>
      <c r="AA97" s="77"/>
      <c r="AB97" s="77"/>
      <c r="AC97" s="77"/>
      <c r="AD97" s="77"/>
      <c r="AE97" s="77"/>
      <c r="AF97" s="77"/>
      <c r="AG97" s="77" t="s">
        <v>925</v>
      </c>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row>
    <row r="98" spans="1:60" ht="22.5">
      <c r="A98" s="88"/>
      <c r="B98" s="87"/>
      <c r="C98" s="270" t="s">
        <v>940</v>
      </c>
      <c r="D98" s="271"/>
      <c r="E98" s="271"/>
      <c r="F98" s="271"/>
      <c r="G98" s="271"/>
      <c r="H98" s="78"/>
      <c r="I98" s="78"/>
      <c r="J98" s="78"/>
      <c r="K98" s="78"/>
      <c r="L98" s="78"/>
      <c r="M98" s="78"/>
      <c r="N98" s="79"/>
      <c r="O98" s="79"/>
      <c r="P98" s="79"/>
      <c r="Q98" s="79"/>
      <c r="R98" s="78"/>
      <c r="S98" s="78"/>
      <c r="T98" s="78"/>
      <c r="U98" s="78"/>
      <c r="V98" s="78"/>
      <c r="W98" s="78"/>
      <c r="X98" s="78"/>
      <c r="Y98" s="77"/>
      <c r="Z98" s="77"/>
      <c r="AA98" s="77"/>
      <c r="AB98" s="77"/>
      <c r="AC98" s="77"/>
      <c r="AD98" s="77"/>
      <c r="AE98" s="77"/>
      <c r="AF98" s="77"/>
      <c r="AG98" s="77" t="s">
        <v>907</v>
      </c>
      <c r="AH98" s="77"/>
      <c r="AI98" s="77"/>
      <c r="AJ98" s="77"/>
      <c r="AK98" s="77"/>
      <c r="AL98" s="77"/>
      <c r="AM98" s="77"/>
      <c r="AN98" s="77"/>
      <c r="AO98" s="77"/>
      <c r="AP98" s="77"/>
      <c r="AQ98" s="77"/>
      <c r="AR98" s="77"/>
      <c r="AS98" s="77"/>
      <c r="AT98" s="77"/>
      <c r="AU98" s="77"/>
      <c r="AV98" s="77"/>
      <c r="AW98" s="77"/>
      <c r="AX98" s="77"/>
      <c r="AY98" s="77"/>
      <c r="AZ98" s="77"/>
      <c r="BA98" s="86" t="str">
        <f>C98</f>
        <v>Cena za 1 pozici ve 3 výškových úrovních, součástí zhotovení je provedení zaměření výchozí vlhkosti se záznamem v protokolu.</v>
      </c>
      <c r="BB98" s="77"/>
      <c r="BC98" s="77"/>
      <c r="BD98" s="77"/>
      <c r="BE98" s="77"/>
      <c r="BF98" s="77"/>
      <c r="BG98" s="77"/>
      <c r="BH98" s="77"/>
    </row>
    <row r="99" spans="1:33" ht="15">
      <c r="A99" s="97" t="s">
        <v>921</v>
      </c>
      <c r="B99" s="96" t="s">
        <v>939</v>
      </c>
      <c r="C99" s="95" t="s">
        <v>938</v>
      </c>
      <c r="D99" s="94"/>
      <c r="E99" s="93"/>
      <c r="F99" s="92"/>
      <c r="G99" s="91">
        <f>G100+G103+G107+G110+G113</f>
        <v>0</v>
      </c>
      <c r="H99" s="89"/>
      <c r="I99" s="89">
        <v>0</v>
      </c>
      <c r="J99" s="89"/>
      <c r="K99" s="89">
        <v>10058.66</v>
      </c>
      <c r="L99" s="89"/>
      <c r="M99" s="89"/>
      <c r="N99" s="90"/>
      <c r="O99" s="90"/>
      <c r="P99" s="90"/>
      <c r="Q99" s="90"/>
      <c r="R99" s="89"/>
      <c r="S99" s="89"/>
      <c r="T99" s="89"/>
      <c r="U99" s="89"/>
      <c r="V99" s="89"/>
      <c r="W99" s="89"/>
      <c r="X99" s="89"/>
      <c r="AG99" s="69" t="s">
        <v>919</v>
      </c>
    </row>
    <row r="100" spans="1:60" ht="15">
      <c r="A100" s="85">
        <v>24</v>
      </c>
      <c r="B100" s="84" t="s">
        <v>937</v>
      </c>
      <c r="C100" s="83" t="s">
        <v>936</v>
      </c>
      <c r="D100" s="82" t="s">
        <v>37</v>
      </c>
      <c r="E100" s="81">
        <v>3.37392</v>
      </c>
      <c r="F100" s="514">
        <v>0</v>
      </c>
      <c r="G100" s="80">
        <f>F100*E100</f>
        <v>0</v>
      </c>
      <c r="H100" s="78">
        <v>0</v>
      </c>
      <c r="I100" s="78">
        <v>0</v>
      </c>
      <c r="J100" s="78">
        <v>264</v>
      </c>
      <c r="K100" s="78">
        <v>890.71488</v>
      </c>
      <c r="L100" s="78">
        <v>21</v>
      </c>
      <c r="M100" s="78">
        <v>1077.7591</v>
      </c>
      <c r="N100" s="79">
        <v>0</v>
      </c>
      <c r="O100" s="79">
        <v>0</v>
      </c>
      <c r="P100" s="79">
        <v>0</v>
      </c>
      <c r="Q100" s="79">
        <v>0</v>
      </c>
      <c r="R100" s="78"/>
      <c r="S100" s="78" t="s">
        <v>910</v>
      </c>
      <c r="T100" s="78" t="s">
        <v>910</v>
      </c>
      <c r="U100" s="78">
        <v>0.49</v>
      </c>
      <c r="V100" s="78">
        <v>1.6532208</v>
      </c>
      <c r="W100" s="78"/>
      <c r="X100" s="78" t="s">
        <v>926</v>
      </c>
      <c r="Y100" s="77"/>
      <c r="Z100" s="77"/>
      <c r="AA100" s="77"/>
      <c r="AB100" s="77"/>
      <c r="AC100" s="77"/>
      <c r="AD100" s="77"/>
      <c r="AE100" s="77"/>
      <c r="AF100" s="77"/>
      <c r="AG100" s="77" t="s">
        <v>925</v>
      </c>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row>
    <row r="101" spans="1:60" ht="15">
      <c r="A101" s="88"/>
      <c r="B101" s="87"/>
      <c r="C101" s="100" t="s">
        <v>924</v>
      </c>
      <c r="D101" s="99"/>
      <c r="E101" s="98">
        <v>2.24928</v>
      </c>
      <c r="F101" s="78"/>
      <c r="G101" s="78"/>
      <c r="H101" s="78"/>
      <c r="I101" s="78"/>
      <c r="J101" s="78"/>
      <c r="K101" s="78"/>
      <c r="L101" s="78"/>
      <c r="M101" s="78"/>
      <c r="N101" s="79"/>
      <c r="O101" s="79"/>
      <c r="P101" s="79"/>
      <c r="Q101" s="79"/>
      <c r="R101" s="78"/>
      <c r="S101" s="78"/>
      <c r="T101" s="78"/>
      <c r="U101" s="78"/>
      <c r="V101" s="78"/>
      <c r="W101" s="78"/>
      <c r="X101" s="78"/>
      <c r="Y101" s="77"/>
      <c r="Z101" s="77"/>
      <c r="AA101" s="77"/>
      <c r="AB101" s="77"/>
      <c r="AC101" s="77"/>
      <c r="AD101" s="77"/>
      <c r="AE101" s="77"/>
      <c r="AF101" s="77"/>
      <c r="AG101" s="77" t="s">
        <v>922</v>
      </c>
      <c r="AH101" s="77">
        <v>0</v>
      </c>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row>
    <row r="102" spans="1:60" ht="15">
      <c r="A102" s="88"/>
      <c r="B102" s="87"/>
      <c r="C102" s="100" t="s">
        <v>923</v>
      </c>
      <c r="D102" s="99"/>
      <c r="E102" s="98">
        <v>1.12464</v>
      </c>
      <c r="F102" s="78"/>
      <c r="G102" s="78"/>
      <c r="H102" s="78"/>
      <c r="I102" s="78"/>
      <c r="J102" s="78"/>
      <c r="K102" s="78"/>
      <c r="L102" s="78"/>
      <c r="M102" s="78"/>
      <c r="N102" s="79"/>
      <c r="O102" s="79"/>
      <c r="P102" s="79"/>
      <c r="Q102" s="79"/>
      <c r="R102" s="78"/>
      <c r="S102" s="78"/>
      <c r="T102" s="78"/>
      <c r="U102" s="78"/>
      <c r="V102" s="78"/>
      <c r="W102" s="78"/>
      <c r="X102" s="78"/>
      <c r="Y102" s="77"/>
      <c r="Z102" s="77"/>
      <c r="AA102" s="77"/>
      <c r="AB102" s="77"/>
      <c r="AC102" s="77"/>
      <c r="AD102" s="77"/>
      <c r="AE102" s="77"/>
      <c r="AF102" s="77"/>
      <c r="AG102" s="77" t="s">
        <v>922</v>
      </c>
      <c r="AH102" s="77">
        <v>0</v>
      </c>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row>
    <row r="103" spans="1:60" ht="15">
      <c r="A103" s="85">
        <v>25</v>
      </c>
      <c r="B103" s="84" t="s">
        <v>935</v>
      </c>
      <c r="C103" s="83" t="s">
        <v>934</v>
      </c>
      <c r="D103" s="82" t="s">
        <v>37</v>
      </c>
      <c r="E103" s="81">
        <v>30.36528</v>
      </c>
      <c r="F103" s="514">
        <v>0</v>
      </c>
      <c r="G103" s="80">
        <f>F103*E103</f>
        <v>0</v>
      </c>
      <c r="H103" s="78">
        <v>0</v>
      </c>
      <c r="I103" s="78">
        <v>0</v>
      </c>
      <c r="J103" s="78">
        <v>25</v>
      </c>
      <c r="K103" s="78">
        <v>759.132</v>
      </c>
      <c r="L103" s="78">
        <v>21</v>
      </c>
      <c r="M103" s="78">
        <v>918.5473</v>
      </c>
      <c r="N103" s="79">
        <v>0</v>
      </c>
      <c r="O103" s="79">
        <v>0</v>
      </c>
      <c r="P103" s="79">
        <v>0</v>
      </c>
      <c r="Q103" s="79">
        <v>0</v>
      </c>
      <c r="R103" s="78"/>
      <c r="S103" s="78" t="s">
        <v>910</v>
      </c>
      <c r="T103" s="78" t="s">
        <v>910</v>
      </c>
      <c r="U103" s="78">
        <v>0</v>
      </c>
      <c r="V103" s="78">
        <v>0</v>
      </c>
      <c r="W103" s="78"/>
      <c r="X103" s="78" t="s">
        <v>926</v>
      </c>
      <c r="Y103" s="77"/>
      <c r="Z103" s="77"/>
      <c r="AA103" s="77"/>
      <c r="AB103" s="77"/>
      <c r="AC103" s="77"/>
      <c r="AD103" s="77"/>
      <c r="AE103" s="77"/>
      <c r="AF103" s="77"/>
      <c r="AG103" s="77" t="s">
        <v>925</v>
      </c>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row>
    <row r="104" spans="1:60" ht="15">
      <c r="A104" s="88"/>
      <c r="B104" s="87"/>
      <c r="C104" s="270" t="s">
        <v>933</v>
      </c>
      <c r="D104" s="271"/>
      <c r="E104" s="271"/>
      <c r="F104" s="271"/>
      <c r="G104" s="271"/>
      <c r="H104" s="78"/>
      <c r="I104" s="78"/>
      <c r="J104" s="78"/>
      <c r="K104" s="78"/>
      <c r="L104" s="78"/>
      <c r="M104" s="78"/>
      <c r="N104" s="79"/>
      <c r="O104" s="79"/>
      <c r="P104" s="79"/>
      <c r="Q104" s="79"/>
      <c r="R104" s="78"/>
      <c r="S104" s="78"/>
      <c r="T104" s="78"/>
      <c r="U104" s="78"/>
      <c r="V104" s="78"/>
      <c r="W104" s="78"/>
      <c r="X104" s="78"/>
      <c r="Y104" s="77"/>
      <c r="Z104" s="77"/>
      <c r="AA104" s="77"/>
      <c r="AB104" s="77"/>
      <c r="AC104" s="77"/>
      <c r="AD104" s="77"/>
      <c r="AE104" s="77"/>
      <c r="AF104" s="77"/>
      <c r="AG104" s="77" t="s">
        <v>907</v>
      </c>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row>
    <row r="105" spans="1:60" ht="15">
      <c r="A105" s="88"/>
      <c r="B105" s="87"/>
      <c r="C105" s="100" t="s">
        <v>932</v>
      </c>
      <c r="D105" s="99"/>
      <c r="E105" s="98">
        <v>20.24352</v>
      </c>
      <c r="F105" s="78"/>
      <c r="G105" s="78"/>
      <c r="H105" s="78"/>
      <c r="I105" s="78"/>
      <c r="J105" s="78"/>
      <c r="K105" s="78"/>
      <c r="L105" s="78"/>
      <c r="M105" s="78"/>
      <c r="N105" s="79"/>
      <c r="O105" s="79"/>
      <c r="P105" s="79"/>
      <c r="Q105" s="79"/>
      <c r="R105" s="78"/>
      <c r="S105" s="78"/>
      <c r="T105" s="78"/>
      <c r="U105" s="78"/>
      <c r="V105" s="78"/>
      <c r="W105" s="78"/>
      <c r="X105" s="78"/>
      <c r="Y105" s="77"/>
      <c r="Z105" s="77"/>
      <c r="AA105" s="77"/>
      <c r="AB105" s="77"/>
      <c r="AC105" s="77"/>
      <c r="AD105" s="77"/>
      <c r="AE105" s="77"/>
      <c r="AF105" s="77"/>
      <c r="AG105" s="77" t="s">
        <v>922</v>
      </c>
      <c r="AH105" s="77">
        <v>0</v>
      </c>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row>
    <row r="106" spans="1:60" ht="15">
      <c r="A106" s="88"/>
      <c r="B106" s="87"/>
      <c r="C106" s="100" t="s">
        <v>931</v>
      </c>
      <c r="D106" s="99"/>
      <c r="E106" s="98">
        <v>10.12176</v>
      </c>
      <c r="F106" s="78"/>
      <c r="G106" s="78"/>
      <c r="H106" s="78"/>
      <c r="I106" s="78"/>
      <c r="J106" s="78"/>
      <c r="K106" s="78"/>
      <c r="L106" s="78"/>
      <c r="M106" s="78"/>
      <c r="N106" s="79"/>
      <c r="O106" s="79"/>
      <c r="P106" s="79"/>
      <c r="Q106" s="79"/>
      <c r="R106" s="78"/>
      <c r="S106" s="78"/>
      <c r="T106" s="78"/>
      <c r="U106" s="78"/>
      <c r="V106" s="78"/>
      <c r="W106" s="78"/>
      <c r="X106" s="78"/>
      <c r="Y106" s="77"/>
      <c r="Z106" s="77"/>
      <c r="AA106" s="77"/>
      <c r="AB106" s="77"/>
      <c r="AC106" s="77"/>
      <c r="AD106" s="77"/>
      <c r="AE106" s="77"/>
      <c r="AF106" s="77"/>
      <c r="AG106" s="77" t="s">
        <v>922</v>
      </c>
      <c r="AH106" s="77">
        <v>0</v>
      </c>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row>
    <row r="107" spans="1:60" ht="15">
      <c r="A107" s="85">
        <v>26</v>
      </c>
      <c r="B107" s="84" t="s">
        <v>53</v>
      </c>
      <c r="C107" s="83" t="s">
        <v>52</v>
      </c>
      <c r="D107" s="82" t="s">
        <v>37</v>
      </c>
      <c r="E107" s="81">
        <v>3.37392</v>
      </c>
      <c r="F107" s="514">
        <v>0</v>
      </c>
      <c r="G107" s="80">
        <f>F107*E107</f>
        <v>0</v>
      </c>
      <c r="H107" s="78">
        <v>0</v>
      </c>
      <c r="I107" s="78">
        <v>0</v>
      </c>
      <c r="J107" s="78">
        <v>369.5</v>
      </c>
      <c r="K107" s="78">
        <v>1246.66344</v>
      </c>
      <c r="L107" s="78">
        <v>21</v>
      </c>
      <c r="M107" s="78">
        <v>1508.4586000000002</v>
      </c>
      <c r="N107" s="79">
        <v>0</v>
      </c>
      <c r="O107" s="79">
        <v>0</v>
      </c>
      <c r="P107" s="79">
        <v>0</v>
      </c>
      <c r="Q107" s="79">
        <v>0</v>
      </c>
      <c r="R107" s="78"/>
      <c r="S107" s="78" t="s">
        <v>910</v>
      </c>
      <c r="T107" s="78" t="s">
        <v>910</v>
      </c>
      <c r="U107" s="78">
        <v>0.942</v>
      </c>
      <c r="V107" s="78">
        <v>3.17823264</v>
      </c>
      <c r="W107" s="78"/>
      <c r="X107" s="78" t="s">
        <v>926</v>
      </c>
      <c r="Y107" s="77"/>
      <c r="Z107" s="77"/>
      <c r="AA107" s="77"/>
      <c r="AB107" s="77"/>
      <c r="AC107" s="77"/>
      <c r="AD107" s="77"/>
      <c r="AE107" s="77"/>
      <c r="AF107" s="77"/>
      <c r="AG107" s="77" t="s">
        <v>925</v>
      </c>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row>
    <row r="108" spans="1:60" ht="15">
      <c r="A108" s="88"/>
      <c r="B108" s="87"/>
      <c r="C108" s="100" t="s">
        <v>924</v>
      </c>
      <c r="D108" s="99"/>
      <c r="E108" s="98">
        <v>2.24928</v>
      </c>
      <c r="F108" s="78"/>
      <c r="G108" s="78"/>
      <c r="H108" s="78"/>
      <c r="I108" s="78"/>
      <c r="J108" s="78"/>
      <c r="K108" s="78"/>
      <c r="L108" s="78"/>
      <c r="M108" s="78"/>
      <c r="N108" s="79"/>
      <c r="O108" s="79"/>
      <c r="P108" s="79"/>
      <c r="Q108" s="79"/>
      <c r="R108" s="78"/>
      <c r="S108" s="78"/>
      <c r="T108" s="78"/>
      <c r="U108" s="78"/>
      <c r="V108" s="78"/>
      <c r="W108" s="78"/>
      <c r="X108" s="78"/>
      <c r="Y108" s="77"/>
      <c r="Z108" s="77"/>
      <c r="AA108" s="77"/>
      <c r="AB108" s="77"/>
      <c r="AC108" s="77"/>
      <c r="AD108" s="77"/>
      <c r="AE108" s="77"/>
      <c r="AF108" s="77"/>
      <c r="AG108" s="77" t="s">
        <v>922</v>
      </c>
      <c r="AH108" s="77">
        <v>0</v>
      </c>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row>
    <row r="109" spans="1:60" ht="15">
      <c r="A109" s="88"/>
      <c r="B109" s="87"/>
      <c r="C109" s="100" t="s">
        <v>923</v>
      </c>
      <c r="D109" s="99"/>
      <c r="E109" s="98">
        <v>1.12464</v>
      </c>
      <c r="F109" s="78"/>
      <c r="G109" s="78"/>
      <c r="H109" s="78"/>
      <c r="I109" s="78"/>
      <c r="J109" s="78"/>
      <c r="K109" s="78"/>
      <c r="L109" s="78"/>
      <c r="M109" s="78"/>
      <c r="N109" s="79"/>
      <c r="O109" s="79"/>
      <c r="P109" s="79"/>
      <c r="Q109" s="79"/>
      <c r="R109" s="78"/>
      <c r="S109" s="78"/>
      <c r="T109" s="78"/>
      <c r="U109" s="78"/>
      <c r="V109" s="78"/>
      <c r="W109" s="78"/>
      <c r="X109" s="78"/>
      <c r="Y109" s="77"/>
      <c r="Z109" s="77"/>
      <c r="AA109" s="77"/>
      <c r="AB109" s="77"/>
      <c r="AC109" s="77"/>
      <c r="AD109" s="77"/>
      <c r="AE109" s="77"/>
      <c r="AF109" s="77"/>
      <c r="AG109" s="77" t="s">
        <v>922</v>
      </c>
      <c r="AH109" s="77">
        <v>0</v>
      </c>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row>
    <row r="110" spans="1:60" ht="15">
      <c r="A110" s="85">
        <v>27</v>
      </c>
      <c r="B110" s="84" t="s">
        <v>49</v>
      </c>
      <c r="C110" s="83" t="s">
        <v>48</v>
      </c>
      <c r="D110" s="82" t="s">
        <v>37</v>
      </c>
      <c r="E110" s="81">
        <v>13.49568</v>
      </c>
      <c r="F110" s="514">
        <v>0</v>
      </c>
      <c r="G110" s="80">
        <f>F110*E110</f>
        <v>0</v>
      </c>
      <c r="H110" s="78">
        <v>0</v>
      </c>
      <c r="I110" s="78">
        <v>0</v>
      </c>
      <c r="J110" s="78">
        <v>41.2</v>
      </c>
      <c r="K110" s="78">
        <v>556.022016</v>
      </c>
      <c r="L110" s="78">
        <v>21</v>
      </c>
      <c r="M110" s="78">
        <v>672.7841999999999</v>
      </c>
      <c r="N110" s="79">
        <v>0</v>
      </c>
      <c r="O110" s="79">
        <v>0</v>
      </c>
      <c r="P110" s="79">
        <v>0</v>
      </c>
      <c r="Q110" s="79">
        <v>0</v>
      </c>
      <c r="R110" s="78"/>
      <c r="S110" s="78" t="s">
        <v>910</v>
      </c>
      <c r="T110" s="78" t="s">
        <v>910</v>
      </c>
      <c r="U110" s="78">
        <v>0.105</v>
      </c>
      <c r="V110" s="78">
        <v>1.4170464</v>
      </c>
      <c r="W110" s="78"/>
      <c r="X110" s="78" t="s">
        <v>926</v>
      </c>
      <c r="Y110" s="77"/>
      <c r="Z110" s="77"/>
      <c r="AA110" s="77"/>
      <c r="AB110" s="77"/>
      <c r="AC110" s="77"/>
      <c r="AD110" s="77"/>
      <c r="AE110" s="77"/>
      <c r="AF110" s="77"/>
      <c r="AG110" s="77" t="s">
        <v>925</v>
      </c>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row>
    <row r="111" spans="1:60" ht="15">
      <c r="A111" s="88"/>
      <c r="B111" s="87"/>
      <c r="C111" s="100" t="s">
        <v>930</v>
      </c>
      <c r="D111" s="99"/>
      <c r="E111" s="98">
        <v>8.99712</v>
      </c>
      <c r="F111" s="78"/>
      <c r="G111" s="78"/>
      <c r="H111" s="78"/>
      <c r="I111" s="78"/>
      <c r="J111" s="78"/>
      <c r="K111" s="78"/>
      <c r="L111" s="78"/>
      <c r="M111" s="78"/>
      <c r="N111" s="79"/>
      <c r="O111" s="79"/>
      <c r="P111" s="79"/>
      <c r="Q111" s="79"/>
      <c r="R111" s="78"/>
      <c r="S111" s="78"/>
      <c r="T111" s="78"/>
      <c r="U111" s="78"/>
      <c r="V111" s="78"/>
      <c r="W111" s="78"/>
      <c r="X111" s="78"/>
      <c r="Y111" s="77"/>
      <c r="Z111" s="77"/>
      <c r="AA111" s="77"/>
      <c r="AB111" s="77"/>
      <c r="AC111" s="77"/>
      <c r="AD111" s="77"/>
      <c r="AE111" s="77"/>
      <c r="AF111" s="77"/>
      <c r="AG111" s="77" t="s">
        <v>922</v>
      </c>
      <c r="AH111" s="77">
        <v>0</v>
      </c>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row>
    <row r="112" spans="1:60" ht="15">
      <c r="A112" s="88"/>
      <c r="B112" s="87"/>
      <c r="C112" s="100" t="s">
        <v>929</v>
      </c>
      <c r="D112" s="99"/>
      <c r="E112" s="98">
        <v>4.49856</v>
      </c>
      <c r="F112" s="78"/>
      <c r="G112" s="78"/>
      <c r="H112" s="78"/>
      <c r="I112" s="78"/>
      <c r="J112" s="78"/>
      <c r="K112" s="78"/>
      <c r="L112" s="78"/>
      <c r="M112" s="78"/>
      <c r="N112" s="79"/>
      <c r="O112" s="79"/>
      <c r="P112" s="79"/>
      <c r="Q112" s="79"/>
      <c r="R112" s="78"/>
      <c r="S112" s="78"/>
      <c r="T112" s="78"/>
      <c r="U112" s="78"/>
      <c r="V112" s="78"/>
      <c r="W112" s="78"/>
      <c r="X112" s="78"/>
      <c r="Y112" s="77"/>
      <c r="Z112" s="77"/>
      <c r="AA112" s="77"/>
      <c r="AB112" s="77"/>
      <c r="AC112" s="77"/>
      <c r="AD112" s="77"/>
      <c r="AE112" s="77"/>
      <c r="AF112" s="77"/>
      <c r="AG112" s="77" t="s">
        <v>922</v>
      </c>
      <c r="AH112" s="77">
        <v>0</v>
      </c>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row>
    <row r="113" spans="1:60" ht="15">
      <c r="A113" s="85">
        <v>28</v>
      </c>
      <c r="B113" s="84" t="s">
        <v>928</v>
      </c>
      <c r="C113" s="83" t="s">
        <v>927</v>
      </c>
      <c r="D113" s="82" t="s">
        <v>37</v>
      </c>
      <c r="E113" s="81">
        <v>3.37392</v>
      </c>
      <c r="F113" s="514">
        <v>0</v>
      </c>
      <c r="G113" s="80">
        <f>F113*E113</f>
        <v>0</v>
      </c>
      <c r="H113" s="78">
        <v>0</v>
      </c>
      <c r="I113" s="78">
        <v>0</v>
      </c>
      <c r="J113" s="78">
        <v>1958</v>
      </c>
      <c r="K113" s="78">
        <v>6606.13536</v>
      </c>
      <c r="L113" s="78">
        <v>21</v>
      </c>
      <c r="M113" s="78">
        <v>7993.4294</v>
      </c>
      <c r="N113" s="79">
        <v>0</v>
      </c>
      <c r="O113" s="79">
        <v>0</v>
      </c>
      <c r="P113" s="79">
        <v>0</v>
      </c>
      <c r="Q113" s="79">
        <v>0</v>
      </c>
      <c r="R113" s="78"/>
      <c r="S113" s="78" t="s">
        <v>910</v>
      </c>
      <c r="T113" s="78" t="s">
        <v>910</v>
      </c>
      <c r="U113" s="78">
        <v>0</v>
      </c>
      <c r="V113" s="78">
        <v>0</v>
      </c>
      <c r="W113" s="78"/>
      <c r="X113" s="78" t="s">
        <v>926</v>
      </c>
      <c r="Y113" s="77"/>
      <c r="Z113" s="77"/>
      <c r="AA113" s="77"/>
      <c r="AB113" s="77"/>
      <c r="AC113" s="77"/>
      <c r="AD113" s="77"/>
      <c r="AE113" s="77"/>
      <c r="AF113" s="77"/>
      <c r="AG113" s="77" t="s">
        <v>925</v>
      </c>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row>
    <row r="114" spans="1:60" ht="15">
      <c r="A114" s="88"/>
      <c r="B114" s="87"/>
      <c r="C114" s="100" t="s">
        <v>924</v>
      </c>
      <c r="D114" s="99"/>
      <c r="E114" s="98">
        <v>2.24928</v>
      </c>
      <c r="F114" s="78"/>
      <c r="G114" s="78"/>
      <c r="H114" s="78"/>
      <c r="I114" s="78"/>
      <c r="J114" s="78"/>
      <c r="K114" s="78"/>
      <c r="L114" s="78"/>
      <c r="M114" s="78"/>
      <c r="N114" s="79"/>
      <c r="O114" s="79"/>
      <c r="P114" s="79"/>
      <c r="Q114" s="79"/>
      <c r="R114" s="78"/>
      <c r="S114" s="78"/>
      <c r="T114" s="78"/>
      <c r="U114" s="78"/>
      <c r="V114" s="78"/>
      <c r="W114" s="78"/>
      <c r="X114" s="78"/>
      <c r="Y114" s="77"/>
      <c r="Z114" s="77"/>
      <c r="AA114" s="77"/>
      <c r="AB114" s="77"/>
      <c r="AC114" s="77"/>
      <c r="AD114" s="77"/>
      <c r="AE114" s="77"/>
      <c r="AF114" s="77"/>
      <c r="AG114" s="77" t="s">
        <v>922</v>
      </c>
      <c r="AH114" s="77">
        <v>0</v>
      </c>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row>
    <row r="115" spans="1:60" ht="15">
      <c r="A115" s="88"/>
      <c r="B115" s="87"/>
      <c r="C115" s="100" t="s">
        <v>923</v>
      </c>
      <c r="D115" s="99"/>
      <c r="E115" s="98">
        <v>1.12464</v>
      </c>
      <c r="F115" s="78"/>
      <c r="G115" s="78"/>
      <c r="H115" s="78"/>
      <c r="I115" s="78"/>
      <c r="J115" s="78"/>
      <c r="K115" s="78"/>
      <c r="L115" s="78"/>
      <c r="M115" s="78"/>
      <c r="N115" s="79"/>
      <c r="O115" s="79"/>
      <c r="P115" s="79"/>
      <c r="Q115" s="79"/>
      <c r="R115" s="78"/>
      <c r="S115" s="78"/>
      <c r="T115" s="78"/>
      <c r="U115" s="78"/>
      <c r="V115" s="78"/>
      <c r="W115" s="78"/>
      <c r="X115" s="78"/>
      <c r="Y115" s="77"/>
      <c r="Z115" s="77"/>
      <c r="AA115" s="77"/>
      <c r="AB115" s="77"/>
      <c r="AC115" s="77"/>
      <c r="AD115" s="77"/>
      <c r="AE115" s="77"/>
      <c r="AF115" s="77"/>
      <c r="AG115" s="77" t="s">
        <v>922</v>
      </c>
      <c r="AH115" s="77">
        <v>0</v>
      </c>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row>
    <row r="116" spans="1:33" ht="15">
      <c r="A116" s="97" t="s">
        <v>921</v>
      </c>
      <c r="B116" s="96" t="s">
        <v>920</v>
      </c>
      <c r="C116" s="95" t="s">
        <v>13</v>
      </c>
      <c r="D116" s="94"/>
      <c r="E116" s="93"/>
      <c r="F116" s="92"/>
      <c r="G116" s="91">
        <f>G117+G119+G121+G123</f>
        <v>0</v>
      </c>
      <c r="H116" s="89"/>
      <c r="I116" s="89">
        <v>0</v>
      </c>
      <c r="J116" s="89"/>
      <c r="K116" s="89">
        <v>55924.84</v>
      </c>
      <c r="L116" s="89"/>
      <c r="M116" s="89"/>
      <c r="N116" s="90"/>
      <c r="O116" s="90"/>
      <c r="P116" s="90"/>
      <c r="Q116" s="90"/>
      <c r="R116" s="89"/>
      <c r="S116" s="89"/>
      <c r="T116" s="89"/>
      <c r="U116" s="89"/>
      <c r="V116" s="89"/>
      <c r="W116" s="89"/>
      <c r="X116" s="89"/>
      <c r="AG116" s="69" t="s">
        <v>919</v>
      </c>
    </row>
    <row r="117" spans="1:60" ht="15">
      <c r="A117" s="85">
        <v>29</v>
      </c>
      <c r="B117" s="84" t="s">
        <v>918</v>
      </c>
      <c r="C117" s="83" t="s">
        <v>917</v>
      </c>
      <c r="D117" s="82" t="s">
        <v>8</v>
      </c>
      <c r="E117" s="81">
        <v>1</v>
      </c>
      <c r="F117" s="514">
        <v>0</v>
      </c>
      <c r="G117" s="80">
        <f>F117*E117</f>
        <v>0</v>
      </c>
      <c r="H117" s="78">
        <v>0</v>
      </c>
      <c r="I117" s="78">
        <v>0</v>
      </c>
      <c r="J117" s="78">
        <v>6753.45</v>
      </c>
      <c r="K117" s="78">
        <v>6753.45</v>
      </c>
      <c r="L117" s="78">
        <v>21</v>
      </c>
      <c r="M117" s="78">
        <v>8171.6745</v>
      </c>
      <c r="N117" s="79">
        <v>0</v>
      </c>
      <c r="O117" s="79">
        <v>0</v>
      </c>
      <c r="P117" s="79">
        <v>0</v>
      </c>
      <c r="Q117" s="79">
        <v>0</v>
      </c>
      <c r="R117" s="78"/>
      <c r="S117" s="78" t="s">
        <v>910</v>
      </c>
      <c r="T117" s="78" t="s">
        <v>902</v>
      </c>
      <c r="U117" s="78">
        <v>0</v>
      </c>
      <c r="V117" s="78">
        <v>0</v>
      </c>
      <c r="W117" s="78"/>
      <c r="X117" s="78" t="s">
        <v>901</v>
      </c>
      <c r="Y117" s="77"/>
      <c r="Z117" s="77"/>
      <c r="AA117" s="77"/>
      <c r="AB117" s="77"/>
      <c r="AC117" s="77"/>
      <c r="AD117" s="77"/>
      <c r="AE117" s="77"/>
      <c r="AF117" s="77"/>
      <c r="AG117" s="77" t="s">
        <v>900</v>
      </c>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row>
    <row r="118" spans="1:60" ht="33.75">
      <c r="A118" s="88"/>
      <c r="B118" s="87"/>
      <c r="C118" s="270" t="s">
        <v>916</v>
      </c>
      <c r="D118" s="271"/>
      <c r="E118" s="271"/>
      <c r="F118" s="271"/>
      <c r="G118" s="271"/>
      <c r="H118" s="78"/>
      <c r="I118" s="78"/>
      <c r="J118" s="78"/>
      <c r="K118" s="78"/>
      <c r="L118" s="78"/>
      <c r="M118" s="78"/>
      <c r="N118" s="79"/>
      <c r="O118" s="79"/>
      <c r="P118" s="79"/>
      <c r="Q118" s="79"/>
      <c r="R118" s="78"/>
      <c r="S118" s="78"/>
      <c r="T118" s="78"/>
      <c r="U118" s="78"/>
      <c r="V118" s="78"/>
      <c r="W118" s="78"/>
      <c r="X118" s="78"/>
      <c r="Y118" s="77"/>
      <c r="Z118" s="77"/>
      <c r="AA118" s="77"/>
      <c r="AB118" s="77"/>
      <c r="AC118" s="77"/>
      <c r="AD118" s="77"/>
      <c r="AE118" s="77"/>
      <c r="AF118" s="77"/>
      <c r="AG118" s="77" t="s">
        <v>907</v>
      </c>
      <c r="AH118" s="77"/>
      <c r="AI118" s="77"/>
      <c r="AJ118" s="77"/>
      <c r="AK118" s="77"/>
      <c r="AL118" s="77"/>
      <c r="AM118" s="77"/>
      <c r="AN118" s="77"/>
      <c r="AO118" s="77"/>
      <c r="AP118" s="77"/>
      <c r="AQ118" s="77"/>
      <c r="AR118" s="77"/>
      <c r="AS118" s="77"/>
      <c r="AT118" s="77"/>
      <c r="AU118" s="77"/>
      <c r="AV118" s="77"/>
      <c r="AW118" s="77"/>
      <c r="AX118" s="77"/>
      <c r="AY118" s="77"/>
      <c r="AZ118" s="77"/>
      <c r="BA118" s="86" t="str">
        <f>C118</f>
        <v>Náklady spojené s vypracováním projektové dokumentace, většinou v obsahu a rozsahu projektové dokumentace pro provádění stavby, ale mohou zde být obsaženy i náklady na jiné stupně projektové dokumentace, pokud jsou součástí požadavků objednatele.</v>
      </c>
      <c r="BB118" s="77"/>
      <c r="BC118" s="77"/>
      <c r="BD118" s="77"/>
      <c r="BE118" s="77"/>
      <c r="BF118" s="77"/>
      <c r="BG118" s="77"/>
      <c r="BH118" s="77"/>
    </row>
    <row r="119" spans="1:60" ht="15">
      <c r="A119" s="85">
        <v>30</v>
      </c>
      <c r="B119" s="84" t="s">
        <v>915</v>
      </c>
      <c r="C119" s="83" t="s">
        <v>27</v>
      </c>
      <c r="D119" s="82" t="s">
        <v>914</v>
      </c>
      <c r="E119" s="81">
        <v>1</v>
      </c>
      <c r="F119" s="514">
        <v>0</v>
      </c>
      <c r="G119" s="80">
        <f>F119*E119</f>
        <v>0</v>
      </c>
      <c r="H119" s="78">
        <v>0</v>
      </c>
      <c r="I119" s="78">
        <v>0</v>
      </c>
      <c r="J119" s="78">
        <v>10805.52</v>
      </c>
      <c r="K119" s="78">
        <v>10805.52</v>
      </c>
      <c r="L119" s="78">
        <v>21</v>
      </c>
      <c r="M119" s="78">
        <v>13074.6792</v>
      </c>
      <c r="N119" s="79">
        <v>0</v>
      </c>
      <c r="O119" s="79">
        <v>0</v>
      </c>
      <c r="P119" s="79">
        <v>0</v>
      </c>
      <c r="Q119" s="79">
        <v>0</v>
      </c>
      <c r="R119" s="78"/>
      <c r="S119" s="78" t="s">
        <v>910</v>
      </c>
      <c r="T119" s="78" t="s">
        <v>902</v>
      </c>
      <c r="U119" s="78">
        <v>0</v>
      </c>
      <c r="V119" s="78">
        <v>0</v>
      </c>
      <c r="W119" s="78"/>
      <c r="X119" s="78" t="s">
        <v>901</v>
      </c>
      <c r="Y119" s="77"/>
      <c r="Z119" s="77"/>
      <c r="AA119" s="77"/>
      <c r="AB119" s="77"/>
      <c r="AC119" s="77"/>
      <c r="AD119" s="77"/>
      <c r="AE119" s="77"/>
      <c r="AF119" s="77"/>
      <c r="AG119" s="77" t="s">
        <v>900</v>
      </c>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row>
    <row r="120" spans="1:60" ht="15">
      <c r="A120" s="88"/>
      <c r="B120" s="87"/>
      <c r="C120" s="270" t="s">
        <v>913</v>
      </c>
      <c r="D120" s="271"/>
      <c r="E120" s="271"/>
      <c r="F120" s="271"/>
      <c r="G120" s="271"/>
      <c r="H120" s="78"/>
      <c r="I120" s="78"/>
      <c r="J120" s="78"/>
      <c r="K120" s="78"/>
      <c r="L120" s="78"/>
      <c r="M120" s="78"/>
      <c r="N120" s="79"/>
      <c r="O120" s="79"/>
      <c r="P120" s="79"/>
      <c r="Q120" s="79"/>
      <c r="R120" s="78"/>
      <c r="S120" s="78"/>
      <c r="T120" s="78"/>
      <c r="U120" s="78"/>
      <c r="V120" s="78"/>
      <c r="W120" s="78"/>
      <c r="X120" s="78"/>
      <c r="Y120" s="77"/>
      <c r="Z120" s="77"/>
      <c r="AA120" s="77"/>
      <c r="AB120" s="77"/>
      <c r="AC120" s="77"/>
      <c r="AD120" s="77"/>
      <c r="AE120" s="77"/>
      <c r="AF120" s="77"/>
      <c r="AG120" s="77" t="s">
        <v>907</v>
      </c>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row>
    <row r="121" spans="1:60" ht="15">
      <c r="A121" s="85">
        <v>31</v>
      </c>
      <c r="B121" s="84" t="s">
        <v>912</v>
      </c>
      <c r="C121" s="83" t="s">
        <v>911</v>
      </c>
      <c r="D121" s="82" t="s">
        <v>8</v>
      </c>
      <c r="E121" s="81">
        <v>1</v>
      </c>
      <c r="F121" s="514">
        <v>0</v>
      </c>
      <c r="G121" s="80">
        <f>F121*E121</f>
        <v>0</v>
      </c>
      <c r="H121" s="78">
        <v>0</v>
      </c>
      <c r="I121" s="78">
        <v>0</v>
      </c>
      <c r="J121" s="78">
        <v>7300</v>
      </c>
      <c r="K121" s="78">
        <v>7300</v>
      </c>
      <c r="L121" s="78">
        <v>21</v>
      </c>
      <c r="M121" s="78">
        <v>8833</v>
      </c>
      <c r="N121" s="79">
        <v>0</v>
      </c>
      <c r="O121" s="79">
        <v>0</v>
      </c>
      <c r="P121" s="79">
        <v>0</v>
      </c>
      <c r="Q121" s="79">
        <v>0</v>
      </c>
      <c r="R121" s="78"/>
      <c r="S121" s="78" t="s">
        <v>910</v>
      </c>
      <c r="T121" s="78" t="s">
        <v>902</v>
      </c>
      <c r="U121" s="78">
        <v>0</v>
      </c>
      <c r="V121" s="78">
        <v>0</v>
      </c>
      <c r="W121" s="78"/>
      <c r="X121" s="78" t="s">
        <v>901</v>
      </c>
      <c r="Y121" s="77"/>
      <c r="Z121" s="77"/>
      <c r="AA121" s="77"/>
      <c r="AB121" s="77"/>
      <c r="AC121" s="77"/>
      <c r="AD121" s="77"/>
      <c r="AE121" s="77"/>
      <c r="AF121" s="77"/>
      <c r="AG121" s="77" t="s">
        <v>909</v>
      </c>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row>
    <row r="122" spans="1:60" ht="22.5">
      <c r="A122" s="88"/>
      <c r="B122" s="87"/>
      <c r="C122" s="270" t="s">
        <v>908</v>
      </c>
      <c r="D122" s="271"/>
      <c r="E122" s="271"/>
      <c r="F122" s="271"/>
      <c r="G122" s="271"/>
      <c r="H122" s="78"/>
      <c r="I122" s="78"/>
      <c r="J122" s="78"/>
      <c r="K122" s="78"/>
      <c r="L122" s="78"/>
      <c r="M122" s="78"/>
      <c r="N122" s="79"/>
      <c r="O122" s="79"/>
      <c r="P122" s="79"/>
      <c r="Q122" s="79"/>
      <c r="R122" s="78"/>
      <c r="S122" s="78"/>
      <c r="T122" s="78"/>
      <c r="U122" s="78"/>
      <c r="V122" s="78"/>
      <c r="W122" s="78"/>
      <c r="X122" s="78"/>
      <c r="Y122" s="77"/>
      <c r="Z122" s="77"/>
      <c r="AA122" s="77"/>
      <c r="AB122" s="77"/>
      <c r="AC122" s="77"/>
      <c r="AD122" s="77"/>
      <c r="AE122" s="77"/>
      <c r="AF122" s="77"/>
      <c r="AG122" s="77" t="s">
        <v>907</v>
      </c>
      <c r="AH122" s="77"/>
      <c r="AI122" s="77"/>
      <c r="AJ122" s="77"/>
      <c r="AK122" s="77"/>
      <c r="AL122" s="77"/>
      <c r="AM122" s="77"/>
      <c r="AN122" s="77"/>
      <c r="AO122" s="77"/>
      <c r="AP122" s="77"/>
      <c r="AQ122" s="77"/>
      <c r="AR122" s="77"/>
      <c r="AS122" s="77"/>
      <c r="AT122" s="77"/>
      <c r="AU122" s="77"/>
      <c r="AV122" s="77"/>
      <c r="AW122" s="77"/>
      <c r="AX122" s="77"/>
      <c r="AY122" s="77"/>
      <c r="AZ122" s="77"/>
      <c r="BA122" s="86" t="str">
        <f>C122</f>
        <v>Náklady na vyhotovení dokumentace skutečného provedení stavby a její předání objednateli v požadované formě a požadovaném počtu.</v>
      </c>
      <c r="BB122" s="77"/>
      <c r="BC122" s="77"/>
      <c r="BD122" s="77"/>
      <c r="BE122" s="77"/>
      <c r="BF122" s="77"/>
      <c r="BG122" s="77"/>
      <c r="BH122" s="77"/>
    </row>
    <row r="123" spans="1:60" ht="15">
      <c r="A123" s="85">
        <v>32</v>
      </c>
      <c r="B123" s="84" t="s">
        <v>906</v>
      </c>
      <c r="C123" s="83" t="s">
        <v>905</v>
      </c>
      <c r="D123" s="82" t="s">
        <v>904</v>
      </c>
      <c r="E123" s="81">
        <v>1</v>
      </c>
      <c r="F123" s="514">
        <v>0</v>
      </c>
      <c r="G123" s="80">
        <f>F123*E123</f>
        <v>0</v>
      </c>
      <c r="H123" s="78">
        <v>0</v>
      </c>
      <c r="I123" s="78">
        <v>0</v>
      </c>
      <c r="J123" s="78">
        <v>31065.87</v>
      </c>
      <c r="K123" s="78">
        <v>31065.87</v>
      </c>
      <c r="L123" s="78">
        <v>21</v>
      </c>
      <c r="M123" s="78">
        <v>37589.7027</v>
      </c>
      <c r="N123" s="79">
        <v>0</v>
      </c>
      <c r="O123" s="79">
        <v>0</v>
      </c>
      <c r="P123" s="79">
        <v>0</v>
      </c>
      <c r="Q123" s="79">
        <v>0</v>
      </c>
      <c r="R123" s="78"/>
      <c r="S123" s="78" t="s">
        <v>903</v>
      </c>
      <c r="T123" s="78" t="s">
        <v>902</v>
      </c>
      <c r="U123" s="78">
        <v>0</v>
      </c>
      <c r="V123" s="78">
        <v>0</v>
      </c>
      <c r="W123" s="78"/>
      <c r="X123" s="78" t="s">
        <v>901</v>
      </c>
      <c r="Y123" s="77"/>
      <c r="Z123" s="77"/>
      <c r="AA123" s="77"/>
      <c r="AB123" s="77"/>
      <c r="AC123" s="77"/>
      <c r="AD123" s="77"/>
      <c r="AE123" s="77"/>
      <c r="AF123" s="77"/>
      <c r="AG123" s="77" t="s">
        <v>900</v>
      </c>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row>
    <row r="124" spans="1:33" ht="15">
      <c r="A124" s="73"/>
      <c r="B124" s="76"/>
      <c r="C124" s="75"/>
      <c r="D124" s="74"/>
      <c r="E124" s="73"/>
      <c r="F124" s="73"/>
      <c r="G124" s="73"/>
      <c r="H124" s="73"/>
      <c r="I124" s="73"/>
      <c r="J124" s="73"/>
      <c r="K124" s="73"/>
      <c r="L124" s="73"/>
      <c r="M124" s="73"/>
      <c r="N124" s="73"/>
      <c r="O124" s="73"/>
      <c r="P124" s="73"/>
      <c r="Q124" s="73"/>
      <c r="R124" s="73"/>
      <c r="S124" s="73"/>
      <c r="T124" s="73"/>
      <c r="U124" s="73"/>
      <c r="V124" s="73"/>
      <c r="W124" s="73"/>
      <c r="X124" s="73"/>
      <c r="AE124" s="69">
        <v>15</v>
      </c>
      <c r="AF124" s="69">
        <v>21</v>
      </c>
      <c r="AG124" s="69" t="s">
        <v>899</v>
      </c>
    </row>
    <row r="125" spans="3:33" ht="15">
      <c r="C125" s="72"/>
      <c r="D125" s="71"/>
      <c r="G125" s="243">
        <f>G116+G99+G79+G73+G52+G46+G8</f>
        <v>0</v>
      </c>
      <c r="AG125" s="69" t="s">
        <v>898</v>
      </c>
    </row>
    <row r="126" ht="15">
      <c r="D126" s="71"/>
    </row>
    <row r="127" spans="4:25" ht="15">
      <c r="D127" s="71"/>
      <c r="Y127" s="513"/>
    </row>
    <row r="128" ht="15">
      <c r="D128" s="71"/>
    </row>
    <row r="129" ht="15">
      <c r="D129" s="71"/>
    </row>
    <row r="130" ht="15">
      <c r="D130" s="71"/>
    </row>
    <row r="131" ht="15">
      <c r="D131" s="71"/>
    </row>
    <row r="132" ht="15">
      <c r="D132" s="71"/>
    </row>
    <row r="133" ht="15">
      <c r="D133" s="71"/>
    </row>
    <row r="134" ht="15">
      <c r="D134" s="71"/>
    </row>
    <row r="135" ht="15">
      <c r="D135" s="71"/>
    </row>
    <row r="136" ht="15">
      <c r="D136" s="71"/>
    </row>
    <row r="137" ht="15">
      <c r="D137" s="71"/>
    </row>
    <row r="138" ht="15">
      <c r="D138" s="71"/>
    </row>
    <row r="139" ht="15">
      <c r="D139" s="71"/>
    </row>
    <row r="140" ht="15">
      <c r="D140" s="71"/>
    </row>
    <row r="141" ht="15">
      <c r="D141" s="71"/>
    </row>
    <row r="142" ht="15">
      <c r="D142" s="71"/>
    </row>
    <row r="143" ht="15">
      <c r="D143" s="71"/>
    </row>
    <row r="144" ht="15">
      <c r="D144" s="71"/>
    </row>
    <row r="145" ht="15">
      <c r="D145" s="71"/>
    </row>
    <row r="146" ht="15">
      <c r="D146" s="71"/>
    </row>
    <row r="147" ht="15">
      <c r="D147" s="71"/>
    </row>
    <row r="148" ht="15">
      <c r="D148" s="71"/>
    </row>
    <row r="149" ht="15">
      <c r="D149" s="71"/>
    </row>
    <row r="150" ht="15">
      <c r="D150" s="71"/>
    </row>
    <row r="151" ht="15">
      <c r="D151" s="71"/>
    </row>
    <row r="152" ht="15">
      <c r="D152" s="71"/>
    </row>
    <row r="153" ht="15">
      <c r="D153" s="71"/>
    </row>
    <row r="154" ht="15">
      <c r="D154" s="71"/>
    </row>
    <row r="155" ht="15">
      <c r="D155" s="71"/>
    </row>
    <row r="156" ht="15">
      <c r="D156" s="71"/>
    </row>
    <row r="157" ht="15">
      <c r="D157" s="71"/>
    </row>
    <row r="158" ht="15">
      <c r="D158" s="71"/>
    </row>
    <row r="159" ht="15">
      <c r="D159" s="71"/>
    </row>
    <row r="160" ht="15">
      <c r="D160" s="71"/>
    </row>
    <row r="161" ht="15">
      <c r="D161" s="71"/>
    </row>
    <row r="162" ht="15">
      <c r="D162" s="71"/>
    </row>
    <row r="163" ht="15">
      <c r="D163" s="71"/>
    </row>
    <row r="164" ht="15">
      <c r="D164" s="71"/>
    </row>
    <row r="165" ht="15">
      <c r="D165" s="71"/>
    </row>
    <row r="166" ht="15">
      <c r="D166" s="71"/>
    </row>
    <row r="167" ht="15">
      <c r="D167" s="71"/>
    </row>
    <row r="168" ht="15">
      <c r="D168" s="71"/>
    </row>
    <row r="169" ht="15">
      <c r="D169" s="71"/>
    </row>
    <row r="170" ht="15">
      <c r="D170" s="71"/>
    </row>
    <row r="171" ht="15">
      <c r="D171" s="71"/>
    </row>
    <row r="172" ht="15">
      <c r="D172" s="71"/>
    </row>
    <row r="173" ht="15">
      <c r="D173" s="71"/>
    </row>
    <row r="174" ht="15">
      <c r="D174" s="71"/>
    </row>
    <row r="175" ht="15">
      <c r="D175" s="71"/>
    </row>
    <row r="176" ht="15">
      <c r="D176" s="71"/>
    </row>
    <row r="177" ht="15">
      <c r="D177" s="71"/>
    </row>
    <row r="178" ht="15">
      <c r="D178" s="71"/>
    </row>
    <row r="179" ht="15">
      <c r="D179" s="71"/>
    </row>
    <row r="180" ht="15">
      <c r="D180" s="71"/>
    </row>
    <row r="181" ht="15">
      <c r="D181" s="71"/>
    </row>
    <row r="182" ht="15">
      <c r="D182" s="71"/>
    </row>
    <row r="183" ht="15">
      <c r="D183" s="71"/>
    </row>
    <row r="184" ht="15">
      <c r="D184" s="71"/>
    </row>
    <row r="185" ht="15">
      <c r="D185" s="71"/>
    </row>
    <row r="186" ht="15">
      <c r="D186" s="71"/>
    </row>
    <row r="187" ht="15">
      <c r="D187" s="71"/>
    </row>
    <row r="188" ht="15">
      <c r="D188" s="71"/>
    </row>
    <row r="189" ht="15">
      <c r="D189" s="71"/>
    </row>
    <row r="190" ht="15">
      <c r="D190" s="71"/>
    </row>
    <row r="191" ht="15">
      <c r="D191" s="71"/>
    </row>
    <row r="192" ht="15">
      <c r="D192" s="71"/>
    </row>
    <row r="193" ht="15">
      <c r="D193" s="71"/>
    </row>
    <row r="194" ht="15">
      <c r="D194" s="71"/>
    </row>
    <row r="195" ht="15">
      <c r="D195" s="71"/>
    </row>
    <row r="196" ht="15">
      <c r="D196" s="71"/>
    </row>
    <row r="197" ht="15">
      <c r="D197" s="71"/>
    </row>
    <row r="198" ht="15">
      <c r="D198" s="71"/>
    </row>
    <row r="199" ht="15">
      <c r="D199" s="71"/>
    </row>
    <row r="200" ht="15">
      <c r="D200" s="71"/>
    </row>
    <row r="201" ht="15">
      <c r="D201" s="71"/>
    </row>
    <row r="202" ht="15">
      <c r="D202" s="71"/>
    </row>
    <row r="203" ht="15">
      <c r="D203" s="71"/>
    </row>
    <row r="204" ht="15">
      <c r="D204" s="71"/>
    </row>
    <row r="205" ht="15">
      <c r="D205" s="71"/>
    </row>
    <row r="206" ht="15">
      <c r="D206" s="71"/>
    </row>
    <row r="207" ht="15">
      <c r="D207" s="71"/>
    </row>
    <row r="208" ht="15">
      <c r="D208" s="71"/>
    </row>
    <row r="209" ht="15">
      <c r="D209" s="71"/>
    </row>
    <row r="210" ht="15">
      <c r="D210" s="71"/>
    </row>
    <row r="211" ht="15">
      <c r="D211" s="71"/>
    </row>
    <row r="212" ht="15">
      <c r="D212" s="71"/>
    </row>
    <row r="213" ht="15">
      <c r="D213" s="71"/>
    </row>
    <row r="214" ht="15">
      <c r="D214" s="71"/>
    </row>
    <row r="215" ht="15">
      <c r="D215" s="71"/>
    </row>
    <row r="216" ht="15">
      <c r="D216" s="71"/>
    </row>
    <row r="217" ht="15">
      <c r="D217" s="71"/>
    </row>
    <row r="218" ht="15">
      <c r="D218" s="71"/>
    </row>
    <row r="219" ht="15">
      <c r="D219" s="71"/>
    </row>
    <row r="220" ht="15">
      <c r="D220" s="71"/>
    </row>
    <row r="221" ht="15">
      <c r="D221" s="71"/>
    </row>
    <row r="222" ht="15">
      <c r="D222" s="71"/>
    </row>
    <row r="223" ht="15">
      <c r="D223" s="71"/>
    </row>
    <row r="224" ht="15">
      <c r="D224" s="71"/>
    </row>
    <row r="225" ht="15">
      <c r="D225" s="71"/>
    </row>
    <row r="226" ht="15">
      <c r="D226" s="71"/>
    </row>
    <row r="227" ht="15">
      <c r="D227" s="71"/>
    </row>
    <row r="228" ht="15">
      <c r="D228" s="71"/>
    </row>
    <row r="229" ht="15">
      <c r="D229" s="71"/>
    </row>
    <row r="230" ht="15">
      <c r="D230" s="71"/>
    </row>
    <row r="231" ht="15">
      <c r="D231" s="71"/>
    </row>
    <row r="232" ht="15">
      <c r="D232" s="71"/>
    </row>
    <row r="233" ht="15">
      <c r="D233" s="71"/>
    </row>
    <row r="234" ht="15">
      <c r="D234" s="71"/>
    </row>
    <row r="235" ht="15">
      <c r="D235" s="71"/>
    </row>
    <row r="236" ht="15">
      <c r="D236" s="71"/>
    </row>
    <row r="237" ht="15">
      <c r="D237" s="71"/>
    </row>
    <row r="238" ht="15">
      <c r="D238" s="71"/>
    </row>
    <row r="239" ht="15">
      <c r="D239" s="71"/>
    </row>
    <row r="240" ht="15">
      <c r="D240" s="71"/>
    </row>
    <row r="241" ht="15">
      <c r="D241" s="71"/>
    </row>
    <row r="242" ht="15">
      <c r="D242" s="71"/>
    </row>
    <row r="243" ht="15">
      <c r="D243" s="71"/>
    </row>
    <row r="244" ht="15">
      <c r="D244" s="71"/>
    </row>
    <row r="245" ht="15">
      <c r="D245" s="71"/>
    </row>
    <row r="246" ht="15">
      <c r="D246" s="71"/>
    </row>
    <row r="247" ht="15">
      <c r="D247" s="71"/>
    </row>
    <row r="248" ht="15">
      <c r="D248" s="71"/>
    </row>
    <row r="249" ht="15">
      <c r="D249" s="71"/>
    </row>
    <row r="250" ht="15">
      <c r="D250" s="71"/>
    </row>
    <row r="251" ht="15">
      <c r="D251" s="71"/>
    </row>
    <row r="252" ht="15">
      <c r="D252" s="71"/>
    </row>
    <row r="253" ht="15">
      <c r="D253" s="71"/>
    </row>
    <row r="254" ht="15">
      <c r="D254" s="71"/>
    </row>
    <row r="255" ht="15">
      <c r="D255" s="71"/>
    </row>
    <row r="256" ht="15">
      <c r="D256" s="71"/>
    </row>
    <row r="257" ht="15">
      <c r="D257" s="71"/>
    </row>
    <row r="258" ht="15">
      <c r="D258" s="71"/>
    </row>
    <row r="259" ht="15">
      <c r="D259" s="71"/>
    </row>
    <row r="260" ht="15">
      <c r="D260" s="71"/>
    </row>
    <row r="261" ht="15">
      <c r="D261" s="71"/>
    </row>
    <row r="262" ht="15">
      <c r="D262" s="71"/>
    </row>
    <row r="263" ht="15">
      <c r="D263" s="71"/>
    </row>
    <row r="264" ht="15">
      <c r="D264" s="71"/>
    </row>
    <row r="265" ht="15">
      <c r="D265" s="71"/>
    </row>
    <row r="266" ht="15">
      <c r="D266" s="71"/>
    </row>
    <row r="267" ht="15">
      <c r="D267" s="71"/>
    </row>
    <row r="268" ht="15">
      <c r="D268" s="71"/>
    </row>
    <row r="269" ht="15">
      <c r="D269" s="71"/>
    </row>
    <row r="270" ht="15">
      <c r="D270" s="71"/>
    </row>
    <row r="271" ht="15">
      <c r="D271" s="71"/>
    </row>
    <row r="272" ht="15">
      <c r="D272" s="71"/>
    </row>
    <row r="273" ht="15">
      <c r="D273" s="71"/>
    </row>
    <row r="274" ht="15">
      <c r="D274" s="71"/>
    </row>
    <row r="275" ht="15">
      <c r="D275" s="71"/>
    </row>
    <row r="276" ht="15">
      <c r="D276" s="71"/>
    </row>
    <row r="277" ht="15">
      <c r="D277" s="71"/>
    </row>
    <row r="278" ht="15">
      <c r="D278" s="71"/>
    </row>
    <row r="279" ht="15">
      <c r="D279" s="71"/>
    </row>
    <row r="280" ht="15">
      <c r="D280" s="71"/>
    </row>
    <row r="281" ht="15">
      <c r="D281" s="71"/>
    </row>
    <row r="282" ht="15">
      <c r="D282" s="71"/>
    </row>
    <row r="283" ht="15">
      <c r="D283" s="71"/>
    </row>
    <row r="284" ht="15">
      <c r="D284" s="71"/>
    </row>
    <row r="285" ht="15">
      <c r="D285" s="71"/>
    </row>
    <row r="286" ht="15">
      <c r="D286" s="71"/>
    </row>
    <row r="287" ht="15">
      <c r="D287" s="71"/>
    </row>
    <row r="288" ht="15">
      <c r="D288" s="71"/>
    </row>
    <row r="289" ht="15">
      <c r="D289" s="71"/>
    </row>
    <row r="290" ht="15">
      <c r="D290" s="71"/>
    </row>
    <row r="291" ht="15">
      <c r="D291" s="71"/>
    </row>
    <row r="292" ht="15">
      <c r="D292" s="71"/>
    </row>
    <row r="293" ht="15">
      <c r="D293" s="71"/>
    </row>
    <row r="294" ht="15">
      <c r="D294" s="71"/>
    </row>
    <row r="295" ht="15">
      <c r="D295" s="71"/>
    </row>
    <row r="296" ht="15">
      <c r="D296" s="71"/>
    </row>
    <row r="297" ht="15">
      <c r="D297" s="71"/>
    </row>
    <row r="298" ht="15">
      <c r="D298" s="71"/>
    </row>
    <row r="299" ht="15">
      <c r="D299" s="71"/>
    </row>
    <row r="300" ht="15">
      <c r="D300" s="71"/>
    </row>
    <row r="301" ht="15">
      <c r="D301" s="71"/>
    </row>
    <row r="302" ht="15">
      <c r="D302" s="71"/>
    </row>
    <row r="303" ht="15">
      <c r="D303" s="71"/>
    </row>
    <row r="304" ht="15">
      <c r="D304" s="71"/>
    </row>
    <row r="305" ht="15">
      <c r="D305" s="71"/>
    </row>
    <row r="306" ht="15">
      <c r="D306" s="71"/>
    </row>
    <row r="307" ht="15">
      <c r="D307" s="71"/>
    </row>
    <row r="308" ht="15">
      <c r="D308" s="71"/>
    </row>
    <row r="309" ht="15">
      <c r="D309" s="71"/>
    </row>
    <row r="310" ht="15">
      <c r="D310" s="71"/>
    </row>
    <row r="311" ht="15">
      <c r="D311" s="71"/>
    </row>
    <row r="312" ht="15">
      <c r="D312" s="71"/>
    </row>
    <row r="313" ht="15">
      <c r="D313" s="71"/>
    </row>
    <row r="314" ht="15">
      <c r="D314" s="71"/>
    </row>
    <row r="315" ht="15">
      <c r="D315" s="71"/>
    </row>
    <row r="316" ht="15">
      <c r="D316" s="71"/>
    </row>
    <row r="317" ht="15">
      <c r="D317" s="71"/>
    </row>
    <row r="318" ht="15">
      <c r="D318" s="71"/>
    </row>
    <row r="319" ht="15">
      <c r="D319" s="71"/>
    </row>
    <row r="320" ht="15">
      <c r="D320" s="71"/>
    </row>
    <row r="321" ht="15">
      <c r="D321" s="71"/>
    </row>
    <row r="322" ht="15">
      <c r="D322" s="71"/>
    </row>
    <row r="323" ht="15">
      <c r="D323" s="71"/>
    </row>
    <row r="324" ht="15">
      <c r="D324" s="71"/>
    </row>
    <row r="325" ht="15">
      <c r="D325" s="71"/>
    </row>
    <row r="326" ht="15">
      <c r="D326" s="71"/>
    </row>
    <row r="327" ht="15">
      <c r="D327" s="71"/>
    </row>
    <row r="328" ht="15">
      <c r="D328" s="71"/>
    </row>
    <row r="329" ht="15">
      <c r="D329" s="71"/>
    </row>
    <row r="330" ht="15">
      <c r="D330" s="71"/>
    </row>
    <row r="331" ht="15">
      <c r="D331" s="71"/>
    </row>
    <row r="332" ht="15">
      <c r="D332" s="71"/>
    </row>
    <row r="333" ht="15">
      <c r="D333" s="71"/>
    </row>
    <row r="334" ht="15">
      <c r="D334" s="71"/>
    </row>
    <row r="335" ht="15">
      <c r="D335" s="71"/>
    </row>
    <row r="336" ht="15">
      <c r="D336" s="71"/>
    </row>
    <row r="337" ht="15">
      <c r="D337" s="71"/>
    </row>
    <row r="338" ht="15">
      <c r="D338" s="71"/>
    </row>
    <row r="339" ht="15">
      <c r="D339" s="71"/>
    </row>
    <row r="340" ht="15">
      <c r="D340" s="71"/>
    </row>
    <row r="341" ht="15">
      <c r="D341" s="71"/>
    </row>
    <row r="342" ht="15">
      <c r="D342" s="71"/>
    </row>
    <row r="343" ht="15">
      <c r="D343" s="71"/>
    </row>
    <row r="344" ht="15">
      <c r="D344" s="71"/>
    </row>
    <row r="345" ht="15">
      <c r="D345" s="71"/>
    </row>
    <row r="346" ht="15">
      <c r="D346" s="71"/>
    </row>
    <row r="347" ht="15">
      <c r="D347" s="71"/>
    </row>
    <row r="348" ht="15">
      <c r="D348" s="71"/>
    </row>
    <row r="349" ht="15">
      <c r="D349" s="71"/>
    </row>
    <row r="350" ht="15">
      <c r="D350" s="71"/>
    </row>
    <row r="351" ht="15">
      <c r="D351" s="71"/>
    </row>
    <row r="352" ht="15">
      <c r="D352" s="71"/>
    </row>
    <row r="353" ht="15">
      <c r="D353" s="71"/>
    </row>
    <row r="354" ht="15">
      <c r="D354" s="71"/>
    </row>
    <row r="355" ht="15">
      <c r="D355" s="71"/>
    </row>
    <row r="356" ht="15">
      <c r="D356" s="71"/>
    </row>
    <row r="357" ht="15">
      <c r="D357" s="71"/>
    </row>
    <row r="358" ht="15">
      <c r="D358" s="71"/>
    </row>
    <row r="359" ht="15">
      <c r="D359" s="71"/>
    </row>
    <row r="360" ht="15">
      <c r="D360" s="71"/>
    </row>
    <row r="361" ht="15">
      <c r="D361" s="71"/>
    </row>
    <row r="362" ht="15">
      <c r="D362" s="71"/>
    </row>
    <row r="363" ht="15">
      <c r="D363" s="71"/>
    </row>
    <row r="364" ht="15">
      <c r="D364" s="71"/>
    </row>
    <row r="365" ht="15">
      <c r="D365" s="71"/>
    </row>
    <row r="366" ht="15">
      <c r="D366" s="71"/>
    </row>
    <row r="367" ht="15">
      <c r="D367" s="71"/>
    </row>
    <row r="368" ht="15">
      <c r="D368" s="71"/>
    </row>
    <row r="369" ht="15">
      <c r="D369" s="71"/>
    </row>
    <row r="370" ht="15">
      <c r="D370" s="71"/>
    </row>
    <row r="371" ht="15">
      <c r="D371" s="71"/>
    </row>
    <row r="372" ht="15">
      <c r="D372" s="71"/>
    </row>
    <row r="373" ht="15">
      <c r="D373" s="71"/>
    </row>
    <row r="374" ht="15">
      <c r="D374" s="71"/>
    </row>
    <row r="375" ht="15">
      <c r="D375" s="71"/>
    </row>
    <row r="376" ht="15">
      <c r="D376" s="71"/>
    </row>
    <row r="377" ht="15">
      <c r="D377" s="71"/>
    </row>
    <row r="378" ht="15">
      <c r="D378" s="71"/>
    </row>
    <row r="379" ht="15">
      <c r="D379" s="71"/>
    </row>
    <row r="380" ht="15">
      <c r="D380" s="71"/>
    </row>
    <row r="381" ht="15">
      <c r="D381" s="71"/>
    </row>
    <row r="382" ht="15">
      <c r="D382" s="71"/>
    </row>
    <row r="383" ht="15">
      <c r="D383" s="71"/>
    </row>
    <row r="384" ht="15">
      <c r="D384" s="71"/>
    </row>
    <row r="385" ht="15">
      <c r="D385" s="71"/>
    </row>
    <row r="386" ht="15">
      <c r="D386" s="71"/>
    </row>
    <row r="387" ht="15">
      <c r="D387" s="71"/>
    </row>
    <row r="388" ht="15">
      <c r="D388" s="71"/>
    </row>
    <row r="389" ht="15">
      <c r="D389" s="71"/>
    </row>
    <row r="390" ht="15">
      <c r="D390" s="71"/>
    </row>
    <row r="391" ht="15">
      <c r="D391" s="71"/>
    </row>
    <row r="392" ht="15">
      <c r="D392" s="71"/>
    </row>
    <row r="393" ht="15">
      <c r="D393" s="71"/>
    </row>
    <row r="394" ht="15">
      <c r="D394" s="71"/>
    </row>
    <row r="395" ht="15">
      <c r="D395" s="71"/>
    </row>
    <row r="396" ht="15">
      <c r="D396" s="71"/>
    </row>
    <row r="397" ht="15">
      <c r="D397" s="71"/>
    </row>
    <row r="398" ht="15">
      <c r="D398" s="71"/>
    </row>
    <row r="399" ht="15">
      <c r="D399" s="71"/>
    </row>
    <row r="400" ht="15">
      <c r="D400" s="71"/>
    </row>
    <row r="401" ht="15">
      <c r="D401" s="71"/>
    </row>
    <row r="402" ht="15">
      <c r="D402" s="71"/>
    </row>
    <row r="403" ht="15">
      <c r="D403" s="71"/>
    </row>
    <row r="404" ht="15">
      <c r="D404" s="71"/>
    </row>
    <row r="405" ht="15">
      <c r="D405" s="71"/>
    </row>
    <row r="406" ht="15">
      <c r="D406" s="71"/>
    </row>
    <row r="407" ht="15">
      <c r="D407" s="71"/>
    </row>
    <row r="408" ht="15">
      <c r="D408" s="71"/>
    </row>
    <row r="409" ht="15">
      <c r="D409" s="71"/>
    </row>
    <row r="410" ht="15">
      <c r="D410" s="71"/>
    </row>
    <row r="411" ht="15">
      <c r="D411" s="71"/>
    </row>
    <row r="412" ht="15">
      <c r="D412" s="71"/>
    </row>
    <row r="413" ht="15">
      <c r="D413" s="71"/>
    </row>
    <row r="414" ht="15">
      <c r="D414" s="71"/>
    </row>
    <row r="415" ht="15">
      <c r="D415" s="71"/>
    </row>
    <row r="416" ht="15">
      <c r="D416" s="71"/>
    </row>
    <row r="417" ht="15">
      <c r="D417" s="71"/>
    </row>
    <row r="418" ht="15">
      <c r="D418" s="71"/>
    </row>
    <row r="419" ht="15">
      <c r="D419" s="71"/>
    </row>
    <row r="420" ht="15">
      <c r="D420" s="71"/>
    </row>
    <row r="421" ht="15">
      <c r="D421" s="71"/>
    </row>
    <row r="422" ht="15">
      <c r="D422" s="71"/>
    </row>
    <row r="423" ht="15">
      <c r="D423" s="71"/>
    </row>
    <row r="424" ht="15">
      <c r="D424" s="71"/>
    </row>
    <row r="425" ht="15">
      <c r="D425" s="71"/>
    </row>
    <row r="426" ht="15">
      <c r="D426" s="71"/>
    </row>
    <row r="427" ht="15">
      <c r="D427" s="71"/>
    </row>
    <row r="428" ht="15">
      <c r="D428" s="71"/>
    </row>
    <row r="429" ht="15">
      <c r="D429" s="71"/>
    </row>
    <row r="430" ht="15">
      <c r="D430" s="71"/>
    </row>
    <row r="431" ht="15">
      <c r="D431" s="71"/>
    </row>
    <row r="432" ht="15">
      <c r="D432" s="71"/>
    </row>
    <row r="433" ht="15">
      <c r="D433" s="71"/>
    </row>
    <row r="434" ht="15">
      <c r="D434" s="71"/>
    </row>
    <row r="435" ht="15">
      <c r="D435" s="71"/>
    </row>
    <row r="436" ht="15">
      <c r="D436" s="71"/>
    </row>
    <row r="437" ht="15">
      <c r="D437" s="71"/>
    </row>
    <row r="438" ht="15">
      <c r="D438" s="71"/>
    </row>
    <row r="439" ht="15">
      <c r="D439" s="71"/>
    </row>
    <row r="440" ht="15">
      <c r="D440" s="71"/>
    </row>
    <row r="441" ht="15">
      <c r="D441" s="71"/>
    </row>
    <row r="442" ht="15">
      <c r="D442" s="71"/>
    </row>
    <row r="443" ht="15">
      <c r="D443" s="71"/>
    </row>
    <row r="444" ht="15">
      <c r="D444" s="71"/>
    </row>
    <row r="445" ht="15">
      <c r="D445" s="71"/>
    </row>
    <row r="446" ht="15">
      <c r="D446" s="71"/>
    </row>
    <row r="447" ht="15">
      <c r="D447" s="71"/>
    </row>
    <row r="448" ht="15">
      <c r="D448" s="71"/>
    </row>
    <row r="449" ht="15">
      <c r="D449" s="71"/>
    </row>
    <row r="450" ht="15">
      <c r="D450" s="71"/>
    </row>
    <row r="451" ht="15">
      <c r="D451" s="71"/>
    </row>
    <row r="452" ht="15">
      <c r="D452" s="71"/>
    </row>
    <row r="453" ht="15">
      <c r="D453" s="71"/>
    </row>
    <row r="454" ht="15">
      <c r="D454" s="71"/>
    </row>
    <row r="455" ht="15">
      <c r="D455" s="71"/>
    </row>
    <row r="456" ht="15">
      <c r="D456" s="71"/>
    </row>
    <row r="457" ht="15">
      <c r="D457" s="71"/>
    </row>
    <row r="458" ht="15">
      <c r="D458" s="71"/>
    </row>
    <row r="459" ht="15">
      <c r="D459" s="71"/>
    </row>
    <row r="460" ht="15">
      <c r="D460" s="71"/>
    </row>
    <row r="461" ht="15">
      <c r="D461" s="71"/>
    </row>
    <row r="462" ht="15">
      <c r="D462" s="71"/>
    </row>
    <row r="463" ht="15">
      <c r="D463" s="71"/>
    </row>
    <row r="464" ht="15">
      <c r="D464" s="71"/>
    </row>
    <row r="465" ht="15">
      <c r="D465" s="71"/>
    </row>
    <row r="466" ht="15">
      <c r="D466" s="71"/>
    </row>
    <row r="467" ht="15">
      <c r="D467" s="71"/>
    </row>
    <row r="468" ht="15">
      <c r="D468" s="71"/>
    </row>
    <row r="469" ht="15">
      <c r="D469" s="71"/>
    </row>
    <row r="470" ht="15">
      <c r="D470" s="71"/>
    </row>
    <row r="471" ht="15">
      <c r="D471" s="71"/>
    </row>
    <row r="472" ht="15">
      <c r="D472" s="71"/>
    </row>
    <row r="473" ht="15">
      <c r="D473" s="71"/>
    </row>
    <row r="474" ht="15">
      <c r="D474" s="71"/>
    </row>
    <row r="475" ht="15">
      <c r="D475" s="71"/>
    </row>
    <row r="476" ht="15">
      <c r="D476" s="71"/>
    </row>
    <row r="477" ht="15">
      <c r="D477" s="71"/>
    </row>
    <row r="478" ht="15">
      <c r="D478" s="71"/>
    </row>
    <row r="479" ht="15">
      <c r="D479" s="71"/>
    </row>
    <row r="480" ht="15">
      <c r="D480" s="71"/>
    </row>
    <row r="481" ht="15">
      <c r="D481" s="71"/>
    </row>
    <row r="482" ht="15">
      <c r="D482" s="71"/>
    </row>
    <row r="483" ht="15">
      <c r="D483" s="71"/>
    </row>
    <row r="484" ht="15">
      <c r="D484" s="71"/>
    </row>
    <row r="485" ht="15">
      <c r="D485" s="71"/>
    </row>
    <row r="486" ht="15">
      <c r="D486" s="71"/>
    </row>
    <row r="487" ht="15">
      <c r="D487" s="71"/>
    </row>
    <row r="488" ht="15">
      <c r="D488" s="71"/>
    </row>
    <row r="489" ht="15">
      <c r="D489" s="71"/>
    </row>
    <row r="490" ht="15">
      <c r="D490" s="71"/>
    </row>
    <row r="491" ht="15">
      <c r="D491" s="71"/>
    </row>
    <row r="492" ht="15">
      <c r="D492" s="71"/>
    </row>
    <row r="493" ht="15">
      <c r="D493" s="71"/>
    </row>
    <row r="494" ht="15">
      <c r="D494" s="71"/>
    </row>
    <row r="495" ht="15">
      <c r="D495" s="71"/>
    </row>
    <row r="496" ht="15">
      <c r="D496" s="71"/>
    </row>
    <row r="497" ht="15">
      <c r="D497" s="71"/>
    </row>
    <row r="498" ht="15">
      <c r="D498" s="71"/>
    </row>
    <row r="499" ht="15">
      <c r="D499" s="71"/>
    </row>
    <row r="500" ht="15">
      <c r="D500" s="71"/>
    </row>
    <row r="501" ht="15">
      <c r="D501" s="71"/>
    </row>
    <row r="502" ht="15">
      <c r="D502" s="71"/>
    </row>
    <row r="503" ht="15">
      <c r="D503" s="71"/>
    </row>
    <row r="504" ht="15">
      <c r="D504" s="71"/>
    </row>
    <row r="505" ht="15">
      <c r="D505" s="71"/>
    </row>
    <row r="506" ht="15">
      <c r="D506" s="71"/>
    </row>
    <row r="507" ht="15">
      <c r="D507" s="71"/>
    </row>
    <row r="508" ht="15">
      <c r="D508" s="71"/>
    </row>
    <row r="509" ht="15">
      <c r="D509" s="71"/>
    </row>
    <row r="510" ht="15">
      <c r="D510" s="71"/>
    </row>
    <row r="511" ht="15">
      <c r="D511" s="71"/>
    </row>
    <row r="512" ht="15">
      <c r="D512" s="71"/>
    </row>
    <row r="513" ht="15">
      <c r="D513" s="71"/>
    </row>
    <row r="514" ht="15">
      <c r="D514" s="71"/>
    </row>
    <row r="515" ht="15">
      <c r="D515" s="71"/>
    </row>
    <row r="516" ht="15">
      <c r="D516" s="71"/>
    </row>
    <row r="517" ht="15">
      <c r="D517" s="71"/>
    </row>
    <row r="518" ht="15">
      <c r="D518" s="71"/>
    </row>
    <row r="519" ht="15">
      <c r="D519" s="71"/>
    </row>
    <row r="520" ht="15">
      <c r="D520" s="71"/>
    </row>
    <row r="521" ht="15">
      <c r="D521" s="71"/>
    </row>
    <row r="522" ht="15">
      <c r="D522" s="71"/>
    </row>
    <row r="523" ht="15">
      <c r="D523" s="71"/>
    </row>
    <row r="524" ht="15">
      <c r="D524" s="71"/>
    </row>
    <row r="525" ht="15">
      <c r="D525" s="71"/>
    </row>
    <row r="526" ht="15">
      <c r="D526" s="71"/>
    </row>
    <row r="527" ht="15">
      <c r="D527" s="71"/>
    </row>
    <row r="528" ht="15">
      <c r="D528" s="71"/>
    </row>
    <row r="529" ht="15">
      <c r="D529" s="71"/>
    </row>
    <row r="530" ht="15">
      <c r="D530" s="71"/>
    </row>
    <row r="531" ht="15">
      <c r="D531" s="71"/>
    </row>
    <row r="532" ht="15">
      <c r="D532" s="71"/>
    </row>
    <row r="533" ht="15">
      <c r="D533" s="71"/>
    </row>
    <row r="534" ht="15">
      <c r="D534" s="71"/>
    </row>
    <row r="535" ht="15">
      <c r="D535" s="71"/>
    </row>
    <row r="536" ht="15">
      <c r="D536" s="71"/>
    </row>
    <row r="537" ht="15">
      <c r="D537" s="71"/>
    </row>
    <row r="538" ht="15">
      <c r="D538" s="71"/>
    </row>
    <row r="539" ht="15">
      <c r="D539" s="71"/>
    </row>
    <row r="540" ht="15">
      <c r="D540" s="71"/>
    </row>
    <row r="541" ht="15">
      <c r="D541" s="71"/>
    </row>
    <row r="542" ht="15">
      <c r="D542" s="71"/>
    </row>
    <row r="543" ht="15">
      <c r="D543" s="71"/>
    </row>
    <row r="544" ht="15">
      <c r="D544" s="71"/>
    </row>
    <row r="545" ht="15">
      <c r="D545" s="71"/>
    </row>
    <row r="546" ht="15">
      <c r="D546" s="71"/>
    </row>
    <row r="547" ht="15">
      <c r="D547" s="71"/>
    </row>
    <row r="548" ht="15">
      <c r="D548" s="71"/>
    </row>
    <row r="549" ht="15">
      <c r="D549" s="71"/>
    </row>
    <row r="550" ht="15">
      <c r="D550" s="71"/>
    </row>
    <row r="551" ht="15">
      <c r="D551" s="71"/>
    </row>
    <row r="552" ht="15">
      <c r="D552" s="71"/>
    </row>
    <row r="553" ht="15">
      <c r="D553" s="71"/>
    </row>
    <row r="554" ht="15">
      <c r="D554" s="71"/>
    </row>
    <row r="555" ht="15">
      <c r="D555" s="71"/>
    </row>
    <row r="556" ht="15">
      <c r="D556" s="71"/>
    </row>
    <row r="557" ht="15">
      <c r="D557" s="71"/>
    </row>
    <row r="558" ht="15">
      <c r="D558" s="71"/>
    </row>
    <row r="559" ht="15">
      <c r="D559" s="71"/>
    </row>
    <row r="560" ht="15">
      <c r="D560" s="71"/>
    </row>
    <row r="561" ht="15">
      <c r="D561" s="71"/>
    </row>
    <row r="562" ht="15">
      <c r="D562" s="71"/>
    </row>
    <row r="563" ht="15">
      <c r="D563" s="71"/>
    </row>
    <row r="564" ht="15">
      <c r="D564" s="71"/>
    </row>
    <row r="565" ht="15">
      <c r="D565" s="71"/>
    </row>
    <row r="566" ht="15">
      <c r="D566" s="71"/>
    </row>
    <row r="567" ht="15">
      <c r="D567" s="71"/>
    </row>
    <row r="568" ht="15">
      <c r="D568" s="71"/>
    </row>
    <row r="569" ht="15">
      <c r="D569" s="71"/>
    </row>
    <row r="570" ht="15">
      <c r="D570" s="71"/>
    </row>
    <row r="571" ht="15">
      <c r="D571" s="71"/>
    </row>
    <row r="572" ht="15">
      <c r="D572" s="71"/>
    </row>
    <row r="573" ht="15">
      <c r="D573" s="71"/>
    </row>
    <row r="574" ht="15">
      <c r="D574" s="71"/>
    </row>
    <row r="575" ht="15">
      <c r="D575" s="71"/>
    </row>
    <row r="576" ht="15">
      <c r="D576" s="71"/>
    </row>
    <row r="577" ht="15">
      <c r="D577" s="71"/>
    </row>
    <row r="578" ht="15">
      <c r="D578" s="71"/>
    </row>
    <row r="579" ht="15">
      <c r="D579" s="71"/>
    </row>
    <row r="580" ht="15">
      <c r="D580" s="71"/>
    </row>
    <row r="581" ht="15">
      <c r="D581" s="71"/>
    </row>
    <row r="582" ht="15">
      <c r="D582" s="71"/>
    </row>
    <row r="583" ht="15">
      <c r="D583" s="71"/>
    </row>
    <row r="584" ht="15">
      <c r="D584" s="71"/>
    </row>
    <row r="585" ht="15">
      <c r="D585" s="71"/>
    </row>
    <row r="586" ht="15">
      <c r="D586" s="71"/>
    </row>
    <row r="587" ht="15">
      <c r="D587" s="71"/>
    </row>
    <row r="588" ht="15">
      <c r="D588" s="71"/>
    </row>
    <row r="589" ht="15">
      <c r="D589" s="71"/>
    </row>
    <row r="590" ht="15">
      <c r="D590" s="71"/>
    </row>
    <row r="591" ht="15">
      <c r="D591" s="71"/>
    </row>
    <row r="592" ht="15">
      <c r="D592" s="71"/>
    </row>
    <row r="593" ht="15">
      <c r="D593" s="71"/>
    </row>
    <row r="594" ht="15">
      <c r="D594" s="71"/>
    </row>
    <row r="595" ht="15">
      <c r="D595" s="71"/>
    </row>
    <row r="596" ht="15">
      <c r="D596" s="71"/>
    </row>
    <row r="597" ht="15">
      <c r="D597" s="71"/>
    </row>
    <row r="598" ht="15">
      <c r="D598" s="71"/>
    </row>
    <row r="599" ht="15">
      <c r="D599" s="71"/>
    </row>
    <row r="600" ht="15">
      <c r="D600" s="71"/>
    </row>
    <row r="601" ht="15">
      <c r="D601" s="71"/>
    </row>
    <row r="602" ht="15">
      <c r="D602" s="71"/>
    </row>
    <row r="603" ht="15">
      <c r="D603" s="71"/>
    </row>
    <row r="604" ht="15">
      <c r="D604" s="71"/>
    </row>
    <row r="605" ht="15">
      <c r="D605" s="71"/>
    </row>
    <row r="606" ht="15">
      <c r="D606" s="71"/>
    </row>
    <row r="607" ht="15">
      <c r="D607" s="71"/>
    </row>
    <row r="608" ht="15">
      <c r="D608" s="71"/>
    </row>
    <row r="609" ht="15">
      <c r="D609" s="71"/>
    </row>
    <row r="610" ht="15">
      <c r="D610" s="71"/>
    </row>
    <row r="611" ht="15">
      <c r="D611" s="71"/>
    </row>
    <row r="612" ht="15">
      <c r="D612" s="71"/>
    </row>
    <row r="613" ht="15">
      <c r="D613" s="71"/>
    </row>
    <row r="614" ht="15">
      <c r="D614" s="71"/>
    </row>
    <row r="615" ht="15">
      <c r="D615" s="71"/>
    </row>
    <row r="616" ht="15">
      <c r="D616" s="71"/>
    </row>
    <row r="617" ht="15">
      <c r="D617" s="71"/>
    </row>
    <row r="618" ht="15">
      <c r="D618" s="71"/>
    </row>
    <row r="619" ht="15">
      <c r="D619" s="71"/>
    </row>
    <row r="620" ht="15">
      <c r="D620" s="71"/>
    </row>
    <row r="621" ht="15">
      <c r="D621" s="71"/>
    </row>
    <row r="622" ht="15">
      <c r="D622" s="71"/>
    </row>
    <row r="623" ht="15">
      <c r="D623" s="71"/>
    </row>
    <row r="624" ht="15">
      <c r="D624" s="71"/>
    </row>
    <row r="625" ht="15">
      <c r="D625" s="71"/>
    </row>
    <row r="626" ht="15">
      <c r="D626" s="71"/>
    </row>
    <row r="627" ht="15">
      <c r="D627" s="71"/>
    </row>
    <row r="628" ht="15">
      <c r="D628" s="71"/>
    </row>
    <row r="629" ht="15">
      <c r="D629" s="71"/>
    </row>
    <row r="630" ht="15">
      <c r="D630" s="71"/>
    </row>
    <row r="631" ht="15">
      <c r="D631" s="71"/>
    </row>
    <row r="632" ht="15">
      <c r="D632" s="71"/>
    </row>
    <row r="633" ht="15">
      <c r="D633" s="71"/>
    </row>
    <row r="634" ht="15">
      <c r="D634" s="71"/>
    </row>
    <row r="635" ht="15">
      <c r="D635" s="71"/>
    </row>
    <row r="636" ht="15">
      <c r="D636" s="71"/>
    </row>
    <row r="637" ht="15">
      <c r="D637" s="71"/>
    </row>
    <row r="638" ht="15">
      <c r="D638" s="71"/>
    </row>
    <row r="639" ht="15">
      <c r="D639" s="71"/>
    </row>
    <row r="640" ht="15">
      <c r="D640" s="71"/>
    </row>
    <row r="641" ht="15">
      <c r="D641" s="71"/>
    </row>
    <row r="642" ht="15">
      <c r="D642" s="71"/>
    </row>
    <row r="643" ht="15">
      <c r="D643" s="71"/>
    </row>
    <row r="644" ht="15">
      <c r="D644" s="71"/>
    </row>
    <row r="645" ht="15">
      <c r="D645" s="71"/>
    </row>
    <row r="646" ht="15">
      <c r="D646" s="71"/>
    </row>
    <row r="647" ht="15">
      <c r="D647" s="71"/>
    </row>
    <row r="648" ht="15">
      <c r="D648" s="71"/>
    </row>
    <row r="649" ht="15">
      <c r="D649" s="71"/>
    </row>
    <row r="650" ht="15">
      <c r="D650" s="71"/>
    </row>
    <row r="651" ht="15">
      <c r="D651" s="71"/>
    </row>
    <row r="652" ht="15">
      <c r="D652" s="71"/>
    </row>
    <row r="653" ht="15">
      <c r="D653" s="71"/>
    </row>
    <row r="654" ht="15">
      <c r="D654" s="71"/>
    </row>
    <row r="655" ht="15">
      <c r="D655" s="71"/>
    </row>
    <row r="656" ht="15">
      <c r="D656" s="71"/>
    </row>
    <row r="657" ht="15">
      <c r="D657" s="71"/>
    </row>
    <row r="658" ht="15">
      <c r="D658" s="71"/>
    </row>
    <row r="659" ht="15">
      <c r="D659" s="71"/>
    </row>
    <row r="660" ht="15">
      <c r="D660" s="71"/>
    </row>
    <row r="661" ht="15">
      <c r="D661" s="71"/>
    </row>
    <row r="662" ht="15">
      <c r="D662" s="71"/>
    </row>
    <row r="663" ht="15">
      <c r="D663" s="71"/>
    </row>
    <row r="664" ht="15">
      <c r="D664" s="71"/>
    </row>
    <row r="665" ht="15">
      <c r="D665" s="71"/>
    </row>
    <row r="666" ht="15">
      <c r="D666" s="71"/>
    </row>
    <row r="667" ht="15">
      <c r="D667" s="71"/>
    </row>
    <row r="668" ht="15">
      <c r="D668" s="71"/>
    </row>
    <row r="669" ht="15">
      <c r="D669" s="71"/>
    </row>
    <row r="670" ht="15">
      <c r="D670" s="71"/>
    </row>
    <row r="671" ht="15">
      <c r="D671" s="71"/>
    </row>
    <row r="672" ht="15">
      <c r="D672" s="71"/>
    </row>
    <row r="673" ht="15">
      <c r="D673" s="71"/>
    </row>
    <row r="674" ht="15">
      <c r="D674" s="71"/>
    </row>
    <row r="675" ht="15">
      <c r="D675" s="71"/>
    </row>
    <row r="676" ht="15">
      <c r="D676" s="71"/>
    </row>
    <row r="677" ht="15">
      <c r="D677" s="71"/>
    </row>
    <row r="678" ht="15">
      <c r="D678" s="71"/>
    </row>
    <row r="679" ht="15">
      <c r="D679" s="71"/>
    </row>
    <row r="680" ht="15">
      <c r="D680" s="71"/>
    </row>
    <row r="681" ht="15">
      <c r="D681" s="71"/>
    </row>
    <row r="682" ht="15">
      <c r="D682" s="71"/>
    </row>
    <row r="683" ht="15">
      <c r="D683" s="71"/>
    </row>
    <row r="684" ht="15">
      <c r="D684" s="71"/>
    </row>
    <row r="685" ht="15">
      <c r="D685" s="71"/>
    </row>
    <row r="686" ht="15">
      <c r="D686" s="71"/>
    </row>
    <row r="687" ht="15">
      <c r="D687" s="71"/>
    </row>
    <row r="688" ht="15">
      <c r="D688" s="71"/>
    </row>
    <row r="689" ht="15">
      <c r="D689" s="71"/>
    </row>
    <row r="690" ht="15">
      <c r="D690" s="71"/>
    </row>
    <row r="691" ht="15">
      <c r="D691" s="71"/>
    </row>
    <row r="692" ht="15">
      <c r="D692" s="71"/>
    </row>
    <row r="693" ht="15">
      <c r="D693" s="71"/>
    </row>
    <row r="694" ht="15">
      <c r="D694" s="71"/>
    </row>
    <row r="695" ht="15">
      <c r="D695" s="71"/>
    </row>
    <row r="696" ht="15">
      <c r="D696" s="71"/>
    </row>
    <row r="697" ht="15">
      <c r="D697" s="71"/>
    </row>
    <row r="698" ht="15">
      <c r="D698" s="71"/>
    </row>
    <row r="699" ht="15">
      <c r="D699" s="71"/>
    </row>
    <row r="700" ht="15">
      <c r="D700" s="71"/>
    </row>
    <row r="701" ht="15">
      <c r="D701" s="71"/>
    </row>
    <row r="702" ht="15">
      <c r="D702" s="71"/>
    </row>
    <row r="703" ht="15">
      <c r="D703" s="71"/>
    </row>
    <row r="704" ht="15">
      <c r="D704" s="71"/>
    </row>
    <row r="705" ht="15">
      <c r="D705" s="71"/>
    </row>
    <row r="706" ht="15">
      <c r="D706" s="71"/>
    </row>
    <row r="707" ht="15">
      <c r="D707" s="71"/>
    </row>
    <row r="708" ht="15">
      <c r="D708" s="71"/>
    </row>
    <row r="709" ht="15">
      <c r="D709" s="71"/>
    </row>
    <row r="710" ht="15">
      <c r="D710" s="71"/>
    </row>
    <row r="711" ht="15">
      <c r="D711" s="71"/>
    </row>
    <row r="712" ht="15">
      <c r="D712" s="71"/>
    </row>
    <row r="713" ht="15">
      <c r="D713" s="71"/>
    </row>
    <row r="714" ht="15">
      <c r="D714" s="71"/>
    </row>
    <row r="715" ht="15">
      <c r="D715" s="71"/>
    </row>
    <row r="716" ht="15">
      <c r="D716" s="71"/>
    </row>
    <row r="717" ht="15">
      <c r="D717" s="71"/>
    </row>
    <row r="718" ht="15">
      <c r="D718" s="71"/>
    </row>
    <row r="719" ht="15">
      <c r="D719" s="71"/>
    </row>
    <row r="720" ht="15">
      <c r="D720" s="71"/>
    </row>
    <row r="721" ht="15">
      <c r="D721" s="71"/>
    </row>
    <row r="722" ht="15">
      <c r="D722" s="71"/>
    </row>
    <row r="723" ht="15">
      <c r="D723" s="71"/>
    </row>
    <row r="724" ht="15">
      <c r="D724" s="71"/>
    </row>
    <row r="725" ht="15">
      <c r="D725" s="71"/>
    </row>
    <row r="726" ht="15">
      <c r="D726" s="71"/>
    </row>
    <row r="727" ht="15">
      <c r="D727" s="71"/>
    </row>
    <row r="728" ht="15">
      <c r="D728" s="71"/>
    </row>
    <row r="729" ht="15">
      <c r="D729" s="71"/>
    </row>
    <row r="730" ht="15">
      <c r="D730" s="71"/>
    </row>
    <row r="731" ht="15">
      <c r="D731" s="71"/>
    </row>
    <row r="732" ht="15">
      <c r="D732" s="71"/>
    </row>
    <row r="733" ht="15">
      <c r="D733" s="71"/>
    </row>
    <row r="734" ht="15">
      <c r="D734" s="71"/>
    </row>
    <row r="735" ht="15">
      <c r="D735" s="71"/>
    </row>
    <row r="736" ht="15">
      <c r="D736" s="71"/>
    </row>
    <row r="737" ht="15">
      <c r="D737" s="71"/>
    </row>
    <row r="738" ht="15">
      <c r="D738" s="71"/>
    </row>
    <row r="739" ht="15">
      <c r="D739" s="71"/>
    </row>
    <row r="740" ht="15">
      <c r="D740" s="71"/>
    </row>
    <row r="741" ht="15">
      <c r="D741" s="71"/>
    </row>
    <row r="742" ht="15">
      <c r="D742" s="71"/>
    </row>
    <row r="743" ht="15">
      <c r="D743" s="71"/>
    </row>
    <row r="744" ht="15">
      <c r="D744" s="71"/>
    </row>
    <row r="745" ht="15">
      <c r="D745" s="71"/>
    </row>
    <row r="746" ht="15">
      <c r="D746" s="71"/>
    </row>
    <row r="747" ht="15">
      <c r="D747" s="71"/>
    </row>
    <row r="748" ht="15">
      <c r="D748" s="71"/>
    </row>
    <row r="749" ht="15">
      <c r="D749" s="71"/>
    </row>
    <row r="750" ht="15">
      <c r="D750" s="71"/>
    </row>
    <row r="751" ht="15">
      <c r="D751" s="71"/>
    </row>
    <row r="752" ht="15">
      <c r="D752" s="71"/>
    </row>
    <row r="753" ht="15">
      <c r="D753" s="71"/>
    </row>
    <row r="754" ht="15">
      <c r="D754" s="71"/>
    </row>
    <row r="755" ht="15">
      <c r="D755" s="71"/>
    </row>
    <row r="756" ht="15">
      <c r="D756" s="71"/>
    </row>
    <row r="757" ht="15">
      <c r="D757" s="71"/>
    </row>
    <row r="758" ht="15">
      <c r="D758" s="71"/>
    </row>
    <row r="759" ht="15">
      <c r="D759" s="71"/>
    </row>
    <row r="760" ht="15">
      <c r="D760" s="71"/>
    </row>
    <row r="761" ht="15">
      <c r="D761" s="71"/>
    </row>
    <row r="762" ht="15">
      <c r="D762" s="71"/>
    </row>
    <row r="763" ht="15">
      <c r="D763" s="71"/>
    </row>
    <row r="764" ht="15">
      <c r="D764" s="71"/>
    </row>
    <row r="765" ht="15">
      <c r="D765" s="71"/>
    </row>
    <row r="766" ht="15">
      <c r="D766" s="71"/>
    </row>
    <row r="767" ht="15">
      <c r="D767" s="71"/>
    </row>
    <row r="768" ht="15">
      <c r="D768" s="71"/>
    </row>
    <row r="769" ht="15">
      <c r="D769" s="71"/>
    </row>
    <row r="770" ht="15">
      <c r="D770" s="71"/>
    </row>
    <row r="771" ht="15">
      <c r="D771" s="71"/>
    </row>
    <row r="772" ht="15">
      <c r="D772" s="71"/>
    </row>
    <row r="773" ht="15">
      <c r="D773" s="71"/>
    </row>
    <row r="774" ht="15">
      <c r="D774" s="71"/>
    </row>
    <row r="775" ht="15">
      <c r="D775" s="71"/>
    </row>
    <row r="776" ht="15">
      <c r="D776" s="71"/>
    </row>
    <row r="777" ht="15">
      <c r="D777" s="71"/>
    </row>
    <row r="778" ht="15">
      <c r="D778" s="71"/>
    </row>
    <row r="779" ht="15">
      <c r="D779" s="71"/>
    </row>
    <row r="780" ht="15">
      <c r="D780" s="71"/>
    </row>
    <row r="781" ht="15">
      <c r="D781" s="71"/>
    </row>
    <row r="782" ht="15">
      <c r="D782" s="71"/>
    </row>
    <row r="783" ht="15">
      <c r="D783" s="71"/>
    </row>
    <row r="784" ht="15">
      <c r="D784" s="71"/>
    </row>
    <row r="785" ht="15">
      <c r="D785" s="71"/>
    </row>
    <row r="786" ht="15">
      <c r="D786" s="71"/>
    </row>
    <row r="787" ht="15">
      <c r="D787" s="71"/>
    </row>
    <row r="788" ht="15">
      <c r="D788" s="71"/>
    </row>
    <row r="789" ht="15">
      <c r="D789" s="71"/>
    </row>
    <row r="790" ht="15">
      <c r="D790" s="71"/>
    </row>
    <row r="791" ht="15">
      <c r="D791" s="71"/>
    </row>
    <row r="792" ht="15">
      <c r="D792" s="71"/>
    </row>
    <row r="793" ht="15">
      <c r="D793" s="71"/>
    </row>
    <row r="794" ht="15">
      <c r="D794" s="71"/>
    </row>
    <row r="795" ht="15">
      <c r="D795" s="71"/>
    </row>
    <row r="796" ht="15">
      <c r="D796" s="71"/>
    </row>
    <row r="797" ht="15">
      <c r="D797" s="71"/>
    </row>
    <row r="798" ht="15">
      <c r="D798" s="71"/>
    </row>
    <row r="799" ht="15">
      <c r="D799" s="71"/>
    </row>
    <row r="800" ht="15">
      <c r="D800" s="71"/>
    </row>
    <row r="801" ht="15">
      <c r="D801" s="71"/>
    </row>
    <row r="802" ht="15">
      <c r="D802" s="71"/>
    </row>
    <row r="803" ht="15">
      <c r="D803" s="71"/>
    </row>
    <row r="804" ht="15">
      <c r="D804" s="71"/>
    </row>
    <row r="805" ht="15">
      <c r="D805" s="71"/>
    </row>
    <row r="806" ht="15">
      <c r="D806" s="71"/>
    </row>
    <row r="807" ht="15">
      <c r="D807" s="71"/>
    </row>
    <row r="808" ht="15">
      <c r="D808" s="71"/>
    </row>
    <row r="809" ht="15">
      <c r="D809" s="71"/>
    </row>
    <row r="810" ht="15">
      <c r="D810" s="71"/>
    </row>
    <row r="811" ht="15">
      <c r="D811" s="71"/>
    </row>
    <row r="812" ht="15">
      <c r="D812" s="71"/>
    </row>
    <row r="813" ht="15">
      <c r="D813" s="71"/>
    </row>
    <row r="814" ht="15">
      <c r="D814" s="71"/>
    </row>
    <row r="815" ht="15">
      <c r="D815" s="71"/>
    </row>
    <row r="816" ht="15">
      <c r="D816" s="71"/>
    </row>
    <row r="817" ht="15">
      <c r="D817" s="71"/>
    </row>
    <row r="818" ht="15">
      <c r="D818" s="71"/>
    </row>
    <row r="819" ht="15">
      <c r="D819" s="71"/>
    </row>
    <row r="820" ht="15">
      <c r="D820" s="71"/>
    </row>
    <row r="821" ht="15">
      <c r="D821" s="71"/>
    </row>
    <row r="822" ht="15">
      <c r="D822" s="71"/>
    </row>
    <row r="823" ht="15">
      <c r="D823" s="71"/>
    </row>
    <row r="824" ht="15">
      <c r="D824" s="71"/>
    </row>
    <row r="825" ht="15">
      <c r="D825" s="71"/>
    </row>
    <row r="826" ht="15">
      <c r="D826" s="71"/>
    </row>
    <row r="827" ht="15">
      <c r="D827" s="71"/>
    </row>
    <row r="828" ht="15">
      <c r="D828" s="71"/>
    </row>
    <row r="829" ht="15">
      <c r="D829" s="71"/>
    </row>
    <row r="830" ht="15">
      <c r="D830" s="71"/>
    </row>
    <row r="831" ht="15">
      <c r="D831" s="71"/>
    </row>
    <row r="832" ht="15">
      <c r="D832" s="71"/>
    </row>
    <row r="833" ht="15">
      <c r="D833" s="71"/>
    </row>
    <row r="834" ht="15">
      <c r="D834" s="71"/>
    </row>
    <row r="835" ht="15">
      <c r="D835" s="71"/>
    </row>
    <row r="836" ht="15">
      <c r="D836" s="71"/>
    </row>
    <row r="837" ht="15">
      <c r="D837" s="71"/>
    </row>
    <row r="838" ht="15">
      <c r="D838" s="71"/>
    </row>
    <row r="839" ht="15">
      <c r="D839" s="71"/>
    </row>
    <row r="840" ht="15">
      <c r="D840" s="71"/>
    </row>
    <row r="841" ht="15">
      <c r="D841" s="71"/>
    </row>
    <row r="842" ht="15">
      <c r="D842" s="71"/>
    </row>
    <row r="843" ht="15">
      <c r="D843" s="71"/>
    </row>
    <row r="844" ht="15">
      <c r="D844" s="71"/>
    </row>
    <row r="845" ht="15">
      <c r="D845" s="71"/>
    </row>
    <row r="846" ht="15">
      <c r="D846" s="71"/>
    </row>
    <row r="847" ht="15">
      <c r="D847" s="71"/>
    </row>
    <row r="848" ht="15">
      <c r="D848" s="71"/>
    </row>
    <row r="849" ht="15">
      <c r="D849" s="71"/>
    </row>
    <row r="850" ht="15">
      <c r="D850" s="71"/>
    </row>
    <row r="851" ht="15">
      <c r="D851" s="71"/>
    </row>
    <row r="852" ht="15">
      <c r="D852" s="71"/>
    </row>
    <row r="853" ht="15">
      <c r="D853" s="71"/>
    </row>
    <row r="854" ht="15">
      <c r="D854" s="71"/>
    </row>
    <row r="855" ht="15">
      <c r="D855" s="71"/>
    </row>
    <row r="856" ht="15">
      <c r="D856" s="71"/>
    </row>
    <row r="857" ht="15">
      <c r="D857" s="71"/>
    </row>
    <row r="858" ht="15">
      <c r="D858" s="71"/>
    </row>
    <row r="859" ht="15">
      <c r="D859" s="71"/>
    </row>
    <row r="860" ht="15">
      <c r="D860" s="71"/>
    </row>
    <row r="861" ht="15">
      <c r="D861" s="71"/>
    </row>
    <row r="862" ht="15">
      <c r="D862" s="71"/>
    </row>
    <row r="863" ht="15">
      <c r="D863" s="71"/>
    </row>
    <row r="864" ht="15">
      <c r="D864" s="71"/>
    </row>
    <row r="865" ht="15">
      <c r="D865" s="71"/>
    </row>
    <row r="866" ht="15">
      <c r="D866" s="71"/>
    </row>
    <row r="867" ht="15">
      <c r="D867" s="71"/>
    </row>
    <row r="868" ht="15">
      <c r="D868" s="71"/>
    </row>
    <row r="869" ht="15">
      <c r="D869" s="71"/>
    </row>
    <row r="870" ht="15">
      <c r="D870" s="71"/>
    </row>
    <row r="871" ht="15">
      <c r="D871" s="71"/>
    </row>
    <row r="872" ht="15">
      <c r="D872" s="71"/>
    </row>
    <row r="873" ht="15">
      <c r="D873" s="71"/>
    </row>
    <row r="874" ht="15">
      <c r="D874" s="71"/>
    </row>
    <row r="875" ht="15">
      <c r="D875" s="71"/>
    </row>
    <row r="876" ht="15">
      <c r="D876" s="71"/>
    </row>
    <row r="877" ht="15">
      <c r="D877" s="71"/>
    </row>
    <row r="878" ht="15">
      <c r="D878" s="71"/>
    </row>
    <row r="879" ht="15">
      <c r="D879" s="71"/>
    </row>
    <row r="880" ht="15">
      <c r="D880" s="71"/>
    </row>
    <row r="881" ht="15">
      <c r="D881" s="71"/>
    </row>
    <row r="882" ht="15">
      <c r="D882" s="71"/>
    </row>
    <row r="883" ht="15">
      <c r="D883" s="71"/>
    </row>
    <row r="884" ht="15">
      <c r="D884" s="71"/>
    </row>
    <row r="885" ht="15">
      <c r="D885" s="71"/>
    </row>
    <row r="886" ht="15">
      <c r="D886" s="71"/>
    </row>
    <row r="887" ht="15">
      <c r="D887" s="71"/>
    </row>
    <row r="888" ht="15">
      <c r="D888" s="71"/>
    </row>
    <row r="889" ht="15">
      <c r="D889" s="71"/>
    </row>
    <row r="890" ht="15">
      <c r="D890" s="71"/>
    </row>
    <row r="891" ht="15">
      <c r="D891" s="71"/>
    </row>
    <row r="892" ht="15">
      <c r="D892" s="71"/>
    </row>
    <row r="893" ht="15">
      <c r="D893" s="71"/>
    </row>
    <row r="894" ht="15">
      <c r="D894" s="71"/>
    </row>
    <row r="895" ht="15">
      <c r="D895" s="71"/>
    </row>
    <row r="896" ht="15">
      <c r="D896" s="71"/>
    </row>
    <row r="897" ht="15">
      <c r="D897" s="71"/>
    </row>
    <row r="898" ht="15">
      <c r="D898" s="71"/>
    </row>
    <row r="899" ht="15">
      <c r="D899" s="71"/>
    </row>
    <row r="900" ht="15">
      <c r="D900" s="71"/>
    </row>
    <row r="901" ht="15">
      <c r="D901" s="71"/>
    </row>
    <row r="902" ht="15">
      <c r="D902" s="71"/>
    </row>
    <row r="903" ht="15">
      <c r="D903" s="71"/>
    </row>
    <row r="904" ht="15">
      <c r="D904" s="71"/>
    </row>
    <row r="905" ht="15">
      <c r="D905" s="71"/>
    </row>
    <row r="906" ht="15">
      <c r="D906" s="71"/>
    </row>
    <row r="907" ht="15">
      <c r="D907" s="71"/>
    </row>
    <row r="908" ht="15">
      <c r="D908" s="71"/>
    </row>
    <row r="909" ht="15">
      <c r="D909" s="71"/>
    </row>
    <row r="910" ht="15">
      <c r="D910" s="71"/>
    </row>
    <row r="911" ht="15">
      <c r="D911" s="71"/>
    </row>
    <row r="912" ht="15">
      <c r="D912" s="71"/>
    </row>
    <row r="913" ht="15">
      <c r="D913" s="71"/>
    </row>
    <row r="914" ht="15">
      <c r="D914" s="71"/>
    </row>
    <row r="915" ht="15">
      <c r="D915" s="71"/>
    </row>
    <row r="916" ht="15">
      <c r="D916" s="71"/>
    </row>
    <row r="917" ht="15">
      <c r="D917" s="71"/>
    </row>
    <row r="918" ht="15">
      <c r="D918" s="71"/>
    </row>
    <row r="919" ht="15">
      <c r="D919" s="71"/>
    </row>
    <row r="920" ht="15">
      <c r="D920" s="71"/>
    </row>
    <row r="921" ht="15">
      <c r="D921" s="71"/>
    </row>
    <row r="922" ht="15">
      <c r="D922" s="71"/>
    </row>
    <row r="923" ht="15">
      <c r="D923" s="71"/>
    </row>
    <row r="924" ht="15">
      <c r="D924" s="71"/>
    </row>
    <row r="925" ht="15">
      <c r="D925" s="71"/>
    </row>
    <row r="926" ht="15">
      <c r="D926" s="71"/>
    </row>
    <row r="927" ht="15">
      <c r="D927" s="71"/>
    </row>
    <row r="928" ht="15">
      <c r="D928" s="71"/>
    </row>
    <row r="929" ht="15">
      <c r="D929" s="71"/>
    </row>
    <row r="930" ht="15">
      <c r="D930" s="71"/>
    </row>
    <row r="931" ht="15">
      <c r="D931" s="71"/>
    </row>
    <row r="932" ht="15">
      <c r="D932" s="71"/>
    </row>
    <row r="933" ht="15">
      <c r="D933" s="71"/>
    </row>
    <row r="934" ht="15">
      <c r="D934" s="71"/>
    </row>
    <row r="935" ht="15">
      <c r="D935" s="71"/>
    </row>
    <row r="936" ht="15">
      <c r="D936" s="71"/>
    </row>
    <row r="937" ht="15">
      <c r="D937" s="71"/>
    </row>
    <row r="938" ht="15">
      <c r="D938" s="71"/>
    </row>
    <row r="939" ht="15">
      <c r="D939" s="71"/>
    </row>
    <row r="940" ht="15">
      <c r="D940" s="71"/>
    </row>
    <row r="941" ht="15">
      <c r="D941" s="71"/>
    </row>
    <row r="942" ht="15">
      <c r="D942" s="71"/>
    </row>
    <row r="943" ht="15">
      <c r="D943" s="71"/>
    </row>
    <row r="944" ht="15">
      <c r="D944" s="71"/>
    </row>
    <row r="945" ht="15">
      <c r="D945" s="71"/>
    </row>
    <row r="946" ht="15">
      <c r="D946" s="71"/>
    </row>
    <row r="947" ht="15">
      <c r="D947" s="71"/>
    </row>
    <row r="948" ht="15">
      <c r="D948" s="71"/>
    </row>
    <row r="949" ht="15">
      <c r="D949" s="71"/>
    </row>
    <row r="950" ht="15">
      <c r="D950" s="71"/>
    </row>
    <row r="951" ht="15">
      <c r="D951" s="71"/>
    </row>
    <row r="952" ht="15">
      <c r="D952" s="71"/>
    </row>
    <row r="953" ht="15">
      <c r="D953" s="71"/>
    </row>
    <row r="954" ht="15">
      <c r="D954" s="71"/>
    </row>
    <row r="955" ht="15">
      <c r="D955" s="71"/>
    </row>
    <row r="956" ht="15">
      <c r="D956" s="71"/>
    </row>
    <row r="957" ht="15">
      <c r="D957" s="71"/>
    </row>
    <row r="958" ht="15">
      <c r="D958" s="71"/>
    </row>
    <row r="959" ht="15">
      <c r="D959" s="71"/>
    </row>
    <row r="960" ht="15">
      <c r="D960" s="71"/>
    </row>
    <row r="961" ht="15">
      <c r="D961" s="71"/>
    </row>
    <row r="962" ht="15">
      <c r="D962" s="71"/>
    </row>
    <row r="963" ht="15">
      <c r="D963" s="71"/>
    </row>
    <row r="964" ht="15">
      <c r="D964" s="71"/>
    </row>
    <row r="965" ht="15">
      <c r="D965" s="71"/>
    </row>
    <row r="966" ht="15">
      <c r="D966" s="71"/>
    </row>
    <row r="967" ht="15">
      <c r="D967" s="71"/>
    </row>
    <row r="968" ht="15">
      <c r="D968" s="71"/>
    </row>
    <row r="969" ht="15">
      <c r="D969" s="71"/>
    </row>
    <row r="970" ht="15">
      <c r="D970" s="71"/>
    </row>
    <row r="971" ht="15">
      <c r="D971" s="71"/>
    </row>
    <row r="972" ht="15">
      <c r="D972" s="71"/>
    </row>
    <row r="973" ht="15">
      <c r="D973" s="71"/>
    </row>
    <row r="974" ht="15">
      <c r="D974" s="71"/>
    </row>
    <row r="975" ht="15">
      <c r="D975" s="71"/>
    </row>
    <row r="976" ht="15">
      <c r="D976" s="71"/>
    </row>
    <row r="977" ht="15">
      <c r="D977" s="71"/>
    </row>
    <row r="978" ht="15">
      <c r="D978" s="71"/>
    </row>
    <row r="979" ht="15">
      <c r="D979" s="71"/>
    </row>
    <row r="980" ht="15">
      <c r="D980" s="71"/>
    </row>
    <row r="981" ht="15">
      <c r="D981" s="71"/>
    </row>
    <row r="982" ht="15">
      <c r="D982" s="71"/>
    </row>
    <row r="983" ht="15">
      <c r="D983" s="71"/>
    </row>
    <row r="984" ht="15">
      <c r="D984" s="71"/>
    </row>
    <row r="985" ht="15">
      <c r="D985" s="71"/>
    </row>
    <row r="986" ht="15">
      <c r="D986" s="71"/>
    </row>
    <row r="987" ht="15">
      <c r="D987" s="71"/>
    </row>
    <row r="988" ht="15">
      <c r="D988" s="71"/>
    </row>
    <row r="989" ht="15">
      <c r="D989" s="71"/>
    </row>
    <row r="990" ht="15">
      <c r="D990" s="71"/>
    </row>
    <row r="991" ht="15">
      <c r="D991" s="71"/>
    </row>
    <row r="992" ht="15">
      <c r="D992" s="71"/>
    </row>
    <row r="993" ht="15">
      <c r="D993" s="71"/>
    </row>
    <row r="994" ht="15">
      <c r="D994" s="71"/>
    </row>
    <row r="995" ht="15">
      <c r="D995" s="71"/>
    </row>
    <row r="996" ht="15">
      <c r="D996" s="71"/>
    </row>
    <row r="997" ht="15">
      <c r="D997" s="71"/>
    </row>
    <row r="998" ht="15">
      <c r="D998" s="71"/>
    </row>
    <row r="999" ht="15">
      <c r="D999" s="71"/>
    </row>
    <row r="1000" ht="15">
      <c r="D1000" s="71"/>
    </row>
    <row r="1001" ht="15">
      <c r="D1001" s="71"/>
    </row>
    <row r="1002" ht="15">
      <c r="D1002" s="71"/>
    </row>
    <row r="1003" ht="15">
      <c r="D1003" s="71"/>
    </row>
    <row r="1004" ht="15">
      <c r="D1004" s="71"/>
    </row>
    <row r="1005" ht="15">
      <c r="D1005" s="71"/>
    </row>
    <row r="1006" ht="15">
      <c r="D1006" s="71"/>
    </row>
    <row r="1007" ht="15">
      <c r="D1007" s="71"/>
    </row>
    <row r="1008" ht="15">
      <c r="D1008" s="71"/>
    </row>
    <row r="1009" ht="15">
      <c r="D1009" s="71"/>
    </row>
    <row r="1010" ht="15">
      <c r="D1010" s="71"/>
    </row>
    <row r="1011" ht="15">
      <c r="D1011" s="71"/>
    </row>
    <row r="1012" ht="15">
      <c r="D1012" s="71"/>
    </row>
    <row r="1013" ht="15">
      <c r="D1013" s="71"/>
    </row>
    <row r="1014" ht="15">
      <c r="D1014" s="71"/>
    </row>
    <row r="1015" ht="15">
      <c r="D1015" s="71"/>
    </row>
    <row r="1016" ht="15">
      <c r="D1016" s="71"/>
    </row>
    <row r="1017" ht="15">
      <c r="D1017" s="71"/>
    </row>
    <row r="1018" ht="15">
      <c r="D1018" s="71"/>
    </row>
    <row r="1019" ht="15">
      <c r="D1019" s="71"/>
    </row>
    <row r="1020" ht="15">
      <c r="D1020" s="71"/>
    </row>
    <row r="1021" ht="15">
      <c r="D1021" s="71"/>
    </row>
    <row r="1022" ht="15">
      <c r="D1022" s="71"/>
    </row>
    <row r="1023" ht="15">
      <c r="D1023" s="71"/>
    </row>
    <row r="1024" ht="15">
      <c r="D1024" s="71"/>
    </row>
    <row r="1025" ht="15">
      <c r="D1025" s="71"/>
    </row>
    <row r="1026" ht="15">
      <c r="D1026" s="71"/>
    </row>
    <row r="1027" ht="15">
      <c r="D1027" s="71"/>
    </row>
    <row r="1028" ht="15">
      <c r="D1028" s="71"/>
    </row>
    <row r="1029" ht="15">
      <c r="D1029" s="71"/>
    </row>
    <row r="1030" ht="15">
      <c r="D1030" s="71"/>
    </row>
    <row r="1031" ht="15">
      <c r="D1031" s="71"/>
    </row>
    <row r="1032" ht="15">
      <c r="D1032" s="71"/>
    </row>
    <row r="1033" ht="15">
      <c r="D1033" s="71"/>
    </row>
    <row r="1034" ht="15">
      <c r="D1034" s="71"/>
    </row>
    <row r="1035" ht="15">
      <c r="D1035" s="71"/>
    </row>
    <row r="1036" ht="15">
      <c r="D1036" s="71"/>
    </row>
    <row r="1037" ht="15">
      <c r="D1037" s="71"/>
    </row>
    <row r="1038" ht="15">
      <c r="D1038" s="71"/>
    </row>
    <row r="1039" ht="15">
      <c r="D1039" s="71"/>
    </row>
    <row r="1040" ht="15">
      <c r="D1040" s="71"/>
    </row>
    <row r="1041" ht="15">
      <c r="D1041" s="71"/>
    </row>
    <row r="1042" ht="15">
      <c r="D1042" s="71"/>
    </row>
    <row r="1043" ht="15">
      <c r="D1043" s="71"/>
    </row>
    <row r="1044" ht="15">
      <c r="D1044" s="71"/>
    </row>
    <row r="1045" ht="15">
      <c r="D1045" s="71"/>
    </row>
    <row r="1046" ht="15">
      <c r="D1046" s="71"/>
    </row>
    <row r="1047" ht="15">
      <c r="D1047" s="71"/>
    </row>
    <row r="1048" ht="15">
      <c r="D1048" s="71"/>
    </row>
    <row r="1049" ht="15">
      <c r="D1049" s="71"/>
    </row>
    <row r="1050" ht="15">
      <c r="D1050" s="71"/>
    </row>
    <row r="1051" ht="15">
      <c r="D1051" s="71"/>
    </row>
    <row r="1052" ht="15">
      <c r="D1052" s="71"/>
    </row>
    <row r="1053" ht="15">
      <c r="D1053" s="71"/>
    </row>
    <row r="1054" ht="15">
      <c r="D1054" s="71"/>
    </row>
    <row r="1055" ht="15">
      <c r="D1055" s="71"/>
    </row>
    <row r="1056" ht="15">
      <c r="D1056" s="71"/>
    </row>
    <row r="1057" ht="15">
      <c r="D1057" s="71"/>
    </row>
    <row r="1058" ht="15">
      <c r="D1058" s="71"/>
    </row>
    <row r="1059" ht="15">
      <c r="D1059" s="71"/>
    </row>
    <row r="1060" ht="15">
      <c r="D1060" s="71"/>
    </row>
    <row r="1061" ht="15">
      <c r="D1061" s="71"/>
    </row>
    <row r="1062" ht="15">
      <c r="D1062" s="71"/>
    </row>
    <row r="1063" ht="15">
      <c r="D1063" s="71"/>
    </row>
    <row r="1064" ht="15">
      <c r="D1064" s="71"/>
    </row>
    <row r="1065" ht="15">
      <c r="D1065" s="71"/>
    </row>
    <row r="1066" ht="15">
      <c r="D1066" s="71"/>
    </row>
    <row r="1067" ht="15">
      <c r="D1067" s="71"/>
    </row>
    <row r="1068" ht="15">
      <c r="D1068" s="71"/>
    </row>
    <row r="1069" ht="15">
      <c r="D1069" s="71"/>
    </row>
    <row r="1070" ht="15">
      <c r="D1070" s="71"/>
    </row>
    <row r="1071" ht="15">
      <c r="D1071" s="71"/>
    </row>
    <row r="1072" ht="15">
      <c r="D1072" s="71"/>
    </row>
    <row r="1073" ht="15">
      <c r="D1073" s="71"/>
    </row>
    <row r="1074" ht="15">
      <c r="D1074" s="71"/>
    </row>
    <row r="1075" ht="15">
      <c r="D1075" s="71"/>
    </row>
    <row r="1076" ht="15">
      <c r="D1076" s="71"/>
    </row>
    <row r="1077" ht="15">
      <c r="D1077" s="71"/>
    </row>
    <row r="1078" ht="15">
      <c r="D1078" s="71"/>
    </row>
    <row r="1079" ht="15">
      <c r="D1079" s="71"/>
    </row>
    <row r="1080" ht="15">
      <c r="D1080" s="71"/>
    </row>
    <row r="1081" ht="15">
      <c r="D1081" s="71"/>
    </row>
    <row r="1082" ht="15">
      <c r="D1082" s="71"/>
    </row>
    <row r="1083" ht="15">
      <c r="D1083" s="71"/>
    </row>
    <row r="1084" ht="15">
      <c r="D1084" s="71"/>
    </row>
    <row r="1085" ht="15">
      <c r="D1085" s="71"/>
    </row>
    <row r="1086" ht="15">
      <c r="D1086" s="71"/>
    </row>
    <row r="1087" ht="15">
      <c r="D1087" s="71"/>
    </row>
    <row r="1088" ht="15">
      <c r="D1088" s="71"/>
    </row>
    <row r="1089" ht="15">
      <c r="D1089" s="71"/>
    </row>
    <row r="1090" ht="15">
      <c r="D1090" s="71"/>
    </row>
    <row r="1091" ht="15">
      <c r="D1091" s="71"/>
    </row>
    <row r="1092" ht="15">
      <c r="D1092" s="71"/>
    </row>
    <row r="1093" ht="15">
      <c r="D1093" s="71"/>
    </row>
    <row r="1094" ht="15">
      <c r="D1094" s="71"/>
    </row>
    <row r="1095" ht="15">
      <c r="D1095" s="71"/>
    </row>
    <row r="1096" ht="15">
      <c r="D1096" s="71"/>
    </row>
    <row r="1097" ht="15">
      <c r="D1097" s="71"/>
    </row>
    <row r="1098" ht="15">
      <c r="D1098" s="71"/>
    </row>
    <row r="1099" ht="15">
      <c r="D1099" s="71"/>
    </row>
    <row r="1100" ht="15">
      <c r="D1100" s="71"/>
    </row>
    <row r="1101" ht="15">
      <c r="D1101" s="71"/>
    </row>
    <row r="1102" ht="15">
      <c r="D1102" s="71"/>
    </row>
    <row r="1103" ht="15">
      <c r="D1103" s="71"/>
    </row>
    <row r="1104" ht="15">
      <c r="D1104" s="71"/>
    </row>
    <row r="1105" ht="15">
      <c r="D1105" s="71"/>
    </row>
    <row r="1106" ht="15">
      <c r="D1106" s="71"/>
    </row>
    <row r="1107" ht="15">
      <c r="D1107" s="71"/>
    </row>
    <row r="1108" ht="15">
      <c r="D1108" s="71"/>
    </row>
    <row r="1109" ht="15">
      <c r="D1109" s="71"/>
    </row>
    <row r="1110" ht="15">
      <c r="D1110" s="71"/>
    </row>
    <row r="1111" ht="15">
      <c r="D1111" s="71"/>
    </row>
    <row r="1112" ht="15">
      <c r="D1112" s="71"/>
    </row>
    <row r="1113" ht="15">
      <c r="D1113" s="71"/>
    </row>
    <row r="1114" ht="15">
      <c r="D1114" s="71"/>
    </row>
    <row r="1115" ht="15">
      <c r="D1115" s="71"/>
    </row>
    <row r="1116" ht="15">
      <c r="D1116" s="71"/>
    </row>
    <row r="1117" ht="15">
      <c r="D1117" s="71"/>
    </row>
    <row r="1118" ht="15">
      <c r="D1118" s="71"/>
    </row>
    <row r="1119" ht="15">
      <c r="D1119" s="71"/>
    </row>
    <row r="1120" ht="15">
      <c r="D1120" s="71"/>
    </row>
    <row r="1121" ht="15">
      <c r="D1121" s="71"/>
    </row>
    <row r="1122" ht="15">
      <c r="D1122" s="71"/>
    </row>
    <row r="1123" ht="15">
      <c r="D1123" s="71"/>
    </row>
    <row r="1124" ht="15">
      <c r="D1124" s="71"/>
    </row>
    <row r="1125" ht="15">
      <c r="D1125" s="71"/>
    </row>
    <row r="1126" ht="15">
      <c r="D1126" s="71"/>
    </row>
    <row r="1127" ht="15">
      <c r="D1127" s="71"/>
    </row>
    <row r="1128" ht="15">
      <c r="D1128" s="71"/>
    </row>
    <row r="1129" ht="15">
      <c r="D1129" s="71"/>
    </row>
    <row r="1130" ht="15">
      <c r="D1130" s="71"/>
    </row>
    <row r="1131" ht="15">
      <c r="D1131" s="71"/>
    </row>
    <row r="1132" ht="15">
      <c r="D1132" s="71"/>
    </row>
    <row r="1133" ht="15">
      <c r="D1133" s="71"/>
    </row>
    <row r="1134" ht="15">
      <c r="D1134" s="71"/>
    </row>
    <row r="1135" ht="15">
      <c r="D1135" s="71"/>
    </row>
    <row r="1136" ht="15">
      <c r="D1136" s="71"/>
    </row>
    <row r="1137" ht="15">
      <c r="D1137" s="71"/>
    </row>
    <row r="1138" ht="15">
      <c r="D1138" s="71"/>
    </row>
    <row r="1139" ht="15">
      <c r="D1139" s="71"/>
    </row>
    <row r="1140" ht="15">
      <c r="D1140" s="71"/>
    </row>
    <row r="1141" ht="15">
      <c r="D1141" s="71"/>
    </row>
    <row r="1142" ht="15">
      <c r="D1142" s="71"/>
    </row>
    <row r="1143" ht="15">
      <c r="D1143" s="71"/>
    </row>
    <row r="1144" ht="15">
      <c r="D1144" s="71"/>
    </row>
    <row r="1145" ht="15">
      <c r="D1145" s="71"/>
    </row>
    <row r="1146" ht="15">
      <c r="D1146" s="71"/>
    </row>
    <row r="1147" ht="15">
      <c r="D1147" s="71"/>
    </row>
    <row r="1148" ht="15">
      <c r="D1148" s="71"/>
    </row>
    <row r="1149" ht="15">
      <c r="D1149" s="71"/>
    </row>
    <row r="1150" ht="15">
      <c r="D1150" s="71"/>
    </row>
    <row r="1151" ht="15">
      <c r="D1151" s="71"/>
    </row>
    <row r="1152" ht="15">
      <c r="D1152" s="71"/>
    </row>
    <row r="1153" ht="15">
      <c r="D1153" s="71"/>
    </row>
    <row r="1154" ht="15">
      <c r="D1154" s="71"/>
    </row>
    <row r="1155" ht="15">
      <c r="D1155" s="71"/>
    </row>
    <row r="1156" ht="15">
      <c r="D1156" s="71"/>
    </row>
    <row r="1157" ht="15">
      <c r="D1157" s="71"/>
    </row>
    <row r="1158" ht="15">
      <c r="D1158" s="71"/>
    </row>
    <row r="1159" ht="15">
      <c r="D1159" s="71"/>
    </row>
    <row r="1160" ht="15">
      <c r="D1160" s="71"/>
    </row>
    <row r="1161" ht="15">
      <c r="D1161" s="71"/>
    </row>
    <row r="1162" ht="15">
      <c r="D1162" s="71"/>
    </row>
    <row r="1163" ht="15">
      <c r="D1163" s="71"/>
    </row>
    <row r="1164" ht="15">
      <c r="D1164" s="71"/>
    </row>
    <row r="1165" ht="15">
      <c r="D1165" s="71"/>
    </row>
    <row r="1166" ht="15">
      <c r="D1166" s="71"/>
    </row>
    <row r="1167" ht="15">
      <c r="D1167" s="71"/>
    </row>
    <row r="1168" ht="15">
      <c r="D1168" s="71"/>
    </row>
    <row r="1169" ht="15">
      <c r="D1169" s="71"/>
    </row>
    <row r="1170" ht="15">
      <c r="D1170" s="71"/>
    </row>
    <row r="1171" ht="15">
      <c r="D1171" s="71"/>
    </row>
    <row r="1172" ht="15">
      <c r="D1172" s="71"/>
    </row>
    <row r="1173" ht="15">
      <c r="D1173" s="71"/>
    </row>
    <row r="1174" ht="15">
      <c r="D1174" s="71"/>
    </row>
    <row r="1175" ht="15">
      <c r="D1175" s="71"/>
    </row>
    <row r="1176" ht="15">
      <c r="D1176" s="71"/>
    </row>
    <row r="1177" ht="15">
      <c r="D1177" s="71"/>
    </row>
    <row r="1178" ht="15">
      <c r="D1178" s="71"/>
    </row>
    <row r="1179" ht="15">
      <c r="D1179" s="71"/>
    </row>
    <row r="1180" ht="15">
      <c r="D1180" s="71"/>
    </row>
    <row r="1181" ht="15">
      <c r="D1181" s="71"/>
    </row>
    <row r="1182" ht="15">
      <c r="D1182" s="71"/>
    </row>
    <row r="1183" ht="15">
      <c r="D1183" s="71"/>
    </row>
    <row r="1184" ht="15">
      <c r="D1184" s="71"/>
    </row>
    <row r="1185" ht="15">
      <c r="D1185" s="71"/>
    </row>
    <row r="1186" ht="15">
      <c r="D1186" s="71"/>
    </row>
    <row r="1187" ht="15">
      <c r="D1187" s="71"/>
    </row>
    <row r="1188" ht="15">
      <c r="D1188" s="71"/>
    </row>
    <row r="1189" ht="15">
      <c r="D1189" s="71"/>
    </row>
    <row r="1190" ht="15">
      <c r="D1190" s="71"/>
    </row>
    <row r="1191" ht="15">
      <c r="D1191" s="71"/>
    </row>
    <row r="1192" ht="15">
      <c r="D1192" s="71"/>
    </row>
    <row r="1193" ht="15">
      <c r="D1193" s="71"/>
    </row>
    <row r="1194" ht="15">
      <c r="D1194" s="71"/>
    </row>
    <row r="1195" ht="15">
      <c r="D1195" s="71"/>
    </row>
    <row r="1196" ht="15">
      <c r="D1196" s="71"/>
    </row>
    <row r="1197" ht="15">
      <c r="D1197" s="71"/>
    </row>
    <row r="1198" ht="15">
      <c r="D1198" s="71"/>
    </row>
    <row r="1199" ht="15">
      <c r="D1199" s="71"/>
    </row>
    <row r="1200" ht="15">
      <c r="D1200" s="71"/>
    </row>
    <row r="1201" ht="15">
      <c r="D1201" s="71"/>
    </row>
    <row r="1202" ht="15">
      <c r="D1202" s="71"/>
    </row>
    <row r="1203" ht="15">
      <c r="D1203" s="71"/>
    </row>
    <row r="1204" ht="15">
      <c r="D1204" s="71"/>
    </row>
    <row r="1205" ht="15">
      <c r="D1205" s="71"/>
    </row>
    <row r="1206" ht="15">
      <c r="D1206" s="71"/>
    </row>
    <row r="1207" ht="15">
      <c r="D1207" s="71"/>
    </row>
    <row r="1208" ht="15">
      <c r="D1208" s="71"/>
    </row>
    <row r="1209" ht="15">
      <c r="D1209" s="71"/>
    </row>
    <row r="1210" ht="15">
      <c r="D1210" s="71"/>
    </row>
    <row r="1211" ht="15">
      <c r="D1211" s="71"/>
    </row>
    <row r="1212" ht="15">
      <c r="D1212" s="71"/>
    </row>
    <row r="1213" ht="15">
      <c r="D1213" s="71"/>
    </row>
    <row r="1214" ht="15">
      <c r="D1214" s="71"/>
    </row>
    <row r="1215" ht="15">
      <c r="D1215" s="71"/>
    </row>
    <row r="1216" ht="15">
      <c r="D1216" s="71"/>
    </row>
    <row r="1217" ht="15">
      <c r="D1217" s="71"/>
    </row>
    <row r="1218" ht="15">
      <c r="D1218" s="71"/>
    </row>
    <row r="1219" ht="15">
      <c r="D1219" s="71"/>
    </row>
    <row r="1220" ht="15">
      <c r="D1220" s="71"/>
    </row>
    <row r="1221" ht="15">
      <c r="D1221" s="71"/>
    </row>
    <row r="1222" ht="15">
      <c r="D1222" s="71"/>
    </row>
    <row r="1223" ht="15">
      <c r="D1223" s="71"/>
    </row>
    <row r="1224" ht="15">
      <c r="D1224" s="71"/>
    </row>
    <row r="1225" ht="15">
      <c r="D1225" s="71"/>
    </row>
    <row r="1226" ht="15">
      <c r="D1226" s="71"/>
    </row>
    <row r="1227" ht="15">
      <c r="D1227" s="71"/>
    </row>
    <row r="1228" ht="15">
      <c r="D1228" s="71"/>
    </row>
    <row r="1229" ht="15">
      <c r="D1229" s="71"/>
    </row>
    <row r="1230" ht="15">
      <c r="D1230" s="71"/>
    </row>
    <row r="1231" ht="15">
      <c r="D1231" s="71"/>
    </row>
    <row r="1232" ht="15">
      <c r="D1232" s="71"/>
    </row>
    <row r="1233" ht="15">
      <c r="D1233" s="71"/>
    </row>
    <row r="1234" ht="15">
      <c r="D1234" s="71"/>
    </row>
    <row r="1235" ht="15">
      <c r="D1235" s="71"/>
    </row>
    <row r="1236" ht="15">
      <c r="D1236" s="71"/>
    </row>
    <row r="1237" ht="15">
      <c r="D1237" s="71"/>
    </row>
    <row r="1238" ht="15">
      <c r="D1238" s="71"/>
    </row>
    <row r="1239" ht="15">
      <c r="D1239" s="71"/>
    </row>
    <row r="1240" ht="15">
      <c r="D1240" s="71"/>
    </row>
    <row r="1241" ht="15">
      <c r="D1241" s="71"/>
    </row>
    <row r="1242" ht="15">
      <c r="D1242" s="71"/>
    </row>
    <row r="1243" ht="15">
      <c r="D1243" s="71"/>
    </row>
    <row r="1244" ht="15">
      <c r="D1244" s="71"/>
    </row>
    <row r="1245" ht="15">
      <c r="D1245" s="71"/>
    </row>
    <row r="1246" ht="15">
      <c r="D1246" s="71"/>
    </row>
    <row r="1247" ht="15">
      <c r="D1247" s="71"/>
    </row>
    <row r="1248" ht="15">
      <c r="D1248" s="71"/>
    </row>
    <row r="1249" ht="15">
      <c r="D1249" s="71"/>
    </row>
    <row r="1250" ht="15">
      <c r="D1250" s="71"/>
    </row>
    <row r="1251" ht="15">
      <c r="D1251" s="71"/>
    </row>
    <row r="1252" ht="15">
      <c r="D1252" s="71"/>
    </row>
    <row r="1253" ht="15">
      <c r="D1253" s="71"/>
    </row>
    <row r="1254" ht="15">
      <c r="D1254" s="71"/>
    </row>
    <row r="1255" ht="15">
      <c r="D1255" s="71"/>
    </row>
    <row r="1256" ht="15">
      <c r="D1256" s="71"/>
    </row>
    <row r="1257" ht="15">
      <c r="D1257" s="71"/>
    </row>
    <row r="1258" ht="15">
      <c r="D1258" s="71"/>
    </row>
    <row r="1259" ht="15">
      <c r="D1259" s="71"/>
    </row>
    <row r="1260" ht="15">
      <c r="D1260" s="71"/>
    </row>
    <row r="1261" ht="15">
      <c r="D1261" s="71"/>
    </row>
    <row r="1262" ht="15">
      <c r="D1262" s="71"/>
    </row>
    <row r="1263" ht="15">
      <c r="D1263" s="71"/>
    </row>
    <row r="1264" ht="15">
      <c r="D1264" s="71"/>
    </row>
    <row r="1265" ht="15">
      <c r="D1265" s="71"/>
    </row>
    <row r="1266" ht="15">
      <c r="D1266" s="71"/>
    </row>
    <row r="1267" ht="15">
      <c r="D1267" s="71"/>
    </row>
    <row r="1268" ht="15">
      <c r="D1268" s="71"/>
    </row>
    <row r="1269" ht="15">
      <c r="D1269" s="71"/>
    </row>
    <row r="1270" ht="15">
      <c r="D1270" s="71"/>
    </row>
    <row r="1271" ht="15">
      <c r="D1271" s="71"/>
    </row>
    <row r="1272" ht="15">
      <c r="D1272" s="71"/>
    </row>
    <row r="1273" ht="15">
      <c r="D1273" s="71"/>
    </row>
    <row r="1274" ht="15">
      <c r="D1274" s="71"/>
    </row>
    <row r="1275" ht="15">
      <c r="D1275" s="71"/>
    </row>
    <row r="1276" ht="15">
      <c r="D1276" s="71"/>
    </row>
    <row r="1277" ht="15">
      <c r="D1277" s="71"/>
    </row>
    <row r="1278" ht="15">
      <c r="D1278" s="71"/>
    </row>
    <row r="1279" ht="15">
      <c r="D1279" s="71"/>
    </row>
    <row r="1280" ht="15">
      <c r="D1280" s="71"/>
    </row>
    <row r="1281" ht="15">
      <c r="D1281" s="71"/>
    </row>
    <row r="1282" ht="15">
      <c r="D1282" s="71"/>
    </row>
    <row r="1283" ht="15">
      <c r="D1283" s="71"/>
    </row>
    <row r="1284" ht="15">
      <c r="D1284" s="71"/>
    </row>
    <row r="1285" ht="15">
      <c r="D1285" s="71"/>
    </row>
    <row r="1286" ht="15">
      <c r="D1286" s="71"/>
    </row>
    <row r="1287" ht="15">
      <c r="D1287" s="71"/>
    </row>
    <row r="1288" ht="15">
      <c r="D1288" s="71"/>
    </row>
    <row r="1289" ht="15">
      <c r="D1289" s="71"/>
    </row>
    <row r="1290" ht="15">
      <c r="D1290" s="71"/>
    </row>
    <row r="1291" ht="15">
      <c r="D1291" s="71"/>
    </row>
    <row r="1292" ht="15">
      <c r="D1292" s="71"/>
    </row>
    <row r="1293" ht="15">
      <c r="D1293" s="71"/>
    </row>
    <row r="1294" ht="15">
      <c r="D1294" s="71"/>
    </row>
    <row r="1295" ht="15">
      <c r="D1295" s="71"/>
    </row>
    <row r="1296" ht="15">
      <c r="D1296" s="71"/>
    </row>
    <row r="1297" ht="15">
      <c r="D1297" s="71"/>
    </row>
    <row r="1298" ht="15">
      <c r="D1298" s="71"/>
    </row>
    <row r="1299" ht="15">
      <c r="D1299" s="71"/>
    </row>
    <row r="1300" ht="15">
      <c r="D1300" s="71"/>
    </row>
    <row r="1301" ht="15">
      <c r="D1301" s="71"/>
    </row>
    <row r="1302" ht="15">
      <c r="D1302" s="71"/>
    </row>
    <row r="1303" ht="15">
      <c r="D1303" s="71"/>
    </row>
    <row r="1304" ht="15">
      <c r="D1304" s="71"/>
    </row>
    <row r="1305" ht="15">
      <c r="D1305" s="71"/>
    </row>
    <row r="1306" ht="15">
      <c r="D1306" s="71"/>
    </row>
    <row r="1307" ht="15">
      <c r="D1307" s="71"/>
    </row>
    <row r="1308" ht="15">
      <c r="D1308" s="71"/>
    </row>
    <row r="1309" ht="15">
      <c r="D1309" s="71"/>
    </row>
    <row r="1310" ht="15">
      <c r="D1310" s="71"/>
    </row>
    <row r="1311" ht="15">
      <c r="D1311" s="71"/>
    </row>
    <row r="1312" ht="15">
      <c r="D1312" s="71"/>
    </row>
    <row r="1313" ht="15">
      <c r="D1313" s="71"/>
    </row>
    <row r="1314" ht="15">
      <c r="D1314" s="71"/>
    </row>
    <row r="1315" ht="15">
      <c r="D1315" s="71"/>
    </row>
    <row r="1316" ht="15">
      <c r="D1316" s="71"/>
    </row>
    <row r="1317" ht="15">
      <c r="D1317" s="71"/>
    </row>
    <row r="1318" ht="15">
      <c r="D1318" s="71"/>
    </row>
    <row r="1319" ht="15">
      <c r="D1319" s="71"/>
    </row>
    <row r="1320" ht="15">
      <c r="D1320" s="71"/>
    </row>
    <row r="1321" ht="15">
      <c r="D1321" s="71"/>
    </row>
    <row r="1322" ht="15">
      <c r="D1322" s="71"/>
    </row>
    <row r="1323" ht="15">
      <c r="D1323" s="71"/>
    </row>
    <row r="1324" ht="15">
      <c r="D1324" s="71"/>
    </row>
    <row r="1325" ht="15">
      <c r="D1325" s="71"/>
    </row>
    <row r="1326" ht="15">
      <c r="D1326" s="71"/>
    </row>
    <row r="1327" ht="15">
      <c r="D1327" s="71"/>
    </row>
    <row r="1328" ht="15">
      <c r="D1328" s="71"/>
    </row>
    <row r="1329" ht="15">
      <c r="D1329" s="71"/>
    </row>
    <row r="1330" ht="15">
      <c r="D1330" s="71"/>
    </row>
    <row r="1331" ht="15">
      <c r="D1331" s="71"/>
    </row>
    <row r="1332" ht="15">
      <c r="D1332" s="71"/>
    </row>
    <row r="1333" ht="15">
      <c r="D1333" s="71"/>
    </row>
    <row r="1334" ht="15">
      <c r="D1334" s="71"/>
    </row>
    <row r="1335" ht="15">
      <c r="D1335" s="71"/>
    </row>
    <row r="1336" ht="15">
      <c r="D1336" s="71"/>
    </row>
    <row r="1337" ht="15">
      <c r="D1337" s="71"/>
    </row>
    <row r="1338" ht="15">
      <c r="D1338" s="71"/>
    </row>
    <row r="1339" ht="15">
      <c r="D1339" s="71"/>
    </row>
    <row r="1340" ht="15">
      <c r="D1340" s="71"/>
    </row>
    <row r="1341" ht="15">
      <c r="D1341" s="71"/>
    </row>
    <row r="1342" ht="15">
      <c r="D1342" s="71"/>
    </row>
    <row r="1343" ht="15">
      <c r="D1343" s="71"/>
    </row>
    <row r="1344" ht="15">
      <c r="D1344" s="71"/>
    </row>
    <row r="1345" ht="15">
      <c r="D1345" s="71"/>
    </row>
    <row r="1346" ht="15">
      <c r="D1346" s="71"/>
    </row>
    <row r="1347" ht="15">
      <c r="D1347" s="71"/>
    </row>
    <row r="1348" ht="15">
      <c r="D1348" s="71"/>
    </row>
    <row r="1349" ht="15">
      <c r="D1349" s="71"/>
    </row>
    <row r="1350" ht="15">
      <c r="D1350" s="71"/>
    </row>
    <row r="1351" ht="15">
      <c r="D1351" s="71"/>
    </row>
    <row r="1352" ht="15">
      <c r="D1352" s="71"/>
    </row>
    <row r="1353" ht="15">
      <c r="D1353" s="71"/>
    </row>
    <row r="1354" ht="15">
      <c r="D1354" s="71"/>
    </row>
    <row r="1355" ht="15">
      <c r="D1355" s="71"/>
    </row>
    <row r="1356" ht="15">
      <c r="D1356" s="71"/>
    </row>
    <row r="1357" ht="15">
      <c r="D1357" s="71"/>
    </row>
    <row r="1358" ht="15">
      <c r="D1358" s="71"/>
    </row>
    <row r="1359" ht="15">
      <c r="D1359" s="71"/>
    </row>
    <row r="1360" ht="15">
      <c r="D1360" s="71"/>
    </row>
    <row r="1361" ht="15">
      <c r="D1361" s="71"/>
    </row>
    <row r="1362" ht="15">
      <c r="D1362" s="71"/>
    </row>
    <row r="1363" ht="15">
      <c r="D1363" s="71"/>
    </row>
    <row r="1364" ht="15">
      <c r="D1364" s="71"/>
    </row>
    <row r="1365" ht="15">
      <c r="D1365" s="71"/>
    </row>
    <row r="1366" ht="15">
      <c r="D1366" s="71"/>
    </row>
    <row r="1367" ht="15">
      <c r="D1367" s="71"/>
    </row>
    <row r="1368" ht="15">
      <c r="D1368" s="71"/>
    </row>
    <row r="1369" ht="15">
      <c r="D1369" s="71"/>
    </row>
    <row r="1370" ht="15">
      <c r="D1370" s="71"/>
    </row>
    <row r="1371" ht="15">
      <c r="D1371" s="71"/>
    </row>
    <row r="1372" ht="15">
      <c r="D1372" s="71"/>
    </row>
    <row r="1373" ht="15">
      <c r="D1373" s="71"/>
    </row>
    <row r="1374" ht="15">
      <c r="D1374" s="71"/>
    </row>
    <row r="1375" ht="15">
      <c r="D1375" s="71"/>
    </row>
    <row r="1376" ht="15">
      <c r="D1376" s="71"/>
    </row>
    <row r="1377" ht="15">
      <c r="D1377" s="71"/>
    </row>
    <row r="1378" ht="15">
      <c r="D1378" s="71"/>
    </row>
    <row r="1379" ht="15">
      <c r="D1379" s="71"/>
    </row>
    <row r="1380" ht="15">
      <c r="D1380" s="71"/>
    </row>
    <row r="1381" ht="15">
      <c r="D1381" s="71"/>
    </row>
    <row r="1382" ht="15">
      <c r="D1382" s="71"/>
    </row>
    <row r="1383" ht="15">
      <c r="D1383" s="71"/>
    </row>
    <row r="1384" ht="15">
      <c r="D1384" s="71"/>
    </row>
    <row r="1385" ht="15">
      <c r="D1385" s="71"/>
    </row>
    <row r="1386" ht="15">
      <c r="D1386" s="71"/>
    </row>
    <row r="1387" ht="15">
      <c r="D1387" s="71"/>
    </row>
    <row r="1388" ht="15">
      <c r="D1388" s="71"/>
    </row>
    <row r="1389" ht="15">
      <c r="D1389" s="71"/>
    </row>
    <row r="1390" ht="15">
      <c r="D1390" s="71"/>
    </row>
    <row r="1391" ht="15">
      <c r="D1391" s="71"/>
    </row>
    <row r="1392" ht="15">
      <c r="D1392" s="71"/>
    </row>
    <row r="1393" ht="15">
      <c r="D1393" s="71"/>
    </row>
    <row r="1394" ht="15">
      <c r="D1394" s="71"/>
    </row>
    <row r="1395" ht="15">
      <c r="D1395" s="71"/>
    </row>
    <row r="1396" ht="15">
      <c r="D1396" s="71"/>
    </row>
    <row r="1397" ht="15">
      <c r="D1397" s="71"/>
    </row>
    <row r="1398" ht="15">
      <c r="D1398" s="71"/>
    </row>
    <row r="1399" ht="15">
      <c r="D1399" s="71"/>
    </row>
    <row r="1400" ht="15">
      <c r="D1400" s="71"/>
    </row>
    <row r="1401" ht="15">
      <c r="D1401" s="71"/>
    </row>
    <row r="1402" ht="15">
      <c r="D1402" s="71"/>
    </row>
    <row r="1403" ht="15">
      <c r="D1403" s="71"/>
    </row>
    <row r="1404" ht="15">
      <c r="D1404" s="71"/>
    </row>
    <row r="1405" ht="15">
      <c r="D1405" s="71"/>
    </row>
    <row r="1406" ht="15">
      <c r="D1406" s="71"/>
    </row>
    <row r="1407" ht="15">
      <c r="D1407" s="71"/>
    </row>
    <row r="1408" ht="15">
      <c r="D1408" s="71"/>
    </row>
    <row r="1409" ht="15">
      <c r="D1409" s="71"/>
    </row>
    <row r="1410" ht="15">
      <c r="D1410" s="71"/>
    </row>
    <row r="1411" ht="15">
      <c r="D1411" s="71"/>
    </row>
    <row r="1412" ht="15">
      <c r="D1412" s="71"/>
    </row>
    <row r="1413" ht="15">
      <c r="D1413" s="71"/>
    </row>
    <row r="1414" ht="15">
      <c r="D1414" s="71"/>
    </row>
    <row r="1415" ht="15">
      <c r="D1415" s="71"/>
    </row>
    <row r="1416" ht="15">
      <c r="D1416" s="71"/>
    </row>
    <row r="1417" ht="15">
      <c r="D1417" s="71"/>
    </row>
    <row r="1418" ht="15">
      <c r="D1418" s="71"/>
    </row>
    <row r="1419" ht="15">
      <c r="D1419" s="71"/>
    </row>
    <row r="1420" ht="15">
      <c r="D1420" s="71"/>
    </row>
    <row r="1421" ht="15">
      <c r="D1421" s="71"/>
    </row>
    <row r="1422" ht="15">
      <c r="D1422" s="71"/>
    </row>
    <row r="1423" ht="15">
      <c r="D1423" s="71"/>
    </row>
    <row r="1424" ht="15">
      <c r="D1424" s="71"/>
    </row>
    <row r="1425" ht="15">
      <c r="D1425" s="71"/>
    </row>
    <row r="1426" ht="15">
      <c r="D1426" s="71"/>
    </row>
    <row r="1427" ht="15">
      <c r="D1427" s="71"/>
    </row>
    <row r="1428" ht="15">
      <c r="D1428" s="71"/>
    </row>
    <row r="1429" ht="15">
      <c r="D1429" s="71"/>
    </row>
    <row r="1430" ht="15">
      <c r="D1430" s="71"/>
    </row>
    <row r="1431" ht="15">
      <c r="D1431" s="71"/>
    </row>
    <row r="1432" ht="15">
      <c r="D1432" s="71"/>
    </row>
    <row r="1433" ht="15">
      <c r="D1433" s="71"/>
    </row>
    <row r="1434" ht="15">
      <c r="D1434" s="71"/>
    </row>
    <row r="1435" ht="15">
      <c r="D1435" s="71"/>
    </row>
    <row r="1436" ht="15">
      <c r="D1436" s="71"/>
    </row>
    <row r="1437" ht="15">
      <c r="D1437" s="71"/>
    </row>
    <row r="1438" ht="15">
      <c r="D1438" s="71"/>
    </row>
    <row r="1439" ht="15">
      <c r="D1439" s="71"/>
    </row>
    <row r="1440" ht="15">
      <c r="D1440" s="71"/>
    </row>
    <row r="1441" ht="15">
      <c r="D1441" s="71"/>
    </row>
    <row r="1442" ht="15">
      <c r="D1442" s="71"/>
    </row>
    <row r="1443" ht="15">
      <c r="D1443" s="71"/>
    </row>
    <row r="1444" ht="15">
      <c r="D1444" s="71"/>
    </row>
    <row r="1445" ht="15">
      <c r="D1445" s="71"/>
    </row>
    <row r="1446" ht="15">
      <c r="D1446" s="71"/>
    </row>
    <row r="1447" ht="15">
      <c r="D1447" s="71"/>
    </row>
    <row r="1448" ht="15">
      <c r="D1448" s="71"/>
    </row>
    <row r="1449" ht="15">
      <c r="D1449" s="71"/>
    </row>
    <row r="1450" ht="15">
      <c r="D1450" s="71"/>
    </row>
    <row r="1451" ht="15">
      <c r="D1451" s="71"/>
    </row>
    <row r="1452" ht="15">
      <c r="D1452" s="71"/>
    </row>
    <row r="1453" ht="15">
      <c r="D1453" s="71"/>
    </row>
    <row r="1454" ht="15">
      <c r="D1454" s="71"/>
    </row>
    <row r="1455" ht="15">
      <c r="D1455" s="71"/>
    </row>
    <row r="1456" ht="15">
      <c r="D1456" s="71"/>
    </row>
    <row r="1457" ht="15">
      <c r="D1457" s="71"/>
    </row>
    <row r="1458" ht="15">
      <c r="D1458" s="71"/>
    </row>
    <row r="1459" ht="15">
      <c r="D1459" s="71"/>
    </row>
    <row r="1460" ht="15">
      <c r="D1460" s="71"/>
    </row>
    <row r="1461" ht="15">
      <c r="D1461" s="71"/>
    </row>
    <row r="1462" ht="15">
      <c r="D1462" s="71"/>
    </row>
    <row r="1463" ht="15">
      <c r="D1463" s="71"/>
    </row>
    <row r="1464" ht="15">
      <c r="D1464" s="71"/>
    </row>
    <row r="1465" ht="15">
      <c r="D1465" s="71"/>
    </row>
    <row r="1466" ht="15">
      <c r="D1466" s="71"/>
    </row>
    <row r="1467" ht="15">
      <c r="D1467" s="71"/>
    </row>
    <row r="1468" ht="15">
      <c r="D1468" s="71"/>
    </row>
    <row r="1469" ht="15">
      <c r="D1469" s="71"/>
    </row>
    <row r="1470" ht="15">
      <c r="D1470" s="71"/>
    </row>
    <row r="1471" ht="15">
      <c r="D1471" s="71"/>
    </row>
    <row r="1472" ht="15">
      <c r="D1472" s="71"/>
    </row>
    <row r="1473" ht="15">
      <c r="D1473" s="71"/>
    </row>
    <row r="1474" ht="15">
      <c r="D1474" s="71"/>
    </row>
    <row r="1475" ht="15">
      <c r="D1475" s="71"/>
    </row>
    <row r="1476" ht="15">
      <c r="D1476" s="71"/>
    </row>
    <row r="1477" ht="15">
      <c r="D1477" s="71"/>
    </row>
    <row r="1478" ht="15">
      <c r="D1478" s="71"/>
    </row>
    <row r="1479" ht="15">
      <c r="D1479" s="71"/>
    </row>
    <row r="1480" ht="15">
      <c r="D1480" s="71"/>
    </row>
    <row r="1481" ht="15">
      <c r="D1481" s="71"/>
    </row>
    <row r="1482" ht="15">
      <c r="D1482" s="71"/>
    </row>
    <row r="1483" ht="15">
      <c r="D1483" s="71"/>
    </row>
    <row r="1484" ht="15">
      <c r="D1484" s="71"/>
    </row>
    <row r="1485" ht="15">
      <c r="D1485" s="71"/>
    </row>
    <row r="1486" ht="15">
      <c r="D1486" s="71"/>
    </row>
    <row r="1487" ht="15">
      <c r="D1487" s="71"/>
    </row>
    <row r="1488" ht="15">
      <c r="D1488" s="71"/>
    </row>
    <row r="1489" ht="15">
      <c r="D1489" s="71"/>
    </row>
    <row r="1490" ht="15">
      <c r="D1490" s="71"/>
    </row>
    <row r="1491" ht="15">
      <c r="D1491" s="71"/>
    </row>
    <row r="1492" ht="15">
      <c r="D1492" s="71"/>
    </row>
    <row r="1493" ht="15">
      <c r="D1493" s="71"/>
    </row>
    <row r="1494" ht="15">
      <c r="D1494" s="71"/>
    </row>
    <row r="1495" ht="15">
      <c r="D1495" s="71"/>
    </row>
    <row r="1496" ht="15">
      <c r="D1496" s="71"/>
    </row>
    <row r="1497" ht="15">
      <c r="D1497" s="71"/>
    </row>
    <row r="1498" ht="15">
      <c r="D1498" s="71"/>
    </row>
    <row r="1499" ht="15">
      <c r="D1499" s="71"/>
    </row>
    <row r="1500" ht="15">
      <c r="D1500" s="71"/>
    </row>
    <row r="1501" ht="15">
      <c r="D1501" s="71"/>
    </row>
    <row r="1502" ht="15">
      <c r="D1502" s="71"/>
    </row>
    <row r="1503" ht="15">
      <c r="D1503" s="71"/>
    </row>
    <row r="1504" ht="15">
      <c r="D1504" s="71"/>
    </row>
    <row r="1505" ht="15">
      <c r="D1505" s="71"/>
    </row>
    <row r="1506" ht="15">
      <c r="D1506" s="71"/>
    </row>
    <row r="1507" ht="15">
      <c r="D1507" s="71"/>
    </row>
    <row r="1508" ht="15">
      <c r="D1508" s="71"/>
    </row>
    <row r="1509" ht="15">
      <c r="D1509" s="71"/>
    </row>
    <row r="1510" ht="15">
      <c r="D1510" s="71"/>
    </row>
    <row r="1511" ht="15">
      <c r="D1511" s="71"/>
    </row>
    <row r="1512" ht="15">
      <c r="D1512" s="71"/>
    </row>
    <row r="1513" ht="15">
      <c r="D1513" s="71"/>
    </row>
    <row r="1514" ht="15">
      <c r="D1514" s="71"/>
    </row>
    <row r="1515" ht="15">
      <c r="D1515" s="71"/>
    </row>
    <row r="1516" ht="15">
      <c r="D1516" s="71"/>
    </row>
    <row r="1517" ht="15">
      <c r="D1517" s="71"/>
    </row>
    <row r="1518" ht="15">
      <c r="D1518" s="71"/>
    </row>
    <row r="1519" ht="15">
      <c r="D1519" s="71"/>
    </row>
    <row r="1520" ht="15">
      <c r="D1520" s="71"/>
    </row>
    <row r="1521" ht="15">
      <c r="D1521" s="71"/>
    </row>
    <row r="1522" ht="15">
      <c r="D1522" s="71"/>
    </row>
    <row r="1523" ht="15">
      <c r="D1523" s="71"/>
    </row>
    <row r="1524" ht="15">
      <c r="D1524" s="71"/>
    </row>
    <row r="1525" ht="15">
      <c r="D1525" s="71"/>
    </row>
    <row r="1526" ht="15">
      <c r="D1526" s="71"/>
    </row>
    <row r="1527" ht="15">
      <c r="D1527" s="71"/>
    </row>
    <row r="1528" ht="15">
      <c r="D1528" s="71"/>
    </row>
    <row r="1529" ht="15">
      <c r="D1529" s="71"/>
    </row>
    <row r="1530" ht="15">
      <c r="D1530" s="71"/>
    </row>
    <row r="1531" ht="15">
      <c r="D1531" s="71"/>
    </row>
    <row r="1532" ht="15">
      <c r="D1532" s="71"/>
    </row>
    <row r="1533" ht="15">
      <c r="D1533" s="71"/>
    </row>
    <row r="1534" ht="15">
      <c r="D1534" s="71"/>
    </row>
    <row r="1535" ht="15">
      <c r="D1535" s="71"/>
    </row>
    <row r="1536" ht="15">
      <c r="D1536" s="71"/>
    </row>
    <row r="1537" ht="15">
      <c r="D1537" s="71"/>
    </row>
    <row r="1538" ht="15">
      <c r="D1538" s="71"/>
    </row>
    <row r="1539" ht="15">
      <c r="D1539" s="71"/>
    </row>
    <row r="1540" ht="15">
      <c r="D1540" s="71"/>
    </row>
    <row r="1541" ht="15">
      <c r="D1541" s="71"/>
    </row>
    <row r="1542" ht="15">
      <c r="D1542" s="71"/>
    </row>
    <row r="1543" ht="15">
      <c r="D1543" s="71"/>
    </row>
    <row r="1544" ht="15">
      <c r="D1544" s="71"/>
    </row>
    <row r="1545" ht="15">
      <c r="D1545" s="71"/>
    </row>
    <row r="1546" ht="15">
      <c r="D1546" s="71"/>
    </row>
    <row r="1547" ht="15">
      <c r="D1547" s="71"/>
    </row>
    <row r="1548" ht="15">
      <c r="D1548" s="71"/>
    </row>
    <row r="1549" ht="15">
      <c r="D1549" s="71"/>
    </row>
    <row r="1550" ht="15">
      <c r="D1550" s="71"/>
    </row>
    <row r="1551" ht="15">
      <c r="D1551" s="71"/>
    </row>
    <row r="1552" ht="15">
      <c r="D1552" s="71"/>
    </row>
    <row r="1553" ht="15">
      <c r="D1553" s="71"/>
    </row>
    <row r="1554" ht="15">
      <c r="D1554" s="71"/>
    </row>
    <row r="1555" ht="15">
      <c r="D1555" s="71"/>
    </row>
    <row r="1556" ht="15">
      <c r="D1556" s="71"/>
    </row>
    <row r="1557" ht="15">
      <c r="D1557" s="71"/>
    </row>
    <row r="1558" ht="15">
      <c r="D1558" s="71"/>
    </row>
    <row r="1559" ht="15">
      <c r="D1559" s="71"/>
    </row>
    <row r="1560" ht="15">
      <c r="D1560" s="71"/>
    </row>
    <row r="1561" ht="15">
      <c r="D1561" s="71"/>
    </row>
    <row r="1562" ht="15">
      <c r="D1562" s="71"/>
    </row>
    <row r="1563" ht="15">
      <c r="D1563" s="71"/>
    </row>
    <row r="1564" ht="15">
      <c r="D1564" s="71"/>
    </row>
    <row r="1565" ht="15">
      <c r="D1565" s="71"/>
    </row>
    <row r="1566" ht="15">
      <c r="D1566" s="71"/>
    </row>
    <row r="1567" ht="15">
      <c r="D1567" s="71"/>
    </row>
    <row r="1568" ht="15">
      <c r="D1568" s="71"/>
    </row>
    <row r="1569" ht="15">
      <c r="D1569" s="71"/>
    </row>
    <row r="1570" ht="15">
      <c r="D1570" s="71"/>
    </row>
    <row r="1571" ht="15">
      <c r="D1571" s="71"/>
    </row>
    <row r="1572" ht="15">
      <c r="D1572" s="71"/>
    </row>
    <row r="1573" ht="15">
      <c r="D1573" s="71"/>
    </row>
    <row r="1574" ht="15">
      <c r="D1574" s="71"/>
    </row>
    <row r="1575" ht="15">
      <c r="D1575" s="71"/>
    </row>
    <row r="1576" ht="15">
      <c r="D1576" s="71"/>
    </row>
    <row r="1577" ht="15">
      <c r="D1577" s="71"/>
    </row>
    <row r="1578" ht="15">
      <c r="D1578" s="71"/>
    </row>
    <row r="1579" ht="15">
      <c r="D1579" s="71"/>
    </row>
    <row r="1580" ht="15">
      <c r="D1580" s="71"/>
    </row>
    <row r="1581" ht="15">
      <c r="D1581" s="71"/>
    </row>
    <row r="1582" ht="15">
      <c r="D1582" s="71"/>
    </row>
    <row r="1583" ht="15">
      <c r="D1583" s="71"/>
    </row>
    <row r="1584" ht="15">
      <c r="D1584" s="71"/>
    </row>
    <row r="1585" ht="15">
      <c r="D1585" s="71"/>
    </row>
    <row r="1586" ht="15">
      <c r="D1586" s="71"/>
    </row>
    <row r="1587" ht="15">
      <c r="D1587" s="71"/>
    </row>
    <row r="1588" ht="15">
      <c r="D1588" s="71"/>
    </row>
    <row r="1589" ht="15">
      <c r="D1589" s="71"/>
    </row>
    <row r="1590" ht="15">
      <c r="D1590" s="71"/>
    </row>
    <row r="1591" ht="15">
      <c r="D1591" s="71"/>
    </row>
    <row r="1592" ht="15">
      <c r="D1592" s="71"/>
    </row>
    <row r="1593" ht="15">
      <c r="D1593" s="71"/>
    </row>
    <row r="1594" ht="15">
      <c r="D1594" s="71"/>
    </row>
    <row r="1595" ht="15">
      <c r="D1595" s="71"/>
    </row>
    <row r="1596" ht="15">
      <c r="D1596" s="71"/>
    </row>
    <row r="1597" ht="15">
      <c r="D1597" s="71"/>
    </row>
    <row r="1598" ht="15">
      <c r="D1598" s="71"/>
    </row>
    <row r="1599" ht="15">
      <c r="D1599" s="71"/>
    </row>
    <row r="1600" ht="15">
      <c r="D1600" s="71"/>
    </row>
    <row r="1601" ht="15">
      <c r="D1601" s="71"/>
    </row>
    <row r="1602" ht="15">
      <c r="D1602" s="71"/>
    </row>
    <row r="1603" ht="15">
      <c r="D1603" s="71"/>
    </row>
    <row r="1604" ht="15">
      <c r="D1604" s="71"/>
    </row>
    <row r="1605" ht="15">
      <c r="D1605" s="71"/>
    </row>
    <row r="1606" ht="15">
      <c r="D1606" s="71"/>
    </row>
    <row r="1607" ht="15">
      <c r="D1607" s="71"/>
    </row>
    <row r="1608" ht="15">
      <c r="D1608" s="71"/>
    </row>
    <row r="1609" ht="15">
      <c r="D1609" s="71"/>
    </row>
    <row r="1610" ht="15">
      <c r="D1610" s="71"/>
    </row>
    <row r="1611" ht="15">
      <c r="D1611" s="71"/>
    </row>
    <row r="1612" ht="15">
      <c r="D1612" s="71"/>
    </row>
    <row r="1613" ht="15">
      <c r="D1613" s="71"/>
    </row>
    <row r="1614" ht="15">
      <c r="D1614" s="71"/>
    </row>
    <row r="1615" ht="15">
      <c r="D1615" s="71"/>
    </row>
    <row r="1616" ht="15">
      <c r="D1616" s="71"/>
    </row>
    <row r="1617" ht="15">
      <c r="D1617" s="71"/>
    </row>
    <row r="1618" ht="15">
      <c r="D1618" s="71"/>
    </row>
    <row r="1619" ht="15">
      <c r="D1619" s="71"/>
    </row>
    <row r="1620" ht="15">
      <c r="D1620" s="71"/>
    </row>
    <row r="1621" ht="15">
      <c r="D1621" s="71"/>
    </row>
    <row r="1622" ht="15">
      <c r="D1622" s="71"/>
    </row>
    <row r="1623" ht="15">
      <c r="D1623" s="71"/>
    </row>
    <row r="1624" ht="15">
      <c r="D1624" s="71"/>
    </row>
    <row r="1625" ht="15">
      <c r="D1625" s="71"/>
    </row>
    <row r="1626" ht="15">
      <c r="D1626" s="71"/>
    </row>
    <row r="1627" ht="15">
      <c r="D1627" s="71"/>
    </row>
    <row r="1628" ht="15">
      <c r="D1628" s="71"/>
    </row>
    <row r="1629" ht="15">
      <c r="D1629" s="71"/>
    </row>
    <row r="1630" ht="15">
      <c r="D1630" s="71"/>
    </row>
    <row r="1631" ht="15">
      <c r="D1631" s="71"/>
    </row>
    <row r="1632" ht="15">
      <c r="D1632" s="71"/>
    </row>
    <row r="1633" ht="15">
      <c r="D1633" s="71"/>
    </row>
    <row r="1634" ht="15">
      <c r="D1634" s="71"/>
    </row>
    <row r="1635" ht="15">
      <c r="D1635" s="71"/>
    </row>
    <row r="1636" ht="15">
      <c r="D1636" s="71"/>
    </row>
    <row r="1637" ht="15">
      <c r="D1637" s="71"/>
    </row>
    <row r="1638" ht="15">
      <c r="D1638" s="71"/>
    </row>
    <row r="1639" ht="15">
      <c r="D1639" s="71"/>
    </row>
    <row r="1640" ht="15">
      <c r="D1640" s="71"/>
    </row>
    <row r="1641" ht="15">
      <c r="D1641" s="71"/>
    </row>
    <row r="1642" ht="15">
      <c r="D1642" s="71"/>
    </row>
    <row r="1643" ht="15">
      <c r="D1643" s="71"/>
    </row>
    <row r="1644" ht="15">
      <c r="D1644" s="71"/>
    </row>
    <row r="1645" ht="15">
      <c r="D1645" s="71"/>
    </row>
    <row r="1646" ht="15">
      <c r="D1646" s="71"/>
    </row>
    <row r="1647" ht="15">
      <c r="D1647" s="71"/>
    </row>
    <row r="1648" ht="15">
      <c r="D1648" s="71"/>
    </row>
    <row r="1649" ht="15">
      <c r="D1649" s="71"/>
    </row>
    <row r="1650" ht="15">
      <c r="D1650" s="71"/>
    </row>
    <row r="1651" ht="15">
      <c r="D1651" s="71"/>
    </row>
    <row r="1652" ht="15">
      <c r="D1652" s="71"/>
    </row>
    <row r="1653" ht="15">
      <c r="D1653" s="71"/>
    </row>
    <row r="1654" ht="15">
      <c r="D1654" s="71"/>
    </row>
    <row r="1655" ht="15">
      <c r="D1655" s="71"/>
    </row>
    <row r="1656" ht="15">
      <c r="D1656" s="71"/>
    </row>
    <row r="1657" ht="15">
      <c r="D1657" s="71"/>
    </row>
    <row r="1658" ht="15">
      <c r="D1658" s="71"/>
    </row>
    <row r="1659" ht="15">
      <c r="D1659" s="71"/>
    </row>
    <row r="1660" ht="15">
      <c r="D1660" s="71"/>
    </row>
    <row r="1661" ht="15">
      <c r="D1661" s="71"/>
    </row>
    <row r="1662" ht="15">
      <c r="D1662" s="71"/>
    </row>
    <row r="1663" ht="15">
      <c r="D1663" s="71"/>
    </row>
    <row r="1664" ht="15">
      <c r="D1664" s="71"/>
    </row>
    <row r="1665" ht="15">
      <c r="D1665" s="71"/>
    </row>
    <row r="1666" ht="15">
      <c r="D1666" s="71"/>
    </row>
    <row r="1667" ht="15">
      <c r="D1667" s="71"/>
    </row>
    <row r="1668" ht="15">
      <c r="D1668" s="71"/>
    </row>
    <row r="1669" ht="15">
      <c r="D1669" s="71"/>
    </row>
    <row r="1670" ht="15">
      <c r="D1670" s="71"/>
    </row>
    <row r="1671" ht="15">
      <c r="D1671" s="71"/>
    </row>
    <row r="1672" ht="15">
      <c r="D1672" s="71"/>
    </row>
    <row r="1673" ht="15">
      <c r="D1673" s="71"/>
    </row>
    <row r="1674" ht="15">
      <c r="D1674" s="71"/>
    </row>
    <row r="1675" ht="15">
      <c r="D1675" s="71"/>
    </row>
    <row r="1676" ht="15">
      <c r="D1676" s="71"/>
    </row>
    <row r="1677" ht="15">
      <c r="D1677" s="71"/>
    </row>
    <row r="1678" ht="15">
      <c r="D1678" s="71"/>
    </row>
    <row r="1679" ht="15">
      <c r="D1679" s="71"/>
    </row>
    <row r="1680" ht="15">
      <c r="D1680" s="71"/>
    </row>
    <row r="1681" ht="15">
      <c r="D1681" s="71"/>
    </row>
    <row r="1682" ht="15">
      <c r="D1682" s="71"/>
    </row>
    <row r="1683" ht="15">
      <c r="D1683" s="71"/>
    </row>
    <row r="1684" ht="15">
      <c r="D1684" s="71"/>
    </row>
    <row r="1685" ht="15">
      <c r="D1685" s="71"/>
    </row>
    <row r="1686" ht="15">
      <c r="D1686" s="71"/>
    </row>
    <row r="1687" ht="15">
      <c r="D1687" s="71"/>
    </row>
    <row r="1688" ht="15">
      <c r="D1688" s="71"/>
    </row>
    <row r="1689" ht="15">
      <c r="D1689" s="71"/>
    </row>
    <row r="1690" ht="15">
      <c r="D1690" s="71"/>
    </row>
    <row r="1691" ht="15">
      <c r="D1691" s="71"/>
    </row>
    <row r="1692" ht="15">
      <c r="D1692" s="71"/>
    </row>
    <row r="1693" ht="15">
      <c r="D1693" s="71"/>
    </row>
    <row r="1694" ht="15">
      <c r="D1694" s="71"/>
    </row>
    <row r="1695" ht="15">
      <c r="D1695" s="71"/>
    </row>
    <row r="1696" ht="15">
      <c r="D1696" s="71"/>
    </row>
    <row r="1697" ht="15">
      <c r="D1697" s="71"/>
    </row>
    <row r="1698" ht="15">
      <c r="D1698" s="71"/>
    </row>
    <row r="1699" ht="15">
      <c r="D1699" s="71"/>
    </row>
    <row r="1700" ht="15">
      <c r="D1700" s="71"/>
    </row>
    <row r="1701" ht="15">
      <c r="D1701" s="71"/>
    </row>
    <row r="1702" ht="15">
      <c r="D1702" s="71"/>
    </row>
    <row r="1703" ht="15">
      <c r="D1703" s="71"/>
    </row>
    <row r="1704" ht="15">
      <c r="D1704" s="71"/>
    </row>
    <row r="1705" ht="15">
      <c r="D1705" s="71"/>
    </row>
    <row r="1706" ht="15">
      <c r="D1706" s="71"/>
    </row>
    <row r="1707" ht="15">
      <c r="D1707" s="71"/>
    </row>
    <row r="1708" ht="15">
      <c r="D1708" s="71"/>
    </row>
    <row r="1709" ht="15">
      <c r="D1709" s="71"/>
    </row>
    <row r="1710" ht="15">
      <c r="D1710" s="71"/>
    </row>
    <row r="1711" ht="15">
      <c r="D1711" s="71"/>
    </row>
    <row r="1712" ht="15">
      <c r="D1712" s="71"/>
    </row>
    <row r="1713" ht="15">
      <c r="D1713" s="71"/>
    </row>
    <row r="1714" ht="15">
      <c r="D1714" s="71"/>
    </row>
    <row r="1715" ht="15">
      <c r="D1715" s="71"/>
    </row>
    <row r="1716" ht="15">
      <c r="D1716" s="71"/>
    </row>
    <row r="1717" ht="15">
      <c r="D1717" s="71"/>
    </row>
    <row r="1718" ht="15">
      <c r="D1718" s="71"/>
    </row>
    <row r="1719" ht="15">
      <c r="D1719" s="71"/>
    </row>
    <row r="1720" ht="15">
      <c r="D1720" s="71"/>
    </row>
    <row r="1721" ht="15">
      <c r="D1721" s="71"/>
    </row>
    <row r="1722" ht="15">
      <c r="D1722" s="71"/>
    </row>
    <row r="1723" ht="15">
      <c r="D1723" s="71"/>
    </row>
    <row r="1724" ht="15">
      <c r="D1724" s="71"/>
    </row>
    <row r="1725" ht="15">
      <c r="D1725" s="71"/>
    </row>
    <row r="1726" ht="15">
      <c r="D1726" s="71"/>
    </row>
    <row r="1727" ht="15">
      <c r="D1727" s="71"/>
    </row>
    <row r="1728" ht="15">
      <c r="D1728" s="71"/>
    </row>
    <row r="1729" ht="15">
      <c r="D1729" s="71"/>
    </row>
    <row r="1730" ht="15">
      <c r="D1730" s="71"/>
    </row>
    <row r="1731" ht="15">
      <c r="D1731" s="71"/>
    </row>
    <row r="1732" ht="15">
      <c r="D1732" s="71"/>
    </row>
    <row r="1733" ht="15">
      <c r="D1733" s="71"/>
    </row>
    <row r="1734" ht="15">
      <c r="D1734" s="71"/>
    </row>
    <row r="1735" ht="15">
      <c r="D1735" s="71"/>
    </row>
    <row r="1736" ht="15">
      <c r="D1736" s="71"/>
    </row>
    <row r="1737" ht="15">
      <c r="D1737" s="71"/>
    </row>
    <row r="1738" ht="15">
      <c r="D1738" s="71"/>
    </row>
    <row r="1739" ht="15">
      <c r="D1739" s="71"/>
    </row>
    <row r="1740" ht="15">
      <c r="D1740" s="71"/>
    </row>
    <row r="1741" ht="15">
      <c r="D1741" s="71"/>
    </row>
    <row r="1742" ht="15">
      <c r="D1742" s="71"/>
    </row>
    <row r="1743" ht="15">
      <c r="D1743" s="71"/>
    </row>
    <row r="1744" ht="15">
      <c r="D1744" s="71"/>
    </row>
    <row r="1745" ht="15">
      <c r="D1745" s="71"/>
    </row>
    <row r="1746" ht="15">
      <c r="D1746" s="71"/>
    </row>
    <row r="1747" ht="15">
      <c r="D1747" s="71"/>
    </row>
    <row r="1748" ht="15">
      <c r="D1748" s="71"/>
    </row>
    <row r="1749" ht="15">
      <c r="D1749" s="71"/>
    </row>
    <row r="1750" ht="15">
      <c r="D1750" s="71"/>
    </row>
    <row r="1751" ht="15">
      <c r="D1751" s="71"/>
    </row>
    <row r="1752" ht="15">
      <c r="D1752" s="71"/>
    </row>
    <row r="1753" ht="15">
      <c r="D1753" s="71"/>
    </row>
    <row r="1754" ht="15">
      <c r="D1754" s="71"/>
    </row>
    <row r="1755" ht="15">
      <c r="D1755" s="71"/>
    </row>
    <row r="1756" ht="15">
      <c r="D1756" s="71"/>
    </row>
    <row r="1757" ht="15">
      <c r="D1757" s="71"/>
    </row>
    <row r="1758" ht="15">
      <c r="D1758" s="71"/>
    </row>
    <row r="1759" ht="15">
      <c r="D1759" s="71"/>
    </row>
    <row r="1760" ht="15">
      <c r="D1760" s="71"/>
    </row>
    <row r="1761" ht="15">
      <c r="D1761" s="71"/>
    </row>
    <row r="1762" ht="15">
      <c r="D1762" s="71"/>
    </row>
    <row r="1763" ht="15">
      <c r="D1763" s="71"/>
    </row>
    <row r="1764" ht="15">
      <c r="D1764" s="71"/>
    </row>
    <row r="1765" ht="15">
      <c r="D1765" s="71"/>
    </row>
    <row r="1766" ht="15">
      <c r="D1766" s="71"/>
    </row>
    <row r="1767" ht="15">
      <c r="D1767" s="71"/>
    </row>
    <row r="1768" ht="15">
      <c r="D1768" s="71"/>
    </row>
    <row r="1769" ht="15">
      <c r="D1769" s="71"/>
    </row>
    <row r="1770" ht="15">
      <c r="D1770" s="71"/>
    </row>
    <row r="1771" ht="15">
      <c r="D1771" s="71"/>
    </row>
    <row r="1772" ht="15">
      <c r="D1772" s="71"/>
    </row>
    <row r="1773" ht="15">
      <c r="D1773" s="71"/>
    </row>
    <row r="1774" ht="15">
      <c r="D1774" s="71"/>
    </row>
    <row r="1775" ht="15">
      <c r="D1775" s="71"/>
    </row>
    <row r="1776" ht="15">
      <c r="D1776" s="71"/>
    </row>
    <row r="1777" ht="15">
      <c r="D1777" s="71"/>
    </row>
    <row r="1778" ht="15">
      <c r="D1778" s="71"/>
    </row>
    <row r="1779" ht="15">
      <c r="D1779" s="71"/>
    </row>
    <row r="1780" ht="15">
      <c r="D1780" s="71"/>
    </row>
    <row r="1781" ht="15">
      <c r="D1781" s="71"/>
    </row>
    <row r="1782" ht="15">
      <c r="D1782" s="71"/>
    </row>
    <row r="1783" ht="15">
      <c r="D1783" s="71"/>
    </row>
    <row r="1784" ht="15">
      <c r="D1784" s="71"/>
    </row>
    <row r="1785" ht="15">
      <c r="D1785" s="71"/>
    </row>
    <row r="1786" ht="15">
      <c r="D1786" s="71"/>
    </row>
    <row r="1787" ht="15">
      <c r="D1787" s="71"/>
    </row>
    <row r="1788" ht="15">
      <c r="D1788" s="71"/>
    </row>
    <row r="1789" ht="15">
      <c r="D1789" s="71"/>
    </row>
    <row r="1790" ht="15">
      <c r="D1790" s="71"/>
    </row>
    <row r="1791" ht="15">
      <c r="D1791" s="71"/>
    </row>
    <row r="1792" ht="15">
      <c r="D1792" s="71"/>
    </row>
    <row r="1793" ht="15">
      <c r="D1793" s="71"/>
    </row>
    <row r="1794" ht="15">
      <c r="D1794" s="71"/>
    </row>
    <row r="1795" ht="15">
      <c r="D1795" s="71"/>
    </row>
    <row r="1796" ht="15">
      <c r="D1796" s="71"/>
    </row>
    <row r="1797" ht="15">
      <c r="D1797" s="71"/>
    </row>
    <row r="1798" ht="15">
      <c r="D1798" s="71"/>
    </row>
    <row r="1799" ht="15">
      <c r="D1799" s="71"/>
    </row>
    <row r="1800" ht="15">
      <c r="D1800" s="71"/>
    </row>
    <row r="1801" ht="15">
      <c r="D1801" s="71"/>
    </row>
    <row r="1802" ht="15">
      <c r="D1802" s="71"/>
    </row>
    <row r="1803" ht="15">
      <c r="D1803" s="71"/>
    </row>
    <row r="1804" ht="15">
      <c r="D1804" s="71"/>
    </row>
    <row r="1805" ht="15">
      <c r="D1805" s="71"/>
    </row>
    <row r="1806" ht="15">
      <c r="D1806" s="71"/>
    </row>
    <row r="1807" ht="15">
      <c r="D1807" s="71"/>
    </row>
    <row r="1808" ht="15">
      <c r="D1808" s="71"/>
    </row>
    <row r="1809" ht="15">
      <c r="D1809" s="71"/>
    </row>
    <row r="1810" ht="15">
      <c r="D1810" s="71"/>
    </row>
    <row r="1811" ht="15">
      <c r="D1811" s="71"/>
    </row>
    <row r="1812" ht="15">
      <c r="D1812" s="71"/>
    </row>
    <row r="1813" ht="15">
      <c r="D1813" s="71"/>
    </row>
    <row r="1814" ht="15">
      <c r="D1814" s="71"/>
    </row>
    <row r="1815" ht="15">
      <c r="D1815" s="71"/>
    </row>
    <row r="1816" ht="15">
      <c r="D1816" s="71"/>
    </row>
    <row r="1817" ht="15">
      <c r="D1817" s="71"/>
    </row>
    <row r="1818" ht="15">
      <c r="D1818" s="71"/>
    </row>
    <row r="1819" ht="15">
      <c r="D1819" s="71"/>
    </row>
    <row r="1820" ht="15">
      <c r="D1820" s="71"/>
    </row>
    <row r="1821" ht="15">
      <c r="D1821" s="71"/>
    </row>
    <row r="1822" ht="15">
      <c r="D1822" s="71"/>
    </row>
    <row r="1823" ht="15">
      <c r="D1823" s="71"/>
    </row>
    <row r="1824" ht="15">
      <c r="D1824" s="71"/>
    </row>
    <row r="1825" ht="15">
      <c r="D1825" s="71"/>
    </row>
    <row r="1826" ht="15">
      <c r="D1826" s="71"/>
    </row>
    <row r="1827" ht="15">
      <c r="D1827" s="71"/>
    </row>
    <row r="1828" ht="15">
      <c r="D1828" s="71"/>
    </row>
    <row r="1829" ht="15">
      <c r="D1829" s="71"/>
    </row>
    <row r="1830" ht="15">
      <c r="D1830" s="71"/>
    </row>
    <row r="1831" ht="15">
      <c r="D1831" s="71"/>
    </row>
    <row r="1832" ht="15">
      <c r="D1832" s="71"/>
    </row>
    <row r="1833" ht="15">
      <c r="D1833" s="71"/>
    </row>
    <row r="1834" ht="15">
      <c r="D1834" s="71"/>
    </row>
    <row r="1835" ht="15">
      <c r="D1835" s="71"/>
    </row>
    <row r="1836" ht="15">
      <c r="D1836" s="71"/>
    </row>
    <row r="1837" ht="15">
      <c r="D1837" s="71"/>
    </row>
    <row r="1838" ht="15">
      <c r="D1838" s="71"/>
    </row>
    <row r="1839" ht="15">
      <c r="D1839" s="71"/>
    </row>
    <row r="1840" ht="15">
      <c r="D1840" s="71"/>
    </row>
    <row r="1841" ht="15">
      <c r="D1841" s="71"/>
    </row>
    <row r="1842" ht="15">
      <c r="D1842" s="71"/>
    </row>
    <row r="1843" ht="15">
      <c r="D1843" s="71"/>
    </row>
    <row r="1844" ht="15">
      <c r="D1844" s="71"/>
    </row>
    <row r="1845" ht="15">
      <c r="D1845" s="71"/>
    </row>
    <row r="1846" ht="15">
      <c r="D1846" s="71"/>
    </row>
    <row r="1847" ht="15">
      <c r="D1847" s="71"/>
    </row>
    <row r="1848" ht="15">
      <c r="D1848" s="71"/>
    </row>
    <row r="1849" ht="15">
      <c r="D1849" s="71"/>
    </row>
    <row r="1850" ht="15">
      <c r="D1850" s="71"/>
    </row>
    <row r="1851" ht="15">
      <c r="D1851" s="71"/>
    </row>
    <row r="1852" ht="15">
      <c r="D1852" s="71"/>
    </row>
    <row r="1853" ht="15">
      <c r="D1853" s="71"/>
    </row>
    <row r="1854" ht="15">
      <c r="D1854" s="71"/>
    </row>
    <row r="1855" ht="15">
      <c r="D1855" s="71"/>
    </row>
    <row r="1856" ht="15">
      <c r="D1856" s="71"/>
    </row>
    <row r="1857" ht="15">
      <c r="D1857" s="71"/>
    </row>
    <row r="1858" ht="15">
      <c r="D1858" s="71"/>
    </row>
    <row r="1859" ht="15">
      <c r="D1859" s="71"/>
    </row>
    <row r="1860" ht="15">
      <c r="D1860" s="71"/>
    </row>
    <row r="1861" ht="15">
      <c r="D1861" s="71"/>
    </row>
    <row r="1862" ht="15">
      <c r="D1862" s="71"/>
    </row>
    <row r="1863" ht="15">
      <c r="D1863" s="71"/>
    </row>
    <row r="1864" ht="15">
      <c r="D1864" s="71"/>
    </row>
    <row r="1865" ht="15">
      <c r="D1865" s="71"/>
    </row>
    <row r="1866" ht="15">
      <c r="D1866" s="71"/>
    </row>
    <row r="1867" ht="15">
      <c r="D1867" s="71"/>
    </row>
    <row r="1868" ht="15">
      <c r="D1868" s="71"/>
    </row>
    <row r="1869" ht="15">
      <c r="D1869" s="71"/>
    </row>
    <row r="1870" ht="15">
      <c r="D1870" s="71"/>
    </row>
    <row r="1871" ht="15">
      <c r="D1871" s="71"/>
    </row>
    <row r="1872" ht="15">
      <c r="D1872" s="71"/>
    </row>
    <row r="1873" ht="15">
      <c r="D1873" s="71"/>
    </row>
    <row r="1874" ht="15">
      <c r="D1874" s="71"/>
    </row>
    <row r="1875" ht="15">
      <c r="D1875" s="71"/>
    </row>
    <row r="1876" ht="15">
      <c r="D1876" s="71"/>
    </row>
    <row r="1877" ht="15">
      <c r="D1877" s="71"/>
    </row>
    <row r="1878" ht="15">
      <c r="D1878" s="71"/>
    </row>
    <row r="1879" ht="15">
      <c r="D1879" s="71"/>
    </row>
    <row r="1880" ht="15">
      <c r="D1880" s="71"/>
    </row>
    <row r="1881" ht="15">
      <c r="D1881" s="71"/>
    </row>
    <row r="1882" ht="15">
      <c r="D1882" s="71"/>
    </row>
    <row r="1883" ht="15">
      <c r="D1883" s="71"/>
    </row>
    <row r="1884" ht="15">
      <c r="D1884" s="71"/>
    </row>
    <row r="1885" ht="15">
      <c r="D1885" s="71"/>
    </row>
    <row r="1886" ht="15">
      <c r="D1886" s="71"/>
    </row>
    <row r="1887" ht="15">
      <c r="D1887" s="71"/>
    </row>
    <row r="1888" ht="15">
      <c r="D1888" s="71"/>
    </row>
    <row r="1889" ht="15">
      <c r="D1889" s="71"/>
    </row>
    <row r="1890" ht="15">
      <c r="D1890" s="71"/>
    </row>
    <row r="1891" ht="15">
      <c r="D1891" s="71"/>
    </row>
    <row r="1892" ht="15">
      <c r="D1892" s="71"/>
    </row>
    <row r="1893" ht="15">
      <c r="D1893" s="71"/>
    </row>
    <row r="1894" ht="15">
      <c r="D1894" s="71"/>
    </row>
    <row r="1895" ht="15">
      <c r="D1895" s="71"/>
    </row>
    <row r="1896" ht="15">
      <c r="D1896" s="71"/>
    </row>
    <row r="1897" ht="15">
      <c r="D1897" s="71"/>
    </row>
    <row r="1898" ht="15">
      <c r="D1898" s="71"/>
    </row>
    <row r="1899" ht="15">
      <c r="D1899" s="71"/>
    </row>
    <row r="1900" ht="15">
      <c r="D1900" s="71"/>
    </row>
    <row r="1901" ht="15">
      <c r="D1901" s="71"/>
    </row>
    <row r="1902" ht="15">
      <c r="D1902" s="71"/>
    </row>
    <row r="1903" ht="15">
      <c r="D1903" s="71"/>
    </row>
    <row r="1904" ht="15">
      <c r="D1904" s="71"/>
    </row>
    <row r="1905" ht="15">
      <c r="D1905" s="71"/>
    </row>
    <row r="1906" ht="15">
      <c r="D1906" s="71"/>
    </row>
    <row r="1907" ht="15">
      <c r="D1907" s="71"/>
    </row>
    <row r="1908" ht="15">
      <c r="D1908" s="71"/>
    </row>
    <row r="1909" ht="15">
      <c r="D1909" s="71"/>
    </row>
    <row r="1910" ht="15">
      <c r="D1910" s="71"/>
    </row>
    <row r="1911" ht="15">
      <c r="D1911" s="71"/>
    </row>
    <row r="1912" ht="15">
      <c r="D1912" s="71"/>
    </row>
    <row r="1913" ht="15">
      <c r="D1913" s="71"/>
    </row>
    <row r="1914" ht="15">
      <c r="D1914" s="71"/>
    </row>
    <row r="1915" ht="15">
      <c r="D1915" s="71"/>
    </row>
    <row r="1916" ht="15">
      <c r="D1916" s="71"/>
    </row>
    <row r="1917" ht="15">
      <c r="D1917" s="71"/>
    </row>
    <row r="1918" ht="15">
      <c r="D1918" s="71"/>
    </row>
    <row r="1919" ht="15">
      <c r="D1919" s="71"/>
    </row>
    <row r="1920" ht="15">
      <c r="D1920" s="71"/>
    </row>
    <row r="1921" ht="15">
      <c r="D1921" s="71"/>
    </row>
    <row r="1922" ht="15">
      <c r="D1922" s="71"/>
    </row>
    <row r="1923" ht="15">
      <c r="D1923" s="71"/>
    </row>
    <row r="1924" ht="15">
      <c r="D1924" s="71"/>
    </row>
    <row r="1925" ht="15">
      <c r="D1925" s="71"/>
    </row>
    <row r="1926" ht="15">
      <c r="D1926" s="71"/>
    </row>
    <row r="1927" ht="15">
      <c r="D1927" s="71"/>
    </row>
    <row r="1928" ht="15">
      <c r="D1928" s="71"/>
    </row>
    <row r="1929" ht="15">
      <c r="D1929" s="71"/>
    </row>
    <row r="1930" ht="15">
      <c r="D1930" s="71"/>
    </row>
    <row r="1931" ht="15">
      <c r="D1931" s="71"/>
    </row>
    <row r="1932" ht="15">
      <c r="D1932" s="71"/>
    </row>
    <row r="1933" ht="15">
      <c r="D1933" s="71"/>
    </row>
    <row r="1934" ht="15">
      <c r="D1934" s="71"/>
    </row>
    <row r="1935" ht="15">
      <c r="D1935" s="71"/>
    </row>
    <row r="1936" ht="15">
      <c r="D1936" s="71"/>
    </row>
    <row r="1937" ht="15">
      <c r="D1937" s="71"/>
    </row>
    <row r="1938" ht="15">
      <c r="D1938" s="71"/>
    </row>
    <row r="1939" ht="15">
      <c r="D1939" s="71"/>
    </row>
    <row r="1940" ht="15">
      <c r="D1940" s="71"/>
    </row>
    <row r="1941" ht="15">
      <c r="D1941" s="71"/>
    </row>
    <row r="1942" ht="15">
      <c r="D1942" s="71"/>
    </row>
    <row r="1943" ht="15">
      <c r="D1943" s="71"/>
    </row>
    <row r="1944" ht="15">
      <c r="D1944" s="71"/>
    </row>
    <row r="1945" ht="15">
      <c r="D1945" s="71"/>
    </row>
    <row r="1946" ht="15">
      <c r="D1946" s="71"/>
    </row>
    <row r="1947" ht="15">
      <c r="D1947" s="71"/>
    </row>
    <row r="1948" ht="15">
      <c r="D1948" s="71"/>
    </row>
    <row r="1949" ht="15">
      <c r="D1949" s="71"/>
    </row>
    <row r="1950" ht="15">
      <c r="D1950" s="71"/>
    </row>
    <row r="1951" ht="15">
      <c r="D1951" s="71"/>
    </row>
    <row r="1952" ht="15">
      <c r="D1952" s="71"/>
    </row>
    <row r="1953" ht="15">
      <c r="D1953" s="71"/>
    </row>
    <row r="1954" ht="15">
      <c r="D1954" s="71"/>
    </row>
    <row r="1955" ht="15">
      <c r="D1955" s="71"/>
    </row>
    <row r="1956" ht="15">
      <c r="D1956" s="71"/>
    </row>
    <row r="1957" ht="15">
      <c r="D1957" s="71"/>
    </row>
    <row r="1958" ht="15">
      <c r="D1958" s="71"/>
    </row>
    <row r="1959" ht="15">
      <c r="D1959" s="71"/>
    </row>
    <row r="1960" ht="15">
      <c r="D1960" s="71"/>
    </row>
    <row r="1961" ht="15">
      <c r="D1961" s="71"/>
    </row>
    <row r="1962" ht="15">
      <c r="D1962" s="71"/>
    </row>
    <row r="1963" ht="15">
      <c r="D1963" s="71"/>
    </row>
    <row r="1964" ht="15">
      <c r="D1964" s="71"/>
    </row>
    <row r="1965" ht="15">
      <c r="D1965" s="71"/>
    </row>
    <row r="1966" ht="15">
      <c r="D1966" s="71"/>
    </row>
    <row r="1967" ht="15">
      <c r="D1967" s="71"/>
    </row>
    <row r="1968" ht="15">
      <c r="D1968" s="71"/>
    </row>
    <row r="1969" ht="15">
      <c r="D1969" s="71"/>
    </row>
    <row r="1970" ht="15">
      <c r="D1970" s="71"/>
    </row>
    <row r="1971" ht="15">
      <c r="D1971" s="71"/>
    </row>
    <row r="1972" ht="15">
      <c r="D1972" s="71"/>
    </row>
    <row r="1973" ht="15">
      <c r="D1973" s="71"/>
    </row>
    <row r="1974" ht="15">
      <c r="D1974" s="71"/>
    </row>
    <row r="1975" ht="15">
      <c r="D1975" s="71"/>
    </row>
    <row r="1976" ht="15">
      <c r="D1976" s="71"/>
    </row>
    <row r="1977" ht="15">
      <c r="D1977" s="71"/>
    </row>
    <row r="1978" ht="15">
      <c r="D1978" s="71"/>
    </row>
    <row r="1979" ht="15">
      <c r="D1979" s="71"/>
    </row>
    <row r="1980" ht="15">
      <c r="D1980" s="71"/>
    </row>
    <row r="1981" ht="15">
      <c r="D1981" s="71"/>
    </row>
    <row r="1982" ht="15">
      <c r="D1982" s="71"/>
    </row>
    <row r="1983" ht="15">
      <c r="D1983" s="71"/>
    </row>
    <row r="1984" ht="15">
      <c r="D1984" s="71"/>
    </row>
    <row r="1985" ht="15">
      <c r="D1985" s="71"/>
    </row>
    <row r="1986" ht="15">
      <c r="D1986" s="71"/>
    </row>
    <row r="1987" ht="15">
      <c r="D1987" s="71"/>
    </row>
    <row r="1988" ht="15">
      <c r="D1988" s="71"/>
    </row>
    <row r="1989" ht="15">
      <c r="D1989" s="71"/>
    </row>
    <row r="1990" ht="15">
      <c r="D1990" s="71"/>
    </row>
    <row r="1991" ht="15">
      <c r="D1991" s="71"/>
    </row>
    <row r="1992" ht="15">
      <c r="D1992" s="71"/>
    </row>
    <row r="1993" ht="15">
      <c r="D1993" s="71"/>
    </row>
    <row r="1994" ht="15">
      <c r="D1994" s="71"/>
    </row>
    <row r="1995" ht="15">
      <c r="D1995" s="71"/>
    </row>
    <row r="1996" ht="15">
      <c r="D1996" s="71"/>
    </row>
    <row r="1997" ht="15">
      <c r="D1997" s="71"/>
    </row>
    <row r="1998" ht="15">
      <c r="D1998" s="71"/>
    </row>
    <row r="1999" ht="15">
      <c r="D1999" s="71"/>
    </row>
    <row r="2000" ht="15">
      <c r="D2000" s="71"/>
    </row>
    <row r="2001" ht="15">
      <c r="D2001" s="71"/>
    </row>
    <row r="2002" ht="15">
      <c r="D2002" s="71"/>
    </row>
    <row r="2003" ht="15">
      <c r="D2003" s="71"/>
    </row>
    <row r="2004" ht="15">
      <c r="D2004" s="71"/>
    </row>
    <row r="2005" ht="15">
      <c r="D2005" s="71"/>
    </row>
    <row r="2006" ht="15">
      <c r="D2006" s="71"/>
    </row>
    <row r="2007" ht="15">
      <c r="D2007" s="71"/>
    </row>
    <row r="2008" ht="15">
      <c r="D2008" s="71"/>
    </row>
    <row r="2009" ht="15">
      <c r="D2009" s="71"/>
    </row>
    <row r="2010" ht="15">
      <c r="D2010" s="71"/>
    </row>
    <row r="2011" ht="15">
      <c r="D2011" s="71"/>
    </row>
    <row r="2012" ht="15">
      <c r="D2012" s="71"/>
    </row>
    <row r="2013" ht="15">
      <c r="D2013" s="71"/>
    </row>
    <row r="2014" ht="15">
      <c r="D2014" s="71"/>
    </row>
    <row r="2015" ht="15">
      <c r="D2015" s="71"/>
    </row>
    <row r="2016" ht="15">
      <c r="D2016" s="71"/>
    </row>
    <row r="2017" ht="15">
      <c r="D2017" s="71"/>
    </row>
    <row r="2018" ht="15">
      <c r="D2018" s="71"/>
    </row>
    <row r="2019" ht="15">
      <c r="D2019" s="71"/>
    </row>
    <row r="2020" ht="15">
      <c r="D2020" s="71"/>
    </row>
    <row r="2021" ht="15">
      <c r="D2021" s="71"/>
    </row>
    <row r="2022" ht="15">
      <c r="D2022" s="71"/>
    </row>
    <row r="2023" ht="15">
      <c r="D2023" s="71"/>
    </row>
    <row r="2024" ht="15">
      <c r="D2024" s="71"/>
    </row>
    <row r="2025" ht="15">
      <c r="D2025" s="71"/>
    </row>
    <row r="2026" ht="15">
      <c r="D2026" s="71"/>
    </row>
    <row r="2027" ht="15">
      <c r="D2027" s="71"/>
    </row>
    <row r="2028" ht="15">
      <c r="D2028" s="71"/>
    </row>
    <row r="2029" ht="15">
      <c r="D2029" s="71"/>
    </row>
    <row r="2030" ht="15">
      <c r="D2030" s="71"/>
    </row>
    <row r="2031" ht="15">
      <c r="D2031" s="71"/>
    </row>
    <row r="2032" ht="15">
      <c r="D2032" s="71"/>
    </row>
    <row r="2033" ht="15">
      <c r="D2033" s="71"/>
    </row>
    <row r="2034" ht="15">
      <c r="D2034" s="71"/>
    </row>
    <row r="2035" ht="15">
      <c r="D2035" s="71"/>
    </row>
    <row r="2036" ht="15">
      <c r="D2036" s="71"/>
    </row>
    <row r="2037" ht="15">
      <c r="D2037" s="71"/>
    </row>
    <row r="2038" ht="15">
      <c r="D2038" s="71"/>
    </row>
    <row r="2039" ht="15">
      <c r="D2039" s="71"/>
    </row>
    <row r="2040" ht="15">
      <c r="D2040" s="71"/>
    </row>
    <row r="2041" ht="15">
      <c r="D2041" s="71"/>
    </row>
    <row r="2042" ht="15">
      <c r="D2042" s="71"/>
    </row>
    <row r="2043" ht="15">
      <c r="D2043" s="71"/>
    </row>
    <row r="2044" ht="15">
      <c r="D2044" s="71"/>
    </row>
    <row r="2045" ht="15">
      <c r="D2045" s="71"/>
    </row>
    <row r="2046" ht="15">
      <c r="D2046" s="71"/>
    </row>
    <row r="2047" ht="15">
      <c r="D2047" s="71"/>
    </row>
    <row r="2048" ht="15">
      <c r="D2048" s="71"/>
    </row>
    <row r="2049" ht="15">
      <c r="D2049" s="71"/>
    </row>
    <row r="2050" ht="15">
      <c r="D2050" s="71"/>
    </row>
    <row r="2051" ht="15">
      <c r="D2051" s="71"/>
    </row>
    <row r="2052" ht="15">
      <c r="D2052" s="71"/>
    </row>
    <row r="2053" ht="15">
      <c r="D2053" s="71"/>
    </row>
    <row r="2054" ht="15">
      <c r="D2054" s="71"/>
    </row>
    <row r="2055" ht="15">
      <c r="D2055" s="71"/>
    </row>
    <row r="2056" ht="15">
      <c r="D2056" s="71"/>
    </row>
    <row r="2057" ht="15">
      <c r="D2057" s="71"/>
    </row>
    <row r="2058" ht="15">
      <c r="D2058" s="71"/>
    </row>
    <row r="2059" ht="15">
      <c r="D2059" s="71"/>
    </row>
    <row r="2060" ht="15">
      <c r="D2060" s="71"/>
    </row>
    <row r="2061" ht="15">
      <c r="D2061" s="71"/>
    </row>
    <row r="2062" ht="15">
      <c r="D2062" s="71"/>
    </row>
    <row r="2063" ht="15">
      <c r="D2063" s="71"/>
    </row>
    <row r="2064" ht="15">
      <c r="D2064" s="71"/>
    </row>
    <row r="2065" ht="15">
      <c r="D2065" s="71"/>
    </row>
    <row r="2066" ht="15">
      <c r="D2066" s="71"/>
    </row>
    <row r="2067" ht="15">
      <c r="D2067" s="71"/>
    </row>
    <row r="2068" ht="15">
      <c r="D2068" s="71"/>
    </row>
    <row r="2069" ht="15">
      <c r="D2069" s="71"/>
    </row>
    <row r="2070" ht="15">
      <c r="D2070" s="71"/>
    </row>
    <row r="2071" ht="15">
      <c r="D2071" s="71"/>
    </row>
    <row r="2072" ht="15">
      <c r="D2072" s="71"/>
    </row>
    <row r="2073" ht="15">
      <c r="D2073" s="71"/>
    </row>
    <row r="2074" ht="15">
      <c r="D2074" s="71"/>
    </row>
    <row r="2075" ht="15">
      <c r="D2075" s="71"/>
    </row>
    <row r="2076" ht="15">
      <c r="D2076" s="71"/>
    </row>
    <row r="2077" ht="15">
      <c r="D2077" s="71"/>
    </row>
    <row r="2078" ht="15">
      <c r="D2078" s="71"/>
    </row>
    <row r="2079" ht="15">
      <c r="D2079" s="71"/>
    </row>
    <row r="2080" ht="15">
      <c r="D2080" s="71"/>
    </row>
    <row r="2081" ht="15">
      <c r="D2081" s="71"/>
    </row>
    <row r="2082" ht="15">
      <c r="D2082" s="71"/>
    </row>
    <row r="2083" ht="15">
      <c r="D2083" s="71"/>
    </row>
    <row r="2084" ht="15">
      <c r="D2084" s="71"/>
    </row>
    <row r="2085" ht="15">
      <c r="D2085" s="71"/>
    </row>
    <row r="2086" ht="15">
      <c r="D2086" s="71"/>
    </row>
    <row r="2087" ht="15">
      <c r="D2087" s="71"/>
    </row>
    <row r="2088" ht="15">
      <c r="D2088" s="71"/>
    </row>
    <row r="2089" ht="15">
      <c r="D2089" s="71"/>
    </row>
    <row r="2090" ht="15">
      <c r="D2090" s="71"/>
    </row>
    <row r="2091" ht="15">
      <c r="D2091" s="71"/>
    </row>
    <row r="2092" ht="15">
      <c r="D2092" s="71"/>
    </row>
    <row r="2093" ht="15">
      <c r="D2093" s="71"/>
    </row>
    <row r="2094" ht="15">
      <c r="D2094" s="71"/>
    </row>
    <row r="2095" ht="15">
      <c r="D2095" s="71"/>
    </row>
    <row r="2096" ht="15">
      <c r="D2096" s="71"/>
    </row>
    <row r="2097" ht="15">
      <c r="D2097" s="71"/>
    </row>
    <row r="2098" ht="15">
      <c r="D2098" s="71"/>
    </row>
    <row r="2099" ht="15">
      <c r="D2099" s="71"/>
    </row>
    <row r="2100" ht="15">
      <c r="D2100" s="71"/>
    </row>
    <row r="2101" ht="15">
      <c r="D2101" s="71"/>
    </row>
    <row r="2102" ht="15">
      <c r="D2102" s="71"/>
    </row>
    <row r="2103" ht="15">
      <c r="D2103" s="71"/>
    </row>
    <row r="2104" ht="15">
      <c r="D2104" s="71"/>
    </row>
    <row r="2105" ht="15">
      <c r="D2105" s="71"/>
    </row>
    <row r="2106" ht="15">
      <c r="D2106" s="71"/>
    </row>
    <row r="2107" ht="15">
      <c r="D2107" s="71"/>
    </row>
    <row r="2108" ht="15">
      <c r="D2108" s="71"/>
    </row>
    <row r="2109" ht="15">
      <c r="D2109" s="71"/>
    </row>
    <row r="2110" ht="15">
      <c r="D2110" s="71"/>
    </row>
    <row r="2111" ht="15">
      <c r="D2111" s="71"/>
    </row>
    <row r="2112" ht="15">
      <c r="D2112" s="71"/>
    </row>
    <row r="2113" ht="15">
      <c r="D2113" s="71"/>
    </row>
    <row r="2114" ht="15">
      <c r="D2114" s="71"/>
    </row>
    <row r="2115" ht="15">
      <c r="D2115" s="71"/>
    </row>
    <row r="2116" ht="15">
      <c r="D2116" s="71"/>
    </row>
    <row r="2117" ht="15">
      <c r="D2117" s="71"/>
    </row>
    <row r="2118" ht="15">
      <c r="D2118" s="71"/>
    </row>
    <row r="2119" ht="15">
      <c r="D2119" s="71"/>
    </row>
    <row r="2120" ht="15">
      <c r="D2120" s="71"/>
    </row>
    <row r="2121" ht="15">
      <c r="D2121" s="71"/>
    </row>
    <row r="2122" ht="15">
      <c r="D2122" s="71"/>
    </row>
    <row r="2123" ht="15">
      <c r="D2123" s="71"/>
    </row>
    <row r="2124" ht="15">
      <c r="D2124" s="71"/>
    </row>
    <row r="2125" ht="15">
      <c r="D2125" s="71"/>
    </row>
    <row r="2126" ht="15">
      <c r="D2126" s="71"/>
    </row>
    <row r="2127" ht="15">
      <c r="D2127" s="71"/>
    </row>
    <row r="2128" ht="15">
      <c r="D2128" s="71"/>
    </row>
    <row r="2129" ht="15">
      <c r="D2129" s="71"/>
    </row>
    <row r="2130" ht="15">
      <c r="D2130" s="71"/>
    </row>
    <row r="2131" ht="15">
      <c r="D2131" s="71"/>
    </row>
    <row r="2132" ht="15">
      <c r="D2132" s="71"/>
    </row>
    <row r="2133" ht="15">
      <c r="D2133" s="71"/>
    </row>
    <row r="2134" ht="15">
      <c r="D2134" s="71"/>
    </row>
    <row r="2135" ht="15">
      <c r="D2135" s="71"/>
    </row>
    <row r="2136" ht="15">
      <c r="D2136" s="71"/>
    </row>
    <row r="2137" ht="15">
      <c r="D2137" s="71"/>
    </row>
    <row r="2138" ht="15">
      <c r="D2138" s="71"/>
    </row>
    <row r="2139" ht="15">
      <c r="D2139" s="71"/>
    </row>
    <row r="2140" ht="15">
      <c r="D2140" s="71"/>
    </row>
    <row r="2141" ht="15">
      <c r="D2141" s="71"/>
    </row>
    <row r="2142" ht="15">
      <c r="D2142" s="71"/>
    </row>
    <row r="2143" ht="15">
      <c r="D2143" s="71"/>
    </row>
    <row r="2144" ht="15">
      <c r="D2144" s="71"/>
    </row>
    <row r="2145" ht="15">
      <c r="D2145" s="71"/>
    </row>
    <row r="2146" ht="15">
      <c r="D2146" s="71"/>
    </row>
    <row r="2147" ht="15">
      <c r="D2147" s="71"/>
    </row>
    <row r="2148" ht="15">
      <c r="D2148" s="71"/>
    </row>
    <row r="2149" ht="15">
      <c r="D2149" s="71"/>
    </row>
    <row r="2150" ht="15">
      <c r="D2150" s="71"/>
    </row>
    <row r="2151" ht="15">
      <c r="D2151" s="71"/>
    </row>
    <row r="2152" ht="15">
      <c r="D2152" s="71"/>
    </row>
    <row r="2153" ht="15">
      <c r="D2153" s="71"/>
    </row>
    <row r="2154" ht="15">
      <c r="D2154" s="71"/>
    </row>
    <row r="2155" ht="15">
      <c r="D2155" s="71"/>
    </row>
    <row r="2156" ht="15">
      <c r="D2156" s="71"/>
    </row>
    <row r="2157" ht="15">
      <c r="D2157" s="71"/>
    </row>
    <row r="2158" ht="15">
      <c r="D2158" s="71"/>
    </row>
    <row r="2159" ht="15">
      <c r="D2159" s="71"/>
    </row>
    <row r="2160" ht="15">
      <c r="D2160" s="71"/>
    </row>
    <row r="2161" ht="15">
      <c r="D2161" s="71"/>
    </row>
    <row r="2162" ht="15">
      <c r="D2162" s="71"/>
    </row>
    <row r="2163" ht="15">
      <c r="D2163" s="71"/>
    </row>
    <row r="2164" ht="15">
      <c r="D2164" s="71"/>
    </row>
    <row r="2165" ht="15">
      <c r="D2165" s="71"/>
    </row>
    <row r="2166" ht="15">
      <c r="D2166" s="71"/>
    </row>
    <row r="2167" ht="15">
      <c r="D2167" s="71"/>
    </row>
    <row r="2168" ht="15">
      <c r="D2168" s="71"/>
    </row>
    <row r="2169" ht="15">
      <c r="D2169" s="71"/>
    </row>
    <row r="2170" ht="15">
      <c r="D2170" s="71"/>
    </row>
    <row r="2171" ht="15">
      <c r="D2171" s="71"/>
    </row>
    <row r="2172" ht="15">
      <c r="D2172" s="71"/>
    </row>
    <row r="2173" ht="15">
      <c r="D2173" s="71"/>
    </row>
    <row r="2174" ht="15">
      <c r="D2174" s="71"/>
    </row>
    <row r="2175" ht="15">
      <c r="D2175" s="71"/>
    </row>
    <row r="2176" ht="15">
      <c r="D2176" s="71"/>
    </row>
    <row r="2177" ht="15">
      <c r="D2177" s="71"/>
    </row>
    <row r="2178" ht="15">
      <c r="D2178" s="71"/>
    </row>
    <row r="2179" ht="15">
      <c r="D2179" s="71"/>
    </row>
    <row r="2180" ht="15">
      <c r="D2180" s="71"/>
    </row>
    <row r="2181" ht="15">
      <c r="D2181" s="71"/>
    </row>
    <row r="2182" ht="15">
      <c r="D2182" s="71"/>
    </row>
    <row r="2183" ht="15">
      <c r="D2183" s="71"/>
    </row>
    <row r="2184" ht="15">
      <c r="D2184" s="71"/>
    </row>
    <row r="2185" ht="15">
      <c r="D2185" s="71"/>
    </row>
    <row r="2186" ht="15">
      <c r="D2186" s="71"/>
    </row>
    <row r="2187" ht="15">
      <c r="D2187" s="71"/>
    </row>
    <row r="2188" ht="15">
      <c r="D2188" s="71"/>
    </row>
    <row r="2189" ht="15">
      <c r="D2189" s="71"/>
    </row>
    <row r="2190" ht="15">
      <c r="D2190" s="71"/>
    </row>
    <row r="2191" ht="15">
      <c r="D2191" s="71"/>
    </row>
    <row r="2192" ht="15">
      <c r="D2192" s="71"/>
    </row>
    <row r="2193" ht="15">
      <c r="D2193" s="71"/>
    </row>
    <row r="2194" ht="15">
      <c r="D2194" s="71"/>
    </row>
    <row r="2195" ht="15">
      <c r="D2195" s="71"/>
    </row>
    <row r="2196" ht="15">
      <c r="D2196" s="71"/>
    </row>
    <row r="2197" ht="15">
      <c r="D2197" s="71"/>
    </row>
    <row r="2198" ht="15">
      <c r="D2198" s="71"/>
    </row>
    <row r="2199" ht="15">
      <c r="D2199" s="71"/>
    </row>
    <row r="2200" ht="15">
      <c r="D2200" s="71"/>
    </row>
    <row r="2201" ht="15">
      <c r="D2201" s="71"/>
    </row>
    <row r="2202" ht="15">
      <c r="D2202" s="71"/>
    </row>
    <row r="2203" ht="15">
      <c r="D2203" s="71"/>
    </row>
    <row r="2204" ht="15">
      <c r="D2204" s="71"/>
    </row>
    <row r="2205" ht="15">
      <c r="D2205" s="71"/>
    </row>
    <row r="2206" ht="15">
      <c r="D2206" s="71"/>
    </row>
    <row r="2207" ht="15">
      <c r="D2207" s="71"/>
    </row>
    <row r="2208" ht="15">
      <c r="D2208" s="71"/>
    </row>
    <row r="2209" ht="15">
      <c r="D2209" s="71"/>
    </row>
    <row r="2210" ht="15">
      <c r="D2210" s="71"/>
    </row>
    <row r="2211" ht="15">
      <c r="D2211" s="71"/>
    </row>
    <row r="2212" ht="15">
      <c r="D2212" s="71"/>
    </row>
    <row r="2213" ht="15">
      <c r="D2213" s="71"/>
    </row>
    <row r="2214" ht="15">
      <c r="D2214" s="71"/>
    </row>
    <row r="2215" ht="15">
      <c r="D2215" s="71"/>
    </row>
    <row r="2216" ht="15">
      <c r="D2216" s="71"/>
    </row>
    <row r="2217" ht="15">
      <c r="D2217" s="71"/>
    </row>
    <row r="2218" ht="15">
      <c r="D2218" s="71"/>
    </row>
    <row r="2219" ht="15">
      <c r="D2219" s="71"/>
    </row>
    <row r="2220" ht="15">
      <c r="D2220" s="71"/>
    </row>
    <row r="2221" ht="15">
      <c r="D2221" s="71"/>
    </row>
    <row r="2222" ht="15">
      <c r="D2222" s="71"/>
    </row>
    <row r="2223" ht="15">
      <c r="D2223" s="71"/>
    </row>
    <row r="2224" ht="15">
      <c r="D2224" s="71"/>
    </row>
    <row r="2225" ht="15">
      <c r="D2225" s="71"/>
    </row>
    <row r="2226" ht="15">
      <c r="D2226" s="71"/>
    </row>
    <row r="2227" ht="15">
      <c r="D2227" s="71"/>
    </row>
    <row r="2228" ht="15">
      <c r="D2228" s="71"/>
    </row>
    <row r="2229" ht="15">
      <c r="D2229" s="71"/>
    </row>
    <row r="2230" ht="15">
      <c r="D2230" s="71"/>
    </row>
    <row r="2231" ht="15">
      <c r="D2231" s="71"/>
    </row>
    <row r="2232" ht="15">
      <c r="D2232" s="71"/>
    </row>
    <row r="2233" ht="15">
      <c r="D2233" s="71"/>
    </row>
    <row r="2234" ht="15">
      <c r="D2234" s="71"/>
    </row>
    <row r="2235" ht="15">
      <c r="D2235" s="71"/>
    </row>
    <row r="2236" ht="15">
      <c r="D2236" s="71"/>
    </row>
    <row r="2237" ht="15">
      <c r="D2237" s="71"/>
    </row>
    <row r="2238" ht="15">
      <c r="D2238" s="71"/>
    </row>
    <row r="2239" ht="15">
      <c r="D2239" s="71"/>
    </row>
    <row r="2240" ht="15">
      <c r="D2240" s="71"/>
    </row>
    <row r="2241" ht="15">
      <c r="D2241" s="71"/>
    </row>
    <row r="2242" ht="15">
      <c r="D2242" s="71"/>
    </row>
    <row r="2243" ht="15">
      <c r="D2243" s="71"/>
    </row>
    <row r="2244" ht="15">
      <c r="D2244" s="71"/>
    </row>
    <row r="2245" ht="15">
      <c r="D2245" s="71"/>
    </row>
    <row r="2246" ht="15">
      <c r="D2246" s="71"/>
    </row>
    <row r="2247" ht="15">
      <c r="D2247" s="71"/>
    </row>
    <row r="2248" ht="15">
      <c r="D2248" s="71"/>
    </row>
    <row r="2249" ht="15">
      <c r="D2249" s="71"/>
    </row>
    <row r="2250" ht="15">
      <c r="D2250" s="71"/>
    </row>
    <row r="2251" ht="15">
      <c r="D2251" s="71"/>
    </row>
    <row r="2252" ht="15">
      <c r="D2252" s="71"/>
    </row>
    <row r="2253" ht="15">
      <c r="D2253" s="71"/>
    </row>
    <row r="2254" ht="15">
      <c r="D2254" s="71"/>
    </row>
    <row r="2255" ht="15">
      <c r="D2255" s="71"/>
    </row>
    <row r="2256" ht="15">
      <c r="D2256" s="71"/>
    </row>
    <row r="2257" ht="15">
      <c r="D2257" s="71"/>
    </row>
    <row r="2258" ht="15">
      <c r="D2258" s="71"/>
    </row>
    <row r="2259" ht="15">
      <c r="D2259" s="71"/>
    </row>
    <row r="2260" ht="15">
      <c r="D2260" s="71"/>
    </row>
    <row r="2261" ht="15">
      <c r="D2261" s="71"/>
    </row>
    <row r="2262" ht="15">
      <c r="D2262" s="71"/>
    </row>
    <row r="2263" ht="15">
      <c r="D2263" s="71"/>
    </row>
    <row r="2264" ht="15">
      <c r="D2264" s="71"/>
    </row>
    <row r="2265" ht="15">
      <c r="D2265" s="71"/>
    </row>
    <row r="2266" ht="15">
      <c r="D2266" s="71"/>
    </row>
    <row r="2267" ht="15">
      <c r="D2267" s="71"/>
    </row>
    <row r="2268" ht="15">
      <c r="D2268" s="71"/>
    </row>
    <row r="2269" ht="15">
      <c r="D2269" s="71"/>
    </row>
    <row r="2270" ht="15">
      <c r="D2270" s="71"/>
    </row>
    <row r="2271" ht="15">
      <c r="D2271" s="71"/>
    </row>
    <row r="2272" ht="15">
      <c r="D2272" s="71"/>
    </row>
    <row r="2273" ht="15">
      <c r="D2273" s="71"/>
    </row>
    <row r="2274" ht="15">
      <c r="D2274" s="71"/>
    </row>
    <row r="2275" ht="15">
      <c r="D2275" s="71"/>
    </row>
    <row r="2276" ht="15">
      <c r="D2276" s="71"/>
    </row>
    <row r="2277" ht="15">
      <c r="D2277" s="71"/>
    </row>
    <row r="2278" ht="15">
      <c r="D2278" s="71"/>
    </row>
    <row r="2279" ht="15">
      <c r="D2279" s="71"/>
    </row>
    <row r="2280" ht="15">
      <c r="D2280" s="71"/>
    </row>
    <row r="2281" ht="15">
      <c r="D2281" s="71"/>
    </row>
    <row r="2282" ht="15">
      <c r="D2282" s="71"/>
    </row>
    <row r="2283" ht="15">
      <c r="D2283" s="71"/>
    </row>
    <row r="2284" ht="15">
      <c r="D2284" s="71"/>
    </row>
    <row r="2285" ht="15">
      <c r="D2285" s="71"/>
    </row>
    <row r="2286" ht="15">
      <c r="D2286" s="71"/>
    </row>
    <row r="2287" ht="15">
      <c r="D2287" s="71"/>
    </row>
    <row r="2288" ht="15">
      <c r="D2288" s="71"/>
    </row>
    <row r="2289" ht="15">
      <c r="D2289" s="71"/>
    </row>
    <row r="2290" ht="15">
      <c r="D2290" s="71"/>
    </row>
    <row r="2291" ht="15">
      <c r="D2291" s="71"/>
    </row>
    <row r="2292" ht="15">
      <c r="D2292" s="71"/>
    </row>
    <row r="2293" ht="15">
      <c r="D2293" s="71"/>
    </row>
    <row r="2294" ht="15">
      <c r="D2294" s="71"/>
    </row>
    <row r="2295" ht="15">
      <c r="D2295" s="71"/>
    </row>
    <row r="2296" ht="15">
      <c r="D2296" s="71"/>
    </row>
    <row r="2297" ht="15">
      <c r="D2297" s="71"/>
    </row>
    <row r="2298" ht="15">
      <c r="D2298" s="71"/>
    </row>
    <row r="2299" ht="15">
      <c r="D2299" s="71"/>
    </row>
    <row r="2300" ht="15">
      <c r="D2300" s="71"/>
    </row>
    <row r="2301" ht="15">
      <c r="D2301" s="71"/>
    </row>
    <row r="2302" ht="15">
      <c r="D2302" s="71"/>
    </row>
    <row r="2303" ht="15">
      <c r="D2303" s="71"/>
    </row>
    <row r="2304" ht="15">
      <c r="D2304" s="71"/>
    </row>
    <row r="2305" ht="15">
      <c r="D2305" s="71"/>
    </row>
    <row r="2306" ht="15">
      <c r="D2306" s="71"/>
    </row>
    <row r="2307" ht="15">
      <c r="D2307" s="71"/>
    </row>
    <row r="2308" ht="15">
      <c r="D2308" s="71"/>
    </row>
    <row r="2309" ht="15">
      <c r="D2309" s="71"/>
    </row>
    <row r="2310" ht="15">
      <c r="D2310" s="71"/>
    </row>
    <row r="2311" ht="15">
      <c r="D2311" s="71"/>
    </row>
    <row r="2312" ht="15">
      <c r="D2312" s="71"/>
    </row>
    <row r="2313" ht="15">
      <c r="D2313" s="71"/>
    </row>
    <row r="2314" ht="15">
      <c r="D2314" s="71"/>
    </row>
    <row r="2315" ht="15">
      <c r="D2315" s="71"/>
    </row>
    <row r="2316" ht="15">
      <c r="D2316" s="71"/>
    </row>
    <row r="2317" ht="15">
      <c r="D2317" s="71"/>
    </row>
    <row r="2318" ht="15">
      <c r="D2318" s="71"/>
    </row>
    <row r="2319" ht="15">
      <c r="D2319" s="71"/>
    </row>
    <row r="2320" ht="15">
      <c r="D2320" s="71"/>
    </row>
    <row r="2321" ht="15">
      <c r="D2321" s="71"/>
    </row>
    <row r="2322" ht="15">
      <c r="D2322" s="71"/>
    </row>
    <row r="2323" ht="15">
      <c r="D2323" s="71"/>
    </row>
    <row r="2324" ht="15">
      <c r="D2324" s="71"/>
    </row>
    <row r="2325" ht="15">
      <c r="D2325" s="71"/>
    </row>
    <row r="2326" ht="15">
      <c r="D2326" s="71"/>
    </row>
    <row r="2327" ht="15">
      <c r="D2327" s="71"/>
    </row>
    <row r="2328" ht="15">
      <c r="D2328" s="71"/>
    </row>
    <row r="2329" ht="15">
      <c r="D2329" s="71"/>
    </row>
    <row r="2330" ht="15">
      <c r="D2330" s="71"/>
    </row>
    <row r="2331" ht="15">
      <c r="D2331" s="71"/>
    </row>
    <row r="2332" ht="15">
      <c r="D2332" s="71"/>
    </row>
    <row r="2333" ht="15">
      <c r="D2333" s="71"/>
    </row>
    <row r="2334" ht="15">
      <c r="D2334" s="71"/>
    </row>
    <row r="2335" ht="15">
      <c r="D2335" s="71"/>
    </row>
    <row r="2336" ht="15">
      <c r="D2336" s="71"/>
    </row>
    <row r="2337" ht="15">
      <c r="D2337" s="71"/>
    </row>
    <row r="2338" ht="15">
      <c r="D2338" s="71"/>
    </row>
    <row r="2339" ht="15">
      <c r="D2339" s="71"/>
    </row>
    <row r="2340" ht="15">
      <c r="D2340" s="71"/>
    </row>
    <row r="2341" ht="15">
      <c r="D2341" s="71"/>
    </row>
    <row r="2342" ht="15">
      <c r="D2342" s="71"/>
    </row>
    <row r="2343" ht="15">
      <c r="D2343" s="71"/>
    </row>
    <row r="2344" ht="15">
      <c r="D2344" s="71"/>
    </row>
    <row r="2345" ht="15">
      <c r="D2345" s="71"/>
    </row>
    <row r="2346" ht="15">
      <c r="D2346" s="71"/>
    </row>
    <row r="2347" ht="15">
      <c r="D2347" s="71"/>
    </row>
    <row r="2348" ht="15">
      <c r="D2348" s="71"/>
    </row>
    <row r="2349" ht="15">
      <c r="D2349" s="71"/>
    </row>
    <row r="2350" ht="15">
      <c r="D2350" s="71"/>
    </row>
    <row r="2351" ht="15">
      <c r="D2351" s="71"/>
    </row>
    <row r="2352" ht="15">
      <c r="D2352" s="71"/>
    </row>
    <row r="2353" ht="15">
      <c r="D2353" s="71"/>
    </row>
    <row r="2354" ht="15">
      <c r="D2354" s="71"/>
    </row>
    <row r="2355" ht="15">
      <c r="D2355" s="71"/>
    </row>
    <row r="2356" ht="15">
      <c r="D2356" s="71"/>
    </row>
    <row r="2357" ht="15">
      <c r="D2357" s="71"/>
    </row>
    <row r="2358" ht="15">
      <c r="D2358" s="71"/>
    </row>
    <row r="2359" ht="15">
      <c r="D2359" s="71"/>
    </row>
    <row r="2360" ht="15">
      <c r="D2360" s="71"/>
    </row>
    <row r="2361" ht="15">
      <c r="D2361" s="71"/>
    </row>
    <row r="2362" ht="15">
      <c r="D2362" s="71"/>
    </row>
    <row r="2363" ht="15">
      <c r="D2363" s="71"/>
    </row>
    <row r="2364" ht="15">
      <c r="D2364" s="71"/>
    </row>
    <row r="2365" ht="15">
      <c r="D2365" s="71"/>
    </row>
    <row r="2366" ht="15">
      <c r="D2366" s="71"/>
    </row>
    <row r="2367" ht="15">
      <c r="D2367" s="71"/>
    </row>
    <row r="2368" ht="15">
      <c r="D2368" s="71"/>
    </row>
    <row r="2369" ht="15">
      <c r="D2369" s="71"/>
    </row>
    <row r="2370" ht="15">
      <c r="D2370" s="71"/>
    </row>
    <row r="2371" ht="15">
      <c r="D2371" s="71"/>
    </row>
    <row r="2372" ht="15">
      <c r="D2372" s="71"/>
    </row>
    <row r="2373" ht="15">
      <c r="D2373" s="71"/>
    </row>
    <row r="2374" ht="15">
      <c r="D2374" s="71"/>
    </row>
    <row r="2375" ht="15">
      <c r="D2375" s="71"/>
    </row>
    <row r="2376" ht="15">
      <c r="D2376" s="71"/>
    </row>
    <row r="2377" ht="15">
      <c r="D2377" s="71"/>
    </row>
    <row r="2378" ht="15">
      <c r="D2378" s="71"/>
    </row>
    <row r="2379" ht="15">
      <c r="D2379" s="71"/>
    </row>
    <row r="2380" ht="15">
      <c r="D2380" s="71"/>
    </row>
    <row r="2381" ht="15">
      <c r="D2381" s="71"/>
    </row>
    <row r="2382" ht="15">
      <c r="D2382" s="71"/>
    </row>
    <row r="2383" ht="15">
      <c r="D2383" s="71"/>
    </row>
    <row r="2384" ht="15">
      <c r="D2384" s="71"/>
    </row>
    <row r="2385" ht="15">
      <c r="D2385" s="71"/>
    </row>
    <row r="2386" ht="15">
      <c r="D2386" s="71"/>
    </row>
    <row r="2387" ht="15">
      <c r="D2387" s="71"/>
    </row>
    <row r="2388" ht="15">
      <c r="D2388" s="71"/>
    </row>
    <row r="2389" ht="15">
      <c r="D2389" s="71"/>
    </row>
    <row r="2390" ht="15">
      <c r="D2390" s="71"/>
    </row>
    <row r="2391" ht="15">
      <c r="D2391" s="71"/>
    </row>
    <row r="2392" ht="15">
      <c r="D2392" s="71"/>
    </row>
    <row r="2393" ht="15">
      <c r="D2393" s="71"/>
    </row>
    <row r="2394" ht="15">
      <c r="D2394" s="71"/>
    </row>
    <row r="2395" ht="15">
      <c r="D2395" s="71"/>
    </row>
    <row r="2396" ht="15">
      <c r="D2396" s="71"/>
    </row>
    <row r="2397" ht="15">
      <c r="D2397" s="71"/>
    </row>
    <row r="2398" ht="15">
      <c r="D2398" s="71"/>
    </row>
    <row r="2399" ht="15">
      <c r="D2399" s="71"/>
    </row>
    <row r="2400" ht="15">
      <c r="D2400" s="71"/>
    </row>
    <row r="2401" ht="15">
      <c r="D2401" s="71"/>
    </row>
    <row r="2402" ht="15">
      <c r="D2402" s="71"/>
    </row>
    <row r="2403" ht="15">
      <c r="D2403" s="71"/>
    </row>
    <row r="2404" ht="15">
      <c r="D2404" s="71"/>
    </row>
    <row r="2405" ht="15">
      <c r="D2405" s="71"/>
    </row>
    <row r="2406" ht="15">
      <c r="D2406" s="71"/>
    </row>
    <row r="2407" ht="15">
      <c r="D2407" s="71"/>
    </row>
    <row r="2408" ht="15">
      <c r="D2408" s="71"/>
    </row>
    <row r="2409" ht="15">
      <c r="D2409" s="71"/>
    </row>
    <row r="2410" ht="15">
      <c r="D2410" s="71"/>
    </row>
    <row r="2411" ht="15">
      <c r="D2411" s="71"/>
    </row>
    <row r="2412" ht="15">
      <c r="D2412" s="71"/>
    </row>
    <row r="2413" ht="15">
      <c r="D2413" s="71"/>
    </row>
    <row r="2414" ht="15">
      <c r="D2414" s="71"/>
    </row>
    <row r="2415" ht="15">
      <c r="D2415" s="71"/>
    </row>
    <row r="2416" ht="15">
      <c r="D2416" s="71"/>
    </row>
    <row r="2417" ht="15">
      <c r="D2417" s="71"/>
    </row>
    <row r="2418" ht="15">
      <c r="D2418" s="71"/>
    </row>
    <row r="2419" ht="15">
      <c r="D2419" s="71"/>
    </row>
    <row r="2420" ht="15">
      <c r="D2420" s="71"/>
    </row>
    <row r="2421" ht="15">
      <c r="D2421" s="71"/>
    </row>
    <row r="2422" ht="15">
      <c r="D2422" s="71"/>
    </row>
    <row r="2423" ht="15">
      <c r="D2423" s="71"/>
    </row>
    <row r="2424" ht="15">
      <c r="D2424" s="71"/>
    </row>
    <row r="2425" ht="15">
      <c r="D2425" s="71"/>
    </row>
    <row r="2426" ht="15">
      <c r="D2426" s="71"/>
    </row>
    <row r="2427" ht="15">
      <c r="D2427" s="71"/>
    </row>
    <row r="2428" ht="15">
      <c r="D2428" s="71"/>
    </row>
    <row r="2429" ht="15">
      <c r="D2429" s="71"/>
    </row>
    <row r="2430" ht="15">
      <c r="D2430" s="71"/>
    </row>
    <row r="2431" ht="15">
      <c r="D2431" s="71"/>
    </row>
    <row r="2432" ht="15">
      <c r="D2432" s="71"/>
    </row>
    <row r="2433" ht="15">
      <c r="D2433" s="71"/>
    </row>
    <row r="2434" ht="15">
      <c r="D2434" s="71"/>
    </row>
    <row r="2435" ht="15">
      <c r="D2435" s="71"/>
    </row>
    <row r="2436" ht="15">
      <c r="D2436" s="71"/>
    </row>
    <row r="2437" ht="15">
      <c r="D2437" s="71"/>
    </row>
    <row r="2438" ht="15">
      <c r="D2438" s="71"/>
    </row>
    <row r="2439" ht="15">
      <c r="D2439" s="71"/>
    </row>
    <row r="2440" ht="15">
      <c r="D2440" s="71"/>
    </row>
    <row r="2441" ht="15">
      <c r="D2441" s="71"/>
    </row>
    <row r="2442" ht="15">
      <c r="D2442" s="71"/>
    </row>
    <row r="2443" ht="15">
      <c r="D2443" s="71"/>
    </row>
    <row r="2444" ht="15">
      <c r="D2444" s="71"/>
    </row>
    <row r="2445" ht="15">
      <c r="D2445" s="71"/>
    </row>
    <row r="2446" ht="15">
      <c r="D2446" s="71"/>
    </row>
    <row r="2447" ht="15">
      <c r="D2447" s="71"/>
    </row>
    <row r="2448" ht="15">
      <c r="D2448" s="71"/>
    </row>
    <row r="2449" ht="15">
      <c r="D2449" s="71"/>
    </row>
    <row r="2450" ht="15">
      <c r="D2450" s="71"/>
    </row>
    <row r="2451" ht="15">
      <c r="D2451" s="71"/>
    </row>
    <row r="2452" ht="15">
      <c r="D2452" s="71"/>
    </row>
    <row r="2453" ht="15">
      <c r="D2453" s="71"/>
    </row>
    <row r="2454" ht="15">
      <c r="D2454" s="71"/>
    </row>
    <row r="2455" ht="15">
      <c r="D2455" s="71"/>
    </row>
    <row r="2456" ht="15">
      <c r="D2456" s="71"/>
    </row>
    <row r="2457" ht="15">
      <c r="D2457" s="71"/>
    </row>
    <row r="2458" ht="15">
      <c r="D2458" s="71"/>
    </row>
    <row r="2459" ht="15">
      <c r="D2459" s="71"/>
    </row>
    <row r="2460" ht="15">
      <c r="D2460" s="71"/>
    </row>
    <row r="2461" ht="15">
      <c r="D2461" s="71"/>
    </row>
    <row r="2462" ht="15">
      <c r="D2462" s="71"/>
    </row>
    <row r="2463" ht="15">
      <c r="D2463" s="71"/>
    </row>
    <row r="2464" ht="15">
      <c r="D2464" s="71"/>
    </row>
    <row r="2465" ht="15">
      <c r="D2465" s="71"/>
    </row>
    <row r="2466" ht="15">
      <c r="D2466" s="71"/>
    </row>
    <row r="2467" ht="15">
      <c r="D2467" s="71"/>
    </row>
    <row r="2468" ht="15">
      <c r="D2468" s="71"/>
    </row>
    <row r="2469" ht="15">
      <c r="D2469" s="71"/>
    </row>
    <row r="2470" ht="15">
      <c r="D2470" s="71"/>
    </row>
    <row r="2471" ht="15">
      <c r="D2471" s="71"/>
    </row>
    <row r="2472" ht="15">
      <c r="D2472" s="71"/>
    </row>
    <row r="2473" ht="15">
      <c r="D2473" s="71"/>
    </row>
    <row r="2474" ht="15">
      <c r="D2474" s="71"/>
    </row>
    <row r="2475" ht="15">
      <c r="D2475" s="71"/>
    </row>
    <row r="2476" ht="15">
      <c r="D2476" s="71"/>
    </row>
    <row r="2477" ht="15">
      <c r="D2477" s="71"/>
    </row>
    <row r="2478" ht="15">
      <c r="D2478" s="71"/>
    </row>
    <row r="2479" ht="15">
      <c r="D2479" s="71"/>
    </row>
    <row r="2480" ht="15">
      <c r="D2480" s="71"/>
    </row>
    <row r="2481" ht="15">
      <c r="D2481" s="71"/>
    </row>
    <row r="2482" ht="15">
      <c r="D2482" s="71"/>
    </row>
    <row r="2483" ht="15">
      <c r="D2483" s="71"/>
    </row>
    <row r="2484" ht="15">
      <c r="D2484" s="71"/>
    </row>
    <row r="2485" ht="15">
      <c r="D2485" s="71"/>
    </row>
    <row r="2486" ht="15">
      <c r="D2486" s="71"/>
    </row>
    <row r="2487" ht="15">
      <c r="D2487" s="71"/>
    </row>
    <row r="2488" ht="15">
      <c r="D2488" s="71"/>
    </row>
    <row r="2489" ht="15">
      <c r="D2489" s="71"/>
    </row>
    <row r="2490" ht="15">
      <c r="D2490" s="71"/>
    </row>
    <row r="2491" ht="15">
      <c r="D2491" s="71"/>
    </row>
    <row r="2492" ht="15">
      <c r="D2492" s="71"/>
    </row>
    <row r="2493" ht="15">
      <c r="D2493" s="71"/>
    </row>
    <row r="2494" ht="15">
      <c r="D2494" s="71"/>
    </row>
    <row r="2495" ht="15">
      <c r="D2495" s="71"/>
    </row>
    <row r="2496" ht="15">
      <c r="D2496" s="71"/>
    </row>
    <row r="2497" ht="15">
      <c r="D2497" s="71"/>
    </row>
    <row r="2498" ht="15">
      <c r="D2498" s="71"/>
    </row>
    <row r="2499" ht="15">
      <c r="D2499" s="71"/>
    </row>
    <row r="2500" ht="15">
      <c r="D2500" s="71"/>
    </row>
    <row r="2501" ht="15">
      <c r="D2501" s="71"/>
    </row>
    <row r="2502" ht="15">
      <c r="D2502" s="71"/>
    </row>
    <row r="2503" ht="15">
      <c r="D2503" s="71"/>
    </row>
    <row r="2504" ht="15">
      <c r="D2504" s="71"/>
    </row>
    <row r="2505" ht="15">
      <c r="D2505" s="71"/>
    </row>
    <row r="2506" ht="15">
      <c r="D2506" s="71"/>
    </row>
    <row r="2507" ht="15">
      <c r="D2507" s="71"/>
    </row>
    <row r="2508" ht="15">
      <c r="D2508" s="71"/>
    </row>
    <row r="2509" ht="15">
      <c r="D2509" s="71"/>
    </row>
    <row r="2510" ht="15">
      <c r="D2510" s="71"/>
    </row>
    <row r="2511" ht="15">
      <c r="D2511" s="71"/>
    </row>
    <row r="2512" ht="15">
      <c r="D2512" s="71"/>
    </row>
    <row r="2513" ht="15">
      <c r="D2513" s="71"/>
    </row>
    <row r="2514" ht="15">
      <c r="D2514" s="71"/>
    </row>
    <row r="2515" ht="15">
      <c r="D2515" s="71"/>
    </row>
    <row r="2516" ht="15">
      <c r="D2516" s="71"/>
    </row>
    <row r="2517" ht="15">
      <c r="D2517" s="71"/>
    </row>
    <row r="2518" ht="15">
      <c r="D2518" s="71"/>
    </row>
    <row r="2519" ht="15">
      <c r="D2519" s="71"/>
    </row>
    <row r="2520" ht="15">
      <c r="D2520" s="71"/>
    </row>
    <row r="2521" ht="15">
      <c r="D2521" s="71"/>
    </row>
    <row r="2522" ht="15">
      <c r="D2522" s="71"/>
    </row>
    <row r="2523" ht="15">
      <c r="D2523" s="71"/>
    </row>
    <row r="2524" ht="15">
      <c r="D2524" s="71"/>
    </row>
    <row r="2525" ht="15">
      <c r="D2525" s="71"/>
    </row>
    <row r="2526" ht="15">
      <c r="D2526" s="71"/>
    </row>
    <row r="2527" ht="15">
      <c r="D2527" s="71"/>
    </row>
    <row r="2528" ht="15">
      <c r="D2528" s="71"/>
    </row>
    <row r="2529" ht="15">
      <c r="D2529" s="71"/>
    </row>
    <row r="2530" ht="15">
      <c r="D2530" s="71"/>
    </row>
    <row r="2531" ht="15">
      <c r="D2531" s="71"/>
    </row>
    <row r="2532" ht="15">
      <c r="D2532" s="71"/>
    </row>
    <row r="2533" ht="15">
      <c r="D2533" s="71"/>
    </row>
    <row r="2534" ht="15">
      <c r="D2534" s="71"/>
    </row>
    <row r="2535" ht="15">
      <c r="D2535" s="71"/>
    </row>
    <row r="2536" ht="15">
      <c r="D2536" s="71"/>
    </row>
    <row r="2537" ht="15">
      <c r="D2537" s="71"/>
    </row>
    <row r="2538" ht="15">
      <c r="D2538" s="71"/>
    </row>
    <row r="2539" ht="15">
      <c r="D2539" s="71"/>
    </row>
    <row r="2540" ht="15">
      <c r="D2540" s="71"/>
    </row>
    <row r="2541" ht="15">
      <c r="D2541" s="71"/>
    </row>
    <row r="2542" ht="15">
      <c r="D2542" s="71"/>
    </row>
    <row r="2543" ht="15">
      <c r="D2543" s="71"/>
    </row>
    <row r="2544" ht="15">
      <c r="D2544" s="71"/>
    </row>
    <row r="2545" ht="15">
      <c r="D2545" s="71"/>
    </row>
    <row r="2546" ht="15">
      <c r="D2546" s="71"/>
    </row>
    <row r="2547" ht="15">
      <c r="D2547" s="71"/>
    </row>
    <row r="2548" ht="15">
      <c r="D2548" s="71"/>
    </row>
    <row r="2549" ht="15">
      <c r="D2549" s="71"/>
    </row>
    <row r="2550" ht="15">
      <c r="D2550" s="71"/>
    </row>
    <row r="2551" ht="15">
      <c r="D2551" s="71"/>
    </row>
    <row r="2552" ht="15">
      <c r="D2552" s="71"/>
    </row>
    <row r="2553" ht="15">
      <c r="D2553" s="71"/>
    </row>
    <row r="2554" ht="15">
      <c r="D2554" s="71"/>
    </row>
    <row r="2555" ht="15">
      <c r="D2555" s="71"/>
    </row>
    <row r="2556" ht="15">
      <c r="D2556" s="71"/>
    </row>
    <row r="2557" ht="15">
      <c r="D2557" s="71"/>
    </row>
    <row r="2558" ht="15">
      <c r="D2558" s="71"/>
    </row>
    <row r="2559" ht="15">
      <c r="D2559" s="71"/>
    </row>
    <row r="2560" ht="15">
      <c r="D2560" s="71"/>
    </row>
    <row r="2561" ht="15">
      <c r="D2561" s="71"/>
    </row>
    <row r="2562" ht="15">
      <c r="D2562" s="71"/>
    </row>
    <row r="2563" ht="15">
      <c r="D2563" s="71"/>
    </row>
    <row r="2564" ht="15">
      <c r="D2564" s="71"/>
    </row>
    <row r="2565" ht="15">
      <c r="D2565" s="71"/>
    </row>
    <row r="2566" ht="15">
      <c r="D2566" s="71"/>
    </row>
    <row r="2567" ht="15">
      <c r="D2567" s="71"/>
    </row>
    <row r="2568" ht="15">
      <c r="D2568" s="71"/>
    </row>
    <row r="2569" ht="15">
      <c r="D2569" s="71"/>
    </row>
    <row r="2570" ht="15">
      <c r="D2570" s="71"/>
    </row>
    <row r="2571" ht="15">
      <c r="D2571" s="71"/>
    </row>
    <row r="2572" ht="15">
      <c r="D2572" s="71"/>
    </row>
    <row r="2573" ht="15">
      <c r="D2573" s="71"/>
    </row>
    <row r="2574" ht="15">
      <c r="D2574" s="71"/>
    </row>
    <row r="2575" ht="15">
      <c r="D2575" s="71"/>
    </row>
    <row r="2576" ht="15">
      <c r="D2576" s="71"/>
    </row>
    <row r="2577" ht="15">
      <c r="D2577" s="71"/>
    </row>
    <row r="2578" ht="15">
      <c r="D2578" s="71"/>
    </row>
    <row r="2579" ht="15">
      <c r="D2579" s="71"/>
    </row>
    <row r="2580" ht="15">
      <c r="D2580" s="71"/>
    </row>
    <row r="2581" ht="15">
      <c r="D2581" s="71"/>
    </row>
    <row r="2582" ht="15">
      <c r="D2582" s="71"/>
    </row>
    <row r="2583" ht="15">
      <c r="D2583" s="71"/>
    </row>
    <row r="2584" ht="15">
      <c r="D2584" s="71"/>
    </row>
    <row r="2585" ht="15">
      <c r="D2585" s="71"/>
    </row>
    <row r="2586" ht="15">
      <c r="D2586" s="71"/>
    </row>
    <row r="2587" ht="15">
      <c r="D2587" s="71"/>
    </row>
    <row r="2588" ht="15">
      <c r="D2588" s="71"/>
    </row>
    <row r="2589" ht="15">
      <c r="D2589" s="71"/>
    </row>
    <row r="2590" ht="15">
      <c r="D2590" s="71"/>
    </row>
    <row r="2591" ht="15">
      <c r="D2591" s="71"/>
    </row>
    <row r="2592" ht="15">
      <c r="D2592" s="71"/>
    </row>
    <row r="2593" ht="15">
      <c r="D2593" s="71"/>
    </row>
    <row r="2594" ht="15">
      <c r="D2594" s="71"/>
    </row>
    <row r="2595" ht="15">
      <c r="D2595" s="71"/>
    </row>
    <row r="2596" ht="15">
      <c r="D2596" s="71"/>
    </row>
    <row r="2597" ht="15">
      <c r="D2597" s="71"/>
    </row>
    <row r="2598" ht="15">
      <c r="D2598" s="71"/>
    </row>
    <row r="2599" ht="15">
      <c r="D2599" s="71"/>
    </row>
    <row r="2600" ht="15">
      <c r="D2600" s="71"/>
    </row>
    <row r="2601" ht="15">
      <c r="D2601" s="71"/>
    </row>
    <row r="2602" ht="15">
      <c r="D2602" s="71"/>
    </row>
    <row r="2603" ht="15">
      <c r="D2603" s="71"/>
    </row>
    <row r="2604" ht="15">
      <c r="D2604" s="71"/>
    </row>
    <row r="2605" ht="15">
      <c r="D2605" s="71"/>
    </row>
    <row r="2606" ht="15">
      <c r="D2606" s="71"/>
    </row>
    <row r="2607" ht="15">
      <c r="D2607" s="71"/>
    </row>
    <row r="2608" ht="15">
      <c r="D2608" s="71"/>
    </row>
    <row r="2609" ht="15">
      <c r="D2609" s="71"/>
    </row>
    <row r="2610" ht="15">
      <c r="D2610" s="71"/>
    </row>
    <row r="2611" ht="15">
      <c r="D2611" s="71"/>
    </row>
    <row r="2612" ht="15">
      <c r="D2612" s="71"/>
    </row>
    <row r="2613" ht="15">
      <c r="D2613" s="71"/>
    </row>
    <row r="2614" ht="15">
      <c r="D2614" s="71"/>
    </row>
    <row r="2615" ht="15">
      <c r="D2615" s="71"/>
    </row>
    <row r="2616" ht="15">
      <c r="D2616" s="71"/>
    </row>
    <row r="2617" ht="15">
      <c r="D2617" s="71"/>
    </row>
    <row r="2618" ht="15">
      <c r="D2618" s="71"/>
    </row>
    <row r="2619" ht="15">
      <c r="D2619" s="71"/>
    </row>
    <row r="2620" ht="15">
      <c r="D2620" s="71"/>
    </row>
    <row r="2621" ht="15">
      <c r="D2621" s="71"/>
    </row>
    <row r="2622" ht="15">
      <c r="D2622" s="71"/>
    </row>
    <row r="2623" ht="15">
      <c r="D2623" s="71"/>
    </row>
    <row r="2624" ht="15">
      <c r="D2624" s="71"/>
    </row>
    <row r="2625" ht="15">
      <c r="D2625" s="71"/>
    </row>
    <row r="2626" ht="15">
      <c r="D2626" s="71"/>
    </row>
    <row r="2627" ht="15">
      <c r="D2627" s="71"/>
    </row>
    <row r="2628" ht="15">
      <c r="D2628" s="71"/>
    </row>
    <row r="2629" ht="15">
      <c r="D2629" s="71"/>
    </row>
    <row r="2630" ht="15">
      <c r="D2630" s="71"/>
    </row>
    <row r="2631" ht="15">
      <c r="D2631" s="71"/>
    </row>
    <row r="2632" ht="15">
      <c r="D2632" s="71"/>
    </row>
    <row r="2633" ht="15">
      <c r="D2633" s="71"/>
    </row>
    <row r="2634" ht="15">
      <c r="D2634" s="71"/>
    </row>
    <row r="2635" ht="15">
      <c r="D2635" s="71"/>
    </row>
    <row r="2636" ht="15">
      <c r="D2636" s="71"/>
    </row>
    <row r="2637" ht="15">
      <c r="D2637" s="71"/>
    </row>
    <row r="2638" ht="15">
      <c r="D2638" s="71"/>
    </row>
    <row r="2639" ht="15">
      <c r="D2639" s="71"/>
    </row>
    <row r="2640" ht="15">
      <c r="D2640" s="71"/>
    </row>
    <row r="2641" ht="15">
      <c r="D2641" s="71"/>
    </row>
    <row r="2642" ht="15">
      <c r="D2642" s="71"/>
    </row>
    <row r="2643" ht="15">
      <c r="D2643" s="71"/>
    </row>
    <row r="2644" ht="15">
      <c r="D2644" s="71"/>
    </row>
    <row r="2645" ht="15">
      <c r="D2645" s="71"/>
    </row>
    <row r="2646" ht="15">
      <c r="D2646" s="71"/>
    </row>
    <row r="2647" ht="15">
      <c r="D2647" s="71"/>
    </row>
    <row r="2648" ht="15">
      <c r="D2648" s="71"/>
    </row>
    <row r="2649" ht="15">
      <c r="D2649" s="71"/>
    </row>
    <row r="2650" ht="15">
      <c r="D2650" s="71"/>
    </row>
    <row r="2651" ht="15">
      <c r="D2651" s="71"/>
    </row>
    <row r="2652" ht="15">
      <c r="D2652" s="71"/>
    </row>
    <row r="2653" ht="15">
      <c r="D2653" s="71"/>
    </row>
    <row r="2654" ht="15">
      <c r="D2654" s="71"/>
    </row>
    <row r="2655" ht="15">
      <c r="D2655" s="71"/>
    </row>
    <row r="2656" ht="15">
      <c r="D2656" s="71"/>
    </row>
    <row r="2657" ht="15">
      <c r="D2657" s="71"/>
    </row>
    <row r="2658" ht="15">
      <c r="D2658" s="71"/>
    </row>
    <row r="2659" ht="15">
      <c r="D2659" s="71"/>
    </row>
    <row r="2660" ht="15">
      <c r="D2660" s="71"/>
    </row>
    <row r="2661" ht="15">
      <c r="D2661" s="71"/>
    </row>
    <row r="2662" ht="15">
      <c r="D2662" s="71"/>
    </row>
    <row r="2663" ht="15">
      <c r="D2663" s="71"/>
    </row>
    <row r="2664" ht="15">
      <c r="D2664" s="71"/>
    </row>
    <row r="2665" ht="15">
      <c r="D2665" s="71"/>
    </row>
    <row r="2666" ht="15">
      <c r="D2666" s="71"/>
    </row>
    <row r="2667" ht="15">
      <c r="D2667" s="71"/>
    </row>
    <row r="2668" ht="15">
      <c r="D2668" s="71"/>
    </row>
    <row r="2669" ht="15">
      <c r="D2669" s="71"/>
    </row>
    <row r="2670" ht="15">
      <c r="D2670" s="71"/>
    </row>
    <row r="2671" ht="15">
      <c r="D2671" s="71"/>
    </row>
    <row r="2672" ht="15">
      <c r="D2672" s="71"/>
    </row>
    <row r="2673" ht="15">
      <c r="D2673" s="71"/>
    </row>
    <row r="2674" ht="15">
      <c r="D2674" s="71"/>
    </row>
    <row r="2675" ht="15">
      <c r="D2675" s="71"/>
    </row>
    <row r="2676" ht="15">
      <c r="D2676" s="71"/>
    </row>
    <row r="2677" ht="15">
      <c r="D2677" s="71"/>
    </row>
    <row r="2678" ht="15">
      <c r="D2678" s="71"/>
    </row>
    <row r="2679" ht="15">
      <c r="D2679" s="71"/>
    </row>
    <row r="2680" ht="15">
      <c r="D2680" s="71"/>
    </row>
    <row r="2681" ht="15">
      <c r="D2681" s="71"/>
    </row>
    <row r="2682" ht="15">
      <c r="D2682" s="71"/>
    </row>
    <row r="2683" ht="15">
      <c r="D2683" s="71"/>
    </row>
    <row r="2684" ht="15">
      <c r="D2684" s="71"/>
    </row>
    <row r="2685" ht="15">
      <c r="D2685" s="71"/>
    </row>
    <row r="2686" ht="15">
      <c r="D2686" s="71"/>
    </row>
    <row r="2687" ht="15">
      <c r="D2687" s="71"/>
    </row>
    <row r="2688" ht="15">
      <c r="D2688" s="71"/>
    </row>
    <row r="2689" ht="15">
      <c r="D2689" s="71"/>
    </row>
    <row r="2690" ht="15">
      <c r="D2690" s="71"/>
    </row>
    <row r="2691" ht="15">
      <c r="D2691" s="71"/>
    </row>
    <row r="2692" ht="15">
      <c r="D2692" s="71"/>
    </row>
    <row r="2693" ht="15">
      <c r="D2693" s="71"/>
    </row>
    <row r="2694" ht="15">
      <c r="D2694" s="71"/>
    </row>
    <row r="2695" ht="15">
      <c r="D2695" s="71"/>
    </row>
    <row r="2696" ht="15">
      <c r="D2696" s="71"/>
    </row>
    <row r="2697" ht="15">
      <c r="D2697" s="71"/>
    </row>
    <row r="2698" ht="15">
      <c r="D2698" s="71"/>
    </row>
    <row r="2699" ht="15">
      <c r="D2699" s="71"/>
    </row>
    <row r="2700" ht="15">
      <c r="D2700" s="71"/>
    </row>
    <row r="2701" ht="15">
      <c r="D2701" s="71"/>
    </row>
    <row r="2702" ht="15">
      <c r="D2702" s="71"/>
    </row>
    <row r="2703" ht="15">
      <c r="D2703" s="71"/>
    </row>
    <row r="2704" ht="15">
      <c r="D2704" s="71"/>
    </row>
    <row r="2705" ht="15">
      <c r="D2705" s="71"/>
    </row>
    <row r="2706" ht="15">
      <c r="D2706" s="71"/>
    </row>
    <row r="2707" ht="15">
      <c r="D2707" s="71"/>
    </row>
    <row r="2708" ht="15">
      <c r="D2708" s="71"/>
    </row>
    <row r="2709" ht="15">
      <c r="D2709" s="71"/>
    </row>
    <row r="2710" ht="15">
      <c r="D2710" s="71"/>
    </row>
    <row r="2711" ht="15">
      <c r="D2711" s="71"/>
    </row>
    <row r="2712" ht="15">
      <c r="D2712" s="71"/>
    </row>
    <row r="2713" ht="15">
      <c r="D2713" s="71"/>
    </row>
    <row r="2714" ht="15">
      <c r="D2714" s="71"/>
    </row>
    <row r="2715" ht="15">
      <c r="D2715" s="71"/>
    </row>
    <row r="2716" ht="15">
      <c r="D2716" s="71"/>
    </row>
    <row r="2717" ht="15">
      <c r="D2717" s="71"/>
    </row>
    <row r="2718" ht="15">
      <c r="D2718" s="71"/>
    </row>
    <row r="2719" ht="15">
      <c r="D2719" s="71"/>
    </row>
    <row r="2720" ht="15">
      <c r="D2720" s="71"/>
    </row>
    <row r="2721" ht="15">
      <c r="D2721" s="71"/>
    </row>
    <row r="2722" ht="15">
      <c r="D2722" s="71"/>
    </row>
    <row r="2723" ht="15">
      <c r="D2723" s="71"/>
    </row>
    <row r="2724" ht="15">
      <c r="D2724" s="71"/>
    </row>
    <row r="2725" ht="15">
      <c r="D2725" s="71"/>
    </row>
    <row r="2726" ht="15">
      <c r="D2726" s="71"/>
    </row>
    <row r="2727" ht="15">
      <c r="D2727" s="71"/>
    </row>
    <row r="2728" ht="15">
      <c r="D2728" s="71"/>
    </row>
    <row r="2729" ht="15">
      <c r="D2729" s="71"/>
    </row>
    <row r="2730" ht="15">
      <c r="D2730" s="71"/>
    </row>
    <row r="2731" ht="15">
      <c r="D2731" s="71"/>
    </row>
    <row r="2732" ht="15">
      <c r="D2732" s="71"/>
    </row>
    <row r="2733" ht="15">
      <c r="D2733" s="71"/>
    </row>
    <row r="2734" ht="15">
      <c r="D2734" s="71"/>
    </row>
    <row r="2735" ht="15">
      <c r="D2735" s="71"/>
    </row>
    <row r="2736" ht="15">
      <c r="D2736" s="71"/>
    </row>
    <row r="2737" ht="15">
      <c r="D2737" s="71"/>
    </row>
    <row r="2738" ht="15">
      <c r="D2738" s="71"/>
    </row>
    <row r="2739" ht="15">
      <c r="D2739" s="71"/>
    </row>
    <row r="2740" ht="15">
      <c r="D2740" s="71"/>
    </row>
    <row r="2741" ht="15">
      <c r="D2741" s="71"/>
    </row>
    <row r="2742" ht="15">
      <c r="D2742" s="71"/>
    </row>
    <row r="2743" ht="15">
      <c r="D2743" s="71"/>
    </row>
    <row r="2744" ht="15">
      <c r="D2744" s="71"/>
    </row>
    <row r="2745" ht="15">
      <c r="D2745" s="71"/>
    </row>
    <row r="2746" ht="15">
      <c r="D2746" s="71"/>
    </row>
    <row r="2747" ht="15">
      <c r="D2747" s="71"/>
    </row>
    <row r="2748" ht="15">
      <c r="D2748" s="71"/>
    </row>
    <row r="2749" ht="15">
      <c r="D2749" s="71"/>
    </row>
    <row r="2750" ht="15">
      <c r="D2750" s="71"/>
    </row>
    <row r="2751" ht="15">
      <c r="D2751" s="71"/>
    </row>
    <row r="2752" ht="15">
      <c r="D2752" s="71"/>
    </row>
    <row r="2753" ht="15">
      <c r="D2753" s="71"/>
    </row>
    <row r="2754" ht="15">
      <c r="D2754" s="71"/>
    </row>
    <row r="2755" ht="15">
      <c r="D2755" s="71"/>
    </row>
    <row r="2756" ht="15">
      <c r="D2756" s="71"/>
    </row>
    <row r="2757" ht="15">
      <c r="D2757" s="71"/>
    </row>
    <row r="2758" ht="15">
      <c r="D2758" s="71"/>
    </row>
    <row r="2759" ht="15">
      <c r="D2759" s="71"/>
    </row>
    <row r="2760" ht="15">
      <c r="D2760" s="71"/>
    </row>
    <row r="2761" ht="15">
      <c r="D2761" s="71"/>
    </row>
    <row r="2762" ht="15">
      <c r="D2762" s="71"/>
    </row>
    <row r="2763" ht="15">
      <c r="D2763" s="71"/>
    </row>
    <row r="2764" ht="15">
      <c r="D2764" s="71"/>
    </row>
    <row r="2765" ht="15">
      <c r="D2765" s="71"/>
    </row>
    <row r="2766" ht="15">
      <c r="D2766" s="71"/>
    </row>
    <row r="2767" ht="15">
      <c r="D2767" s="71"/>
    </row>
    <row r="2768" ht="15">
      <c r="D2768" s="71"/>
    </row>
    <row r="2769" ht="15">
      <c r="D2769" s="71"/>
    </row>
    <row r="2770" ht="15">
      <c r="D2770" s="71"/>
    </row>
    <row r="2771" ht="15">
      <c r="D2771" s="71"/>
    </row>
    <row r="2772" ht="15">
      <c r="D2772" s="71"/>
    </row>
    <row r="2773" ht="15">
      <c r="D2773" s="71"/>
    </row>
    <row r="2774" ht="15">
      <c r="D2774" s="71"/>
    </row>
    <row r="2775" ht="15">
      <c r="D2775" s="71"/>
    </row>
    <row r="2776" ht="15">
      <c r="D2776" s="71"/>
    </row>
    <row r="2777" ht="15">
      <c r="D2777" s="71"/>
    </row>
    <row r="2778" ht="15">
      <c r="D2778" s="71"/>
    </row>
    <row r="2779" ht="15">
      <c r="D2779" s="71"/>
    </row>
    <row r="2780" ht="15">
      <c r="D2780" s="71"/>
    </row>
    <row r="2781" ht="15">
      <c r="D2781" s="71"/>
    </row>
    <row r="2782" ht="15">
      <c r="D2782" s="71"/>
    </row>
    <row r="2783" ht="15">
      <c r="D2783" s="71"/>
    </row>
    <row r="2784" ht="15">
      <c r="D2784" s="71"/>
    </row>
    <row r="2785" ht="15">
      <c r="D2785" s="71"/>
    </row>
    <row r="2786" ht="15">
      <c r="D2786" s="71"/>
    </row>
    <row r="2787" ht="15">
      <c r="D2787" s="71"/>
    </row>
    <row r="2788" ht="15">
      <c r="D2788" s="71"/>
    </row>
    <row r="2789" ht="15">
      <c r="D2789" s="71"/>
    </row>
    <row r="2790" ht="15">
      <c r="D2790" s="71"/>
    </row>
    <row r="2791" ht="15">
      <c r="D2791" s="71"/>
    </row>
    <row r="2792" ht="15">
      <c r="D2792" s="71"/>
    </row>
    <row r="2793" ht="15">
      <c r="D2793" s="71"/>
    </row>
    <row r="2794" ht="15">
      <c r="D2794" s="71"/>
    </row>
    <row r="2795" ht="15">
      <c r="D2795" s="71"/>
    </row>
    <row r="2796" ht="15">
      <c r="D2796" s="71"/>
    </row>
    <row r="2797" ht="15">
      <c r="D2797" s="71"/>
    </row>
    <row r="2798" ht="15">
      <c r="D2798" s="71"/>
    </row>
    <row r="2799" ht="15">
      <c r="D2799" s="71"/>
    </row>
    <row r="2800" ht="15">
      <c r="D2800" s="71"/>
    </row>
    <row r="2801" ht="15">
      <c r="D2801" s="71"/>
    </row>
    <row r="2802" ht="15">
      <c r="D2802" s="71"/>
    </row>
    <row r="2803" ht="15">
      <c r="D2803" s="71"/>
    </row>
    <row r="2804" ht="15">
      <c r="D2804" s="71"/>
    </row>
    <row r="2805" ht="15">
      <c r="D2805" s="71"/>
    </row>
    <row r="2806" ht="15">
      <c r="D2806" s="71"/>
    </row>
    <row r="2807" ht="15">
      <c r="D2807" s="71"/>
    </row>
    <row r="2808" ht="15">
      <c r="D2808" s="71"/>
    </row>
    <row r="2809" ht="15">
      <c r="D2809" s="71"/>
    </row>
    <row r="2810" ht="15">
      <c r="D2810" s="71"/>
    </row>
    <row r="2811" ht="15">
      <c r="D2811" s="71"/>
    </row>
    <row r="2812" ht="15">
      <c r="D2812" s="71"/>
    </row>
    <row r="2813" ht="15">
      <c r="D2813" s="71"/>
    </row>
    <row r="2814" ht="15">
      <c r="D2814" s="71"/>
    </row>
    <row r="2815" ht="15">
      <c r="D2815" s="71"/>
    </row>
    <row r="2816" ht="15">
      <c r="D2816" s="71"/>
    </row>
    <row r="2817" ht="15">
      <c r="D2817" s="71"/>
    </row>
    <row r="2818" ht="15">
      <c r="D2818" s="71"/>
    </row>
    <row r="2819" ht="15">
      <c r="D2819" s="71"/>
    </row>
    <row r="2820" ht="15">
      <c r="D2820" s="71"/>
    </row>
    <row r="2821" ht="15">
      <c r="D2821" s="71"/>
    </row>
    <row r="2822" ht="15">
      <c r="D2822" s="71"/>
    </row>
    <row r="2823" ht="15">
      <c r="D2823" s="71"/>
    </row>
    <row r="2824" ht="15">
      <c r="D2824" s="71"/>
    </row>
    <row r="2825" ht="15">
      <c r="D2825" s="71"/>
    </row>
    <row r="2826" ht="15">
      <c r="D2826" s="71"/>
    </row>
    <row r="2827" ht="15">
      <c r="D2827" s="71"/>
    </row>
    <row r="2828" ht="15">
      <c r="D2828" s="71"/>
    </row>
    <row r="2829" ht="15">
      <c r="D2829" s="71"/>
    </row>
    <row r="2830" ht="15">
      <c r="D2830" s="71"/>
    </row>
    <row r="2831" ht="15">
      <c r="D2831" s="71"/>
    </row>
    <row r="2832" ht="15">
      <c r="D2832" s="71"/>
    </row>
    <row r="2833" ht="15">
      <c r="D2833" s="71"/>
    </row>
    <row r="2834" ht="15">
      <c r="D2834" s="71"/>
    </row>
    <row r="2835" ht="15">
      <c r="D2835" s="71"/>
    </row>
    <row r="2836" ht="15">
      <c r="D2836" s="71"/>
    </row>
    <row r="2837" ht="15">
      <c r="D2837" s="71"/>
    </row>
    <row r="2838" ht="15">
      <c r="D2838" s="71"/>
    </row>
    <row r="2839" ht="15">
      <c r="D2839" s="71"/>
    </row>
    <row r="2840" ht="15">
      <c r="D2840" s="71"/>
    </row>
    <row r="2841" ht="15">
      <c r="D2841" s="71"/>
    </row>
    <row r="2842" ht="15">
      <c r="D2842" s="71"/>
    </row>
    <row r="2843" ht="15">
      <c r="D2843" s="71"/>
    </row>
    <row r="2844" ht="15">
      <c r="D2844" s="71"/>
    </row>
    <row r="2845" ht="15">
      <c r="D2845" s="71"/>
    </row>
    <row r="2846" ht="15">
      <c r="D2846" s="71"/>
    </row>
    <row r="2847" ht="15">
      <c r="D2847" s="71"/>
    </row>
    <row r="2848" ht="15">
      <c r="D2848" s="71"/>
    </row>
    <row r="2849" ht="15">
      <c r="D2849" s="71"/>
    </row>
    <row r="2850" ht="15">
      <c r="D2850" s="71"/>
    </row>
    <row r="2851" ht="15">
      <c r="D2851" s="71"/>
    </row>
    <row r="2852" ht="15">
      <c r="D2852" s="71"/>
    </row>
    <row r="2853" ht="15">
      <c r="D2853" s="71"/>
    </row>
    <row r="2854" ht="15">
      <c r="D2854" s="71"/>
    </row>
    <row r="2855" ht="15">
      <c r="D2855" s="71"/>
    </row>
    <row r="2856" ht="15">
      <c r="D2856" s="71"/>
    </row>
    <row r="2857" ht="15">
      <c r="D2857" s="71"/>
    </row>
    <row r="2858" ht="15">
      <c r="D2858" s="71"/>
    </row>
    <row r="2859" ht="15">
      <c r="D2859" s="71"/>
    </row>
    <row r="2860" ht="15">
      <c r="D2860" s="71"/>
    </row>
    <row r="2861" ht="15">
      <c r="D2861" s="71"/>
    </row>
    <row r="2862" ht="15">
      <c r="D2862" s="71"/>
    </row>
    <row r="2863" ht="15">
      <c r="D2863" s="71"/>
    </row>
    <row r="2864" ht="15">
      <c r="D2864" s="71"/>
    </row>
    <row r="2865" ht="15">
      <c r="D2865" s="71"/>
    </row>
    <row r="2866" ht="15">
      <c r="D2866" s="71"/>
    </row>
    <row r="2867" ht="15">
      <c r="D2867" s="71"/>
    </row>
    <row r="2868" ht="15">
      <c r="D2868" s="71"/>
    </row>
    <row r="2869" ht="15">
      <c r="D2869" s="71"/>
    </row>
    <row r="2870" ht="15">
      <c r="D2870" s="71"/>
    </row>
    <row r="2871" ht="15">
      <c r="D2871" s="71"/>
    </row>
    <row r="2872" ht="15">
      <c r="D2872" s="71"/>
    </row>
    <row r="2873" ht="15">
      <c r="D2873" s="71"/>
    </row>
    <row r="2874" ht="15">
      <c r="D2874" s="71"/>
    </row>
    <row r="2875" ht="15">
      <c r="D2875" s="71"/>
    </row>
    <row r="2876" ht="15">
      <c r="D2876" s="71"/>
    </row>
    <row r="2877" ht="15">
      <c r="D2877" s="71"/>
    </row>
    <row r="2878" ht="15">
      <c r="D2878" s="71"/>
    </row>
    <row r="2879" ht="15">
      <c r="D2879" s="71"/>
    </row>
    <row r="2880" ht="15">
      <c r="D2880" s="71"/>
    </row>
    <row r="2881" ht="15">
      <c r="D2881" s="71"/>
    </row>
    <row r="2882" ht="15">
      <c r="D2882" s="71"/>
    </row>
    <row r="2883" ht="15">
      <c r="D2883" s="71"/>
    </row>
    <row r="2884" ht="15">
      <c r="D2884" s="71"/>
    </row>
    <row r="2885" ht="15">
      <c r="D2885" s="71"/>
    </row>
    <row r="2886" ht="15">
      <c r="D2886" s="71"/>
    </row>
    <row r="2887" ht="15">
      <c r="D2887" s="71"/>
    </row>
    <row r="2888" ht="15">
      <c r="D2888" s="71"/>
    </row>
    <row r="2889" ht="15">
      <c r="D2889" s="71"/>
    </row>
    <row r="2890" ht="15">
      <c r="D2890" s="71"/>
    </row>
    <row r="2891" ht="15">
      <c r="D2891" s="71"/>
    </row>
    <row r="2892" ht="15">
      <c r="D2892" s="71"/>
    </row>
    <row r="2893" ht="15">
      <c r="D2893" s="71"/>
    </row>
    <row r="2894" ht="15">
      <c r="D2894" s="71"/>
    </row>
    <row r="2895" ht="15">
      <c r="D2895" s="71"/>
    </row>
    <row r="2896" ht="15">
      <c r="D2896" s="71"/>
    </row>
    <row r="2897" ht="15">
      <c r="D2897" s="71"/>
    </row>
    <row r="2898" ht="15">
      <c r="D2898" s="71"/>
    </row>
    <row r="2899" ht="15">
      <c r="D2899" s="71"/>
    </row>
    <row r="2900" ht="15">
      <c r="D2900" s="71"/>
    </row>
    <row r="2901" ht="15">
      <c r="D2901" s="71"/>
    </row>
    <row r="2902" ht="15">
      <c r="D2902" s="71"/>
    </row>
    <row r="2903" ht="15">
      <c r="D2903" s="71"/>
    </row>
    <row r="2904" ht="15">
      <c r="D2904" s="71"/>
    </row>
    <row r="2905" ht="15">
      <c r="D2905" s="71"/>
    </row>
    <row r="2906" ht="15">
      <c r="D2906" s="71"/>
    </row>
    <row r="2907" ht="15">
      <c r="D2907" s="71"/>
    </row>
    <row r="2908" ht="15">
      <c r="D2908" s="71"/>
    </row>
    <row r="2909" ht="15">
      <c r="D2909" s="71"/>
    </row>
    <row r="2910" ht="15">
      <c r="D2910" s="71"/>
    </row>
    <row r="2911" ht="15">
      <c r="D2911" s="71"/>
    </row>
    <row r="2912" ht="15">
      <c r="D2912" s="71"/>
    </row>
    <row r="2913" ht="15">
      <c r="D2913" s="71"/>
    </row>
    <row r="2914" ht="15">
      <c r="D2914" s="71"/>
    </row>
    <row r="2915" ht="15">
      <c r="D2915" s="71"/>
    </row>
    <row r="2916" ht="15">
      <c r="D2916" s="71"/>
    </row>
    <row r="2917" ht="15">
      <c r="D2917" s="71"/>
    </row>
    <row r="2918" ht="15">
      <c r="D2918" s="71"/>
    </row>
    <row r="2919" ht="15">
      <c r="D2919" s="71"/>
    </row>
    <row r="2920" ht="15">
      <c r="D2920" s="71"/>
    </row>
    <row r="2921" ht="15">
      <c r="D2921" s="71"/>
    </row>
    <row r="2922" ht="15">
      <c r="D2922" s="71"/>
    </row>
    <row r="2923" ht="15">
      <c r="D2923" s="71"/>
    </row>
    <row r="2924" ht="15">
      <c r="D2924" s="71"/>
    </row>
    <row r="2925" ht="15">
      <c r="D2925" s="71"/>
    </row>
    <row r="2926" ht="15">
      <c r="D2926" s="71"/>
    </row>
    <row r="2927" ht="15">
      <c r="D2927" s="71"/>
    </row>
    <row r="2928" ht="15">
      <c r="D2928" s="71"/>
    </row>
    <row r="2929" ht="15">
      <c r="D2929" s="71"/>
    </row>
    <row r="2930" ht="15">
      <c r="D2930" s="71"/>
    </row>
    <row r="2931" ht="15">
      <c r="D2931" s="71"/>
    </row>
    <row r="2932" ht="15">
      <c r="D2932" s="71"/>
    </row>
    <row r="2933" ht="15">
      <c r="D2933" s="71"/>
    </row>
    <row r="2934" ht="15">
      <c r="D2934" s="71"/>
    </row>
    <row r="2935" ht="15">
      <c r="D2935" s="71"/>
    </row>
    <row r="2936" ht="15">
      <c r="D2936" s="71"/>
    </row>
    <row r="2937" ht="15">
      <c r="D2937" s="71"/>
    </row>
    <row r="2938" ht="15">
      <c r="D2938" s="71"/>
    </row>
    <row r="2939" ht="15">
      <c r="D2939" s="71"/>
    </row>
    <row r="2940" ht="15">
      <c r="D2940" s="71"/>
    </row>
    <row r="2941" ht="15">
      <c r="D2941" s="71"/>
    </row>
    <row r="2942" ht="15">
      <c r="D2942" s="71"/>
    </row>
    <row r="2943" ht="15">
      <c r="D2943" s="71"/>
    </row>
    <row r="2944" ht="15">
      <c r="D2944" s="71"/>
    </row>
    <row r="2945" ht="15">
      <c r="D2945" s="71"/>
    </row>
    <row r="2946" ht="15">
      <c r="D2946" s="71"/>
    </row>
    <row r="2947" ht="15">
      <c r="D2947" s="71"/>
    </row>
    <row r="2948" ht="15">
      <c r="D2948" s="71"/>
    </row>
    <row r="2949" ht="15">
      <c r="D2949" s="71"/>
    </row>
    <row r="2950" ht="15">
      <c r="D2950" s="71"/>
    </row>
    <row r="2951" ht="15">
      <c r="D2951" s="71"/>
    </row>
    <row r="2952" ht="15">
      <c r="D2952" s="71"/>
    </row>
    <row r="2953" ht="15">
      <c r="D2953" s="71"/>
    </row>
    <row r="2954" ht="15">
      <c r="D2954" s="71"/>
    </row>
    <row r="2955" ht="15">
      <c r="D2955" s="71"/>
    </row>
    <row r="2956" ht="15">
      <c r="D2956" s="71"/>
    </row>
    <row r="2957" ht="15">
      <c r="D2957" s="71"/>
    </row>
    <row r="2958" ht="15">
      <c r="D2958" s="71"/>
    </row>
    <row r="2959" ht="15">
      <c r="D2959" s="71"/>
    </row>
    <row r="2960" ht="15">
      <c r="D2960" s="71"/>
    </row>
    <row r="2961" ht="15">
      <c r="D2961" s="71"/>
    </row>
    <row r="2962" ht="15">
      <c r="D2962" s="71"/>
    </row>
    <row r="2963" ht="15">
      <c r="D2963" s="71"/>
    </row>
    <row r="2964" ht="15">
      <c r="D2964" s="71"/>
    </row>
    <row r="2965" ht="15">
      <c r="D2965" s="71"/>
    </row>
    <row r="2966" ht="15">
      <c r="D2966" s="71"/>
    </row>
    <row r="2967" ht="15">
      <c r="D2967" s="71"/>
    </row>
    <row r="2968" ht="15">
      <c r="D2968" s="71"/>
    </row>
    <row r="2969" ht="15">
      <c r="D2969" s="71"/>
    </row>
    <row r="2970" ht="15">
      <c r="D2970" s="71"/>
    </row>
    <row r="2971" ht="15">
      <c r="D2971" s="71"/>
    </row>
    <row r="2972" ht="15">
      <c r="D2972" s="71"/>
    </row>
    <row r="2973" ht="15">
      <c r="D2973" s="71"/>
    </row>
    <row r="2974" ht="15">
      <c r="D2974" s="71"/>
    </row>
    <row r="2975" ht="15">
      <c r="D2975" s="71"/>
    </row>
    <row r="2976" ht="15">
      <c r="D2976" s="71"/>
    </row>
    <row r="2977" ht="15">
      <c r="D2977" s="71"/>
    </row>
    <row r="2978" ht="15">
      <c r="D2978" s="71"/>
    </row>
    <row r="2979" ht="15">
      <c r="D2979" s="71"/>
    </row>
    <row r="2980" ht="15">
      <c r="D2980" s="71"/>
    </row>
    <row r="2981" ht="15">
      <c r="D2981" s="71"/>
    </row>
    <row r="2982" ht="15">
      <c r="D2982" s="71"/>
    </row>
    <row r="2983" ht="15">
      <c r="D2983" s="71"/>
    </row>
    <row r="2984" ht="15">
      <c r="D2984" s="71"/>
    </row>
    <row r="2985" ht="15">
      <c r="D2985" s="71"/>
    </row>
    <row r="2986" ht="15">
      <c r="D2986" s="71"/>
    </row>
    <row r="2987" ht="15">
      <c r="D2987" s="71"/>
    </row>
    <row r="2988" ht="15">
      <c r="D2988" s="71"/>
    </row>
    <row r="2989" ht="15">
      <c r="D2989" s="71"/>
    </row>
    <row r="2990" ht="15">
      <c r="D2990" s="71"/>
    </row>
    <row r="2991" ht="15">
      <c r="D2991" s="71"/>
    </row>
    <row r="2992" ht="15">
      <c r="D2992" s="71"/>
    </row>
    <row r="2993" ht="15">
      <c r="D2993" s="71"/>
    </row>
    <row r="2994" ht="15">
      <c r="D2994" s="71"/>
    </row>
    <row r="2995" ht="15">
      <c r="D2995" s="71"/>
    </row>
    <row r="2996" ht="15">
      <c r="D2996" s="71"/>
    </row>
    <row r="2997" ht="15">
      <c r="D2997" s="71"/>
    </row>
    <row r="2998" ht="15">
      <c r="D2998" s="71"/>
    </row>
    <row r="2999" ht="15">
      <c r="D2999" s="71"/>
    </row>
    <row r="3000" ht="15">
      <c r="D3000" s="71"/>
    </row>
    <row r="3001" ht="15">
      <c r="D3001" s="71"/>
    </row>
    <row r="3002" ht="15">
      <c r="D3002" s="71"/>
    </row>
    <row r="3003" ht="15">
      <c r="D3003" s="71"/>
    </row>
    <row r="3004" ht="15">
      <c r="D3004" s="71"/>
    </row>
    <row r="3005" ht="15">
      <c r="D3005" s="71"/>
    </row>
    <row r="3006" ht="15">
      <c r="D3006" s="71"/>
    </row>
    <row r="3007" ht="15">
      <c r="D3007" s="71"/>
    </row>
    <row r="3008" ht="15">
      <c r="D3008" s="71"/>
    </row>
    <row r="3009" ht="15">
      <c r="D3009" s="71"/>
    </row>
    <row r="3010" ht="15">
      <c r="D3010" s="71"/>
    </row>
    <row r="3011" ht="15">
      <c r="D3011" s="71"/>
    </row>
    <row r="3012" ht="15">
      <c r="D3012" s="71"/>
    </row>
    <row r="3013" ht="15">
      <c r="D3013" s="71"/>
    </row>
    <row r="3014" ht="15">
      <c r="D3014" s="71"/>
    </row>
    <row r="3015" ht="15">
      <c r="D3015" s="71"/>
    </row>
    <row r="3016" ht="15">
      <c r="D3016" s="71"/>
    </row>
    <row r="3017" ht="15">
      <c r="D3017" s="71"/>
    </row>
    <row r="3018" ht="15">
      <c r="D3018" s="71"/>
    </row>
    <row r="3019" ht="15">
      <c r="D3019" s="71"/>
    </row>
    <row r="3020" ht="15">
      <c r="D3020" s="71"/>
    </row>
    <row r="3021" ht="15">
      <c r="D3021" s="71"/>
    </row>
    <row r="3022" ht="15">
      <c r="D3022" s="71"/>
    </row>
    <row r="3023" ht="15">
      <c r="D3023" s="71"/>
    </row>
    <row r="3024" ht="15">
      <c r="D3024" s="71"/>
    </row>
    <row r="3025" ht="15">
      <c r="D3025" s="71"/>
    </row>
    <row r="3026" ht="15">
      <c r="D3026" s="71"/>
    </row>
    <row r="3027" ht="15">
      <c r="D3027" s="71"/>
    </row>
    <row r="3028" ht="15">
      <c r="D3028" s="71"/>
    </row>
    <row r="3029" ht="15">
      <c r="D3029" s="71"/>
    </row>
    <row r="3030" ht="15">
      <c r="D3030" s="71"/>
    </row>
    <row r="3031" ht="15">
      <c r="D3031" s="71"/>
    </row>
    <row r="3032" ht="15">
      <c r="D3032" s="71"/>
    </row>
    <row r="3033" ht="15">
      <c r="D3033" s="71"/>
    </row>
    <row r="3034" ht="15">
      <c r="D3034" s="71"/>
    </row>
    <row r="3035" ht="15">
      <c r="D3035" s="71"/>
    </row>
    <row r="3036" ht="15">
      <c r="D3036" s="71"/>
    </row>
    <row r="3037" ht="15">
      <c r="D3037" s="71"/>
    </row>
    <row r="3038" ht="15">
      <c r="D3038" s="71"/>
    </row>
    <row r="3039" ht="15">
      <c r="D3039" s="71"/>
    </row>
    <row r="3040" ht="15">
      <c r="D3040" s="71"/>
    </row>
    <row r="3041" ht="15">
      <c r="D3041" s="71"/>
    </row>
    <row r="3042" ht="15">
      <c r="D3042" s="71"/>
    </row>
    <row r="3043" ht="15">
      <c r="D3043" s="71"/>
    </row>
    <row r="3044" ht="15">
      <c r="D3044" s="71"/>
    </row>
    <row r="3045" ht="15">
      <c r="D3045" s="71"/>
    </row>
    <row r="3046" ht="15">
      <c r="D3046" s="71"/>
    </row>
    <row r="3047" ht="15">
      <c r="D3047" s="71"/>
    </row>
    <row r="3048" ht="15">
      <c r="D3048" s="71"/>
    </row>
    <row r="3049" ht="15">
      <c r="D3049" s="71"/>
    </row>
    <row r="3050" ht="15">
      <c r="D3050" s="71"/>
    </row>
    <row r="3051" ht="15">
      <c r="D3051" s="71"/>
    </row>
    <row r="3052" ht="15">
      <c r="D3052" s="71"/>
    </row>
    <row r="3053" ht="15">
      <c r="D3053" s="71"/>
    </row>
    <row r="3054" ht="15">
      <c r="D3054" s="71"/>
    </row>
    <row r="3055" ht="15">
      <c r="D3055" s="71"/>
    </row>
    <row r="3056" ht="15">
      <c r="D3056" s="71"/>
    </row>
    <row r="3057" ht="15">
      <c r="D3057" s="71"/>
    </row>
    <row r="3058" ht="15">
      <c r="D3058" s="71"/>
    </row>
    <row r="3059" ht="15">
      <c r="D3059" s="71"/>
    </row>
    <row r="3060" ht="15">
      <c r="D3060" s="71"/>
    </row>
    <row r="3061" ht="15">
      <c r="D3061" s="71"/>
    </row>
    <row r="3062" ht="15">
      <c r="D3062" s="71"/>
    </row>
    <row r="3063" ht="15">
      <c r="D3063" s="71"/>
    </row>
    <row r="3064" ht="15">
      <c r="D3064" s="71"/>
    </row>
    <row r="3065" ht="15">
      <c r="D3065" s="71"/>
    </row>
    <row r="3066" ht="15">
      <c r="D3066" s="71"/>
    </row>
    <row r="3067" ht="15">
      <c r="D3067" s="71"/>
    </row>
    <row r="3068" ht="15">
      <c r="D3068" s="71"/>
    </row>
    <row r="3069" ht="15">
      <c r="D3069" s="71"/>
    </row>
    <row r="3070" ht="15">
      <c r="D3070" s="71"/>
    </row>
    <row r="3071" ht="15">
      <c r="D3071" s="71"/>
    </row>
    <row r="3072" ht="15">
      <c r="D3072" s="71"/>
    </row>
    <row r="3073" ht="15">
      <c r="D3073" s="71"/>
    </row>
    <row r="3074" ht="15">
      <c r="D3074" s="71"/>
    </row>
    <row r="3075" ht="15">
      <c r="D3075" s="71"/>
    </row>
    <row r="3076" ht="15">
      <c r="D3076" s="71"/>
    </row>
    <row r="3077" ht="15">
      <c r="D3077" s="71"/>
    </row>
    <row r="3078" ht="15">
      <c r="D3078" s="71"/>
    </row>
    <row r="3079" ht="15">
      <c r="D3079" s="71"/>
    </row>
    <row r="3080" ht="15">
      <c r="D3080" s="71"/>
    </row>
    <row r="3081" ht="15">
      <c r="D3081" s="71"/>
    </row>
    <row r="3082" ht="15">
      <c r="D3082" s="71"/>
    </row>
    <row r="3083" ht="15">
      <c r="D3083" s="71"/>
    </row>
    <row r="3084" ht="15">
      <c r="D3084" s="71"/>
    </row>
    <row r="3085" ht="15">
      <c r="D3085" s="71"/>
    </row>
    <row r="3086" ht="15">
      <c r="D3086" s="71"/>
    </row>
    <row r="3087" ht="15">
      <c r="D3087" s="71"/>
    </row>
    <row r="3088" ht="15">
      <c r="D3088" s="71"/>
    </row>
    <row r="3089" ht="15">
      <c r="D3089" s="71"/>
    </row>
    <row r="3090" ht="15">
      <c r="D3090" s="71"/>
    </row>
    <row r="3091" ht="15">
      <c r="D3091" s="71"/>
    </row>
    <row r="3092" ht="15">
      <c r="D3092" s="71"/>
    </row>
    <row r="3093" ht="15">
      <c r="D3093" s="71"/>
    </row>
    <row r="3094" ht="15">
      <c r="D3094" s="71"/>
    </row>
    <row r="3095" ht="15">
      <c r="D3095" s="71"/>
    </row>
    <row r="3096" ht="15">
      <c r="D3096" s="71"/>
    </row>
    <row r="3097" ht="15">
      <c r="D3097" s="71"/>
    </row>
    <row r="3098" ht="15">
      <c r="D3098" s="71"/>
    </row>
    <row r="3099" ht="15">
      <c r="D3099" s="71"/>
    </row>
    <row r="3100" ht="15">
      <c r="D3100" s="71"/>
    </row>
    <row r="3101" ht="15">
      <c r="D3101" s="71"/>
    </row>
    <row r="3102" ht="15">
      <c r="D3102" s="71"/>
    </row>
    <row r="3103" ht="15">
      <c r="D3103" s="71"/>
    </row>
    <row r="3104" ht="15">
      <c r="D3104" s="71"/>
    </row>
    <row r="3105" ht="15">
      <c r="D3105" s="71"/>
    </row>
    <row r="3106" ht="15">
      <c r="D3106" s="71"/>
    </row>
    <row r="3107" ht="15">
      <c r="D3107" s="71"/>
    </row>
    <row r="3108" ht="15">
      <c r="D3108" s="71"/>
    </row>
    <row r="3109" ht="15">
      <c r="D3109" s="71"/>
    </row>
    <row r="3110" ht="15">
      <c r="D3110" s="71"/>
    </row>
    <row r="3111" ht="15">
      <c r="D3111" s="71"/>
    </row>
    <row r="3112" ht="15">
      <c r="D3112" s="71"/>
    </row>
    <row r="3113" ht="15">
      <c r="D3113" s="71"/>
    </row>
    <row r="3114" ht="15">
      <c r="D3114" s="71"/>
    </row>
    <row r="3115" ht="15">
      <c r="D3115" s="71"/>
    </row>
    <row r="3116" ht="15">
      <c r="D3116" s="71"/>
    </row>
    <row r="3117" ht="15">
      <c r="D3117" s="71"/>
    </row>
    <row r="3118" ht="15">
      <c r="D3118" s="71"/>
    </row>
    <row r="3119" ht="15">
      <c r="D3119" s="71"/>
    </row>
    <row r="3120" ht="15">
      <c r="D3120" s="71"/>
    </row>
    <row r="3121" ht="15">
      <c r="D3121" s="71"/>
    </row>
    <row r="3122" ht="15">
      <c r="D3122" s="71"/>
    </row>
    <row r="3123" ht="15">
      <c r="D3123" s="71"/>
    </row>
    <row r="3124" ht="15">
      <c r="D3124" s="71"/>
    </row>
    <row r="3125" ht="15">
      <c r="D3125" s="71"/>
    </row>
    <row r="3126" ht="15">
      <c r="D3126" s="71"/>
    </row>
    <row r="3127" ht="15">
      <c r="D3127" s="71"/>
    </row>
    <row r="3128" ht="15">
      <c r="D3128" s="71"/>
    </row>
    <row r="3129" ht="15">
      <c r="D3129" s="71"/>
    </row>
    <row r="3130" ht="15">
      <c r="D3130" s="71"/>
    </row>
    <row r="3131" ht="15">
      <c r="D3131" s="71"/>
    </row>
    <row r="3132" ht="15">
      <c r="D3132" s="71"/>
    </row>
    <row r="3133" ht="15">
      <c r="D3133" s="71"/>
    </row>
    <row r="3134" ht="15">
      <c r="D3134" s="71"/>
    </row>
    <row r="3135" ht="15">
      <c r="D3135" s="71"/>
    </row>
    <row r="3136" ht="15">
      <c r="D3136" s="71"/>
    </row>
    <row r="3137" ht="15">
      <c r="D3137" s="71"/>
    </row>
    <row r="3138" ht="15">
      <c r="D3138" s="71"/>
    </row>
    <row r="3139" ht="15">
      <c r="D3139" s="71"/>
    </row>
    <row r="3140" ht="15">
      <c r="D3140" s="71"/>
    </row>
    <row r="3141" ht="15">
      <c r="D3141" s="71"/>
    </row>
    <row r="3142" ht="15">
      <c r="D3142" s="71"/>
    </row>
    <row r="3143" ht="15">
      <c r="D3143" s="71"/>
    </row>
    <row r="3144" ht="15">
      <c r="D3144" s="71"/>
    </row>
    <row r="3145" ht="15">
      <c r="D3145" s="71"/>
    </row>
    <row r="3146" ht="15">
      <c r="D3146" s="71"/>
    </row>
    <row r="3147" ht="15">
      <c r="D3147" s="71"/>
    </row>
    <row r="3148" ht="15">
      <c r="D3148" s="71"/>
    </row>
    <row r="3149" ht="15">
      <c r="D3149" s="71"/>
    </row>
    <row r="3150" ht="15">
      <c r="D3150" s="71"/>
    </row>
    <row r="3151" ht="15">
      <c r="D3151" s="71"/>
    </row>
    <row r="3152" ht="15">
      <c r="D3152" s="71"/>
    </row>
    <row r="3153" ht="15">
      <c r="D3153" s="71"/>
    </row>
    <row r="3154" ht="15">
      <c r="D3154" s="71"/>
    </row>
    <row r="3155" ht="15">
      <c r="D3155" s="71"/>
    </row>
    <row r="3156" ht="15">
      <c r="D3156" s="71"/>
    </row>
    <row r="3157" ht="15">
      <c r="D3157" s="71"/>
    </row>
    <row r="3158" ht="15">
      <c r="D3158" s="71"/>
    </row>
    <row r="3159" ht="15">
      <c r="D3159" s="71"/>
    </row>
    <row r="3160" ht="15">
      <c r="D3160" s="71"/>
    </row>
    <row r="3161" ht="15">
      <c r="D3161" s="71"/>
    </row>
    <row r="3162" ht="15">
      <c r="D3162" s="71"/>
    </row>
    <row r="3163" ht="15">
      <c r="D3163" s="71"/>
    </row>
    <row r="3164" ht="15">
      <c r="D3164" s="71"/>
    </row>
    <row r="3165" ht="15">
      <c r="D3165" s="71"/>
    </row>
    <row r="3166" ht="15">
      <c r="D3166" s="71"/>
    </row>
    <row r="3167" ht="15">
      <c r="D3167" s="71"/>
    </row>
    <row r="3168" ht="15">
      <c r="D3168" s="71"/>
    </row>
    <row r="3169" ht="15">
      <c r="D3169" s="71"/>
    </row>
    <row r="3170" ht="15">
      <c r="D3170" s="71"/>
    </row>
    <row r="3171" ht="15">
      <c r="D3171" s="71"/>
    </row>
    <row r="3172" ht="15">
      <c r="D3172" s="71"/>
    </row>
    <row r="3173" ht="15">
      <c r="D3173" s="71"/>
    </row>
    <row r="3174" ht="15">
      <c r="D3174" s="71"/>
    </row>
    <row r="3175" ht="15">
      <c r="D3175" s="71"/>
    </row>
    <row r="3176" ht="15">
      <c r="D3176" s="71"/>
    </row>
    <row r="3177" ht="15">
      <c r="D3177" s="71"/>
    </row>
    <row r="3178" ht="15">
      <c r="D3178" s="71"/>
    </row>
    <row r="3179" ht="15">
      <c r="D3179" s="71"/>
    </row>
    <row r="3180" ht="15">
      <c r="D3180" s="71"/>
    </row>
    <row r="3181" ht="15">
      <c r="D3181" s="71"/>
    </row>
    <row r="3182" ht="15">
      <c r="D3182" s="71"/>
    </row>
    <row r="3183" ht="15">
      <c r="D3183" s="71"/>
    </row>
    <row r="3184" ht="15">
      <c r="D3184" s="71"/>
    </row>
    <row r="3185" ht="15">
      <c r="D3185" s="71"/>
    </row>
    <row r="3186" ht="15">
      <c r="D3186" s="71"/>
    </row>
    <row r="3187" ht="15">
      <c r="D3187" s="71"/>
    </row>
    <row r="3188" ht="15">
      <c r="D3188" s="71"/>
    </row>
    <row r="3189" ht="15">
      <c r="D3189" s="71"/>
    </row>
    <row r="3190" ht="15">
      <c r="D3190" s="71"/>
    </row>
    <row r="3191" ht="15">
      <c r="D3191" s="71"/>
    </row>
    <row r="3192" ht="15">
      <c r="D3192" s="71"/>
    </row>
    <row r="3193" ht="15">
      <c r="D3193" s="71"/>
    </row>
    <row r="3194" ht="15">
      <c r="D3194" s="71"/>
    </row>
    <row r="3195" ht="15">
      <c r="D3195" s="71"/>
    </row>
    <row r="3196" ht="15">
      <c r="D3196" s="71"/>
    </row>
    <row r="3197" ht="15">
      <c r="D3197" s="71"/>
    </row>
    <row r="3198" ht="15">
      <c r="D3198" s="71"/>
    </row>
    <row r="3199" ht="15">
      <c r="D3199" s="71"/>
    </row>
    <row r="3200" ht="15">
      <c r="D3200" s="71"/>
    </row>
    <row r="3201" ht="15">
      <c r="D3201" s="71"/>
    </row>
    <row r="3202" ht="15">
      <c r="D3202" s="71"/>
    </row>
    <row r="3203" ht="15">
      <c r="D3203" s="71"/>
    </row>
    <row r="3204" ht="15">
      <c r="D3204" s="71"/>
    </row>
    <row r="3205" ht="15">
      <c r="D3205" s="71"/>
    </row>
    <row r="3206" ht="15">
      <c r="D3206" s="71"/>
    </row>
    <row r="3207" ht="15">
      <c r="D3207" s="71"/>
    </row>
    <row r="3208" ht="15">
      <c r="D3208" s="71"/>
    </row>
    <row r="3209" ht="15">
      <c r="D3209" s="71"/>
    </row>
    <row r="3210" ht="15">
      <c r="D3210" s="71"/>
    </row>
    <row r="3211" ht="15">
      <c r="D3211" s="71"/>
    </row>
    <row r="3212" ht="15">
      <c r="D3212" s="71"/>
    </row>
    <row r="3213" ht="15">
      <c r="D3213" s="71"/>
    </row>
    <row r="3214" ht="15">
      <c r="D3214" s="71"/>
    </row>
    <row r="3215" ht="15">
      <c r="D3215" s="71"/>
    </row>
    <row r="3216" ht="15">
      <c r="D3216" s="71"/>
    </row>
    <row r="3217" ht="15">
      <c r="D3217" s="71"/>
    </row>
    <row r="3218" ht="15">
      <c r="D3218" s="71"/>
    </row>
    <row r="3219" ht="15">
      <c r="D3219" s="71"/>
    </row>
    <row r="3220" ht="15">
      <c r="D3220" s="71"/>
    </row>
    <row r="3221" ht="15">
      <c r="D3221" s="71"/>
    </row>
    <row r="3222" ht="15">
      <c r="D3222" s="71"/>
    </row>
    <row r="3223" ht="15">
      <c r="D3223" s="71"/>
    </row>
    <row r="3224" ht="15">
      <c r="D3224" s="71"/>
    </row>
    <row r="3225" ht="15">
      <c r="D3225" s="71"/>
    </row>
    <row r="3226" ht="15">
      <c r="D3226" s="71"/>
    </row>
    <row r="3227" ht="15">
      <c r="D3227" s="71"/>
    </row>
    <row r="3228" ht="15">
      <c r="D3228" s="71"/>
    </row>
    <row r="3229" ht="15">
      <c r="D3229" s="71"/>
    </row>
    <row r="3230" ht="15">
      <c r="D3230" s="71"/>
    </row>
    <row r="3231" ht="15">
      <c r="D3231" s="71"/>
    </row>
    <row r="3232" ht="15">
      <c r="D3232" s="71"/>
    </row>
    <row r="3233" ht="15">
      <c r="D3233" s="71"/>
    </row>
    <row r="3234" ht="15">
      <c r="D3234" s="71"/>
    </row>
    <row r="3235" ht="15">
      <c r="D3235" s="71"/>
    </row>
    <row r="3236" ht="15">
      <c r="D3236" s="71"/>
    </row>
    <row r="3237" ht="15">
      <c r="D3237" s="71"/>
    </row>
    <row r="3238" ht="15">
      <c r="D3238" s="71"/>
    </row>
    <row r="3239" ht="15">
      <c r="D3239" s="71"/>
    </row>
    <row r="3240" ht="15">
      <c r="D3240" s="71"/>
    </row>
    <row r="3241" ht="15">
      <c r="D3241" s="71"/>
    </row>
    <row r="3242" ht="15">
      <c r="D3242" s="71"/>
    </row>
    <row r="3243" ht="15">
      <c r="D3243" s="71"/>
    </row>
    <row r="3244" ht="15">
      <c r="D3244" s="71"/>
    </row>
    <row r="3245" ht="15">
      <c r="D3245" s="71"/>
    </row>
    <row r="3246" ht="15">
      <c r="D3246" s="71"/>
    </row>
    <row r="3247" ht="15">
      <c r="D3247" s="71"/>
    </row>
    <row r="3248" ht="15">
      <c r="D3248" s="71"/>
    </row>
    <row r="3249" ht="15">
      <c r="D3249" s="71"/>
    </row>
    <row r="3250" ht="15">
      <c r="D3250" s="71"/>
    </row>
    <row r="3251" ht="15">
      <c r="D3251" s="71"/>
    </row>
    <row r="3252" ht="15">
      <c r="D3252" s="71"/>
    </row>
    <row r="3253" ht="15">
      <c r="D3253" s="71"/>
    </row>
    <row r="3254" ht="15">
      <c r="D3254" s="71"/>
    </row>
    <row r="3255" ht="15">
      <c r="D3255" s="71"/>
    </row>
    <row r="3256" ht="15">
      <c r="D3256" s="71"/>
    </row>
    <row r="3257" ht="15">
      <c r="D3257" s="71"/>
    </row>
    <row r="3258" ht="15">
      <c r="D3258" s="71"/>
    </row>
    <row r="3259" ht="15">
      <c r="D3259" s="71"/>
    </row>
    <row r="3260" ht="15">
      <c r="D3260" s="71"/>
    </row>
    <row r="3261" ht="15">
      <c r="D3261" s="71"/>
    </row>
    <row r="3262" ht="15">
      <c r="D3262" s="71"/>
    </row>
    <row r="3263" ht="15">
      <c r="D3263" s="71"/>
    </row>
    <row r="3264" ht="15">
      <c r="D3264" s="71"/>
    </row>
    <row r="3265" ht="15">
      <c r="D3265" s="71"/>
    </row>
    <row r="3266" ht="15">
      <c r="D3266" s="71"/>
    </row>
    <row r="3267" ht="15">
      <c r="D3267" s="71"/>
    </row>
    <row r="3268" ht="15">
      <c r="D3268" s="71"/>
    </row>
    <row r="3269" ht="15">
      <c r="D3269" s="71"/>
    </row>
    <row r="3270" ht="15">
      <c r="D3270" s="71"/>
    </row>
    <row r="3271" ht="15">
      <c r="D3271" s="71"/>
    </row>
    <row r="3272" ht="15">
      <c r="D3272" s="71"/>
    </row>
    <row r="3273" ht="15">
      <c r="D3273" s="71"/>
    </row>
    <row r="3274" ht="15">
      <c r="D3274" s="71"/>
    </row>
    <row r="3275" ht="15">
      <c r="D3275" s="71"/>
    </row>
    <row r="3276" ht="15">
      <c r="D3276" s="71"/>
    </row>
    <row r="3277" ht="15">
      <c r="D3277" s="71"/>
    </row>
    <row r="3278" ht="15">
      <c r="D3278" s="71"/>
    </row>
    <row r="3279" ht="15">
      <c r="D3279" s="71"/>
    </row>
    <row r="3280" ht="15">
      <c r="D3280" s="71"/>
    </row>
    <row r="3281" ht="15">
      <c r="D3281" s="71"/>
    </row>
    <row r="3282" ht="15">
      <c r="D3282" s="71"/>
    </row>
    <row r="3283" ht="15">
      <c r="D3283" s="71"/>
    </row>
    <row r="3284" ht="15">
      <c r="D3284" s="71"/>
    </row>
    <row r="3285" ht="15">
      <c r="D3285" s="71"/>
    </row>
    <row r="3286" ht="15">
      <c r="D3286" s="71"/>
    </row>
    <row r="3287" ht="15">
      <c r="D3287" s="71"/>
    </row>
    <row r="3288" ht="15">
      <c r="D3288" s="71"/>
    </row>
    <row r="3289" ht="15">
      <c r="D3289" s="71"/>
    </row>
    <row r="3290" ht="15">
      <c r="D3290" s="71"/>
    </row>
    <row r="3291" ht="15">
      <c r="D3291" s="71"/>
    </row>
    <row r="3292" ht="15">
      <c r="D3292" s="71"/>
    </row>
    <row r="3293" ht="15">
      <c r="D3293" s="71"/>
    </row>
    <row r="3294" ht="15">
      <c r="D3294" s="71"/>
    </row>
    <row r="3295" ht="15">
      <c r="D3295" s="71"/>
    </row>
    <row r="3296" ht="15">
      <c r="D3296" s="71"/>
    </row>
    <row r="3297" ht="15">
      <c r="D3297" s="71"/>
    </row>
    <row r="3298" ht="15">
      <c r="D3298" s="71"/>
    </row>
    <row r="3299" ht="15">
      <c r="D3299" s="71"/>
    </row>
    <row r="3300" ht="15">
      <c r="D3300" s="71"/>
    </row>
    <row r="3301" ht="15">
      <c r="D3301" s="71"/>
    </row>
    <row r="3302" ht="15">
      <c r="D3302" s="71"/>
    </row>
    <row r="3303" ht="15">
      <c r="D3303" s="71"/>
    </row>
    <row r="3304" ht="15">
      <c r="D3304" s="71"/>
    </row>
    <row r="3305" ht="15">
      <c r="D3305" s="71"/>
    </row>
    <row r="3306" ht="15">
      <c r="D3306" s="71"/>
    </row>
    <row r="3307" ht="15">
      <c r="D3307" s="71"/>
    </row>
    <row r="3308" ht="15">
      <c r="D3308" s="71"/>
    </row>
    <row r="3309" ht="15">
      <c r="D3309" s="71"/>
    </row>
    <row r="3310" ht="15">
      <c r="D3310" s="71"/>
    </row>
    <row r="3311" ht="15">
      <c r="D3311" s="71"/>
    </row>
    <row r="3312" ht="15">
      <c r="D3312" s="71"/>
    </row>
    <row r="3313" ht="15">
      <c r="D3313" s="71"/>
    </row>
    <row r="3314" ht="15">
      <c r="D3314" s="71"/>
    </row>
    <row r="3315" ht="15">
      <c r="D3315" s="71"/>
    </row>
    <row r="3316" ht="15">
      <c r="D3316" s="71"/>
    </row>
    <row r="3317" ht="15">
      <c r="D3317" s="71"/>
    </row>
    <row r="3318" ht="15">
      <c r="D3318" s="71"/>
    </row>
    <row r="3319" ht="15">
      <c r="D3319" s="71"/>
    </row>
    <row r="3320" ht="15">
      <c r="D3320" s="71"/>
    </row>
    <row r="3321" ht="15">
      <c r="D3321" s="71"/>
    </row>
    <row r="3322" ht="15">
      <c r="D3322" s="71"/>
    </row>
    <row r="3323" ht="15">
      <c r="D3323" s="71"/>
    </row>
    <row r="3324" ht="15">
      <c r="D3324" s="71"/>
    </row>
    <row r="3325" ht="15">
      <c r="D3325" s="71"/>
    </row>
    <row r="3326" ht="15">
      <c r="D3326" s="71"/>
    </row>
    <row r="3327" ht="15">
      <c r="D3327" s="71"/>
    </row>
    <row r="3328" ht="15">
      <c r="D3328" s="71"/>
    </row>
    <row r="3329" ht="15">
      <c r="D3329" s="71"/>
    </row>
    <row r="3330" ht="15">
      <c r="D3330" s="71"/>
    </row>
    <row r="3331" ht="15">
      <c r="D3331" s="71"/>
    </row>
    <row r="3332" ht="15">
      <c r="D3332" s="71"/>
    </row>
    <row r="3333" ht="15">
      <c r="D3333" s="71"/>
    </row>
    <row r="3334" ht="15">
      <c r="D3334" s="71"/>
    </row>
    <row r="3335" ht="15">
      <c r="D3335" s="71"/>
    </row>
    <row r="3336" ht="15">
      <c r="D3336" s="71"/>
    </row>
    <row r="3337" ht="15">
      <c r="D3337" s="71"/>
    </row>
    <row r="3338" ht="15">
      <c r="D3338" s="71"/>
    </row>
    <row r="3339" ht="15">
      <c r="D3339" s="71"/>
    </row>
    <row r="3340" ht="15">
      <c r="D3340" s="71"/>
    </row>
    <row r="3341" ht="15">
      <c r="D3341" s="71"/>
    </row>
    <row r="3342" ht="15">
      <c r="D3342" s="71"/>
    </row>
    <row r="3343" ht="15">
      <c r="D3343" s="71"/>
    </row>
    <row r="3344" ht="15">
      <c r="D3344" s="71"/>
    </row>
    <row r="3345" ht="15">
      <c r="D3345" s="71"/>
    </row>
    <row r="3346" ht="15">
      <c r="D3346" s="71"/>
    </row>
    <row r="3347" ht="15">
      <c r="D3347" s="71"/>
    </row>
    <row r="3348" ht="15">
      <c r="D3348" s="71"/>
    </row>
    <row r="3349" ht="15">
      <c r="D3349" s="71"/>
    </row>
    <row r="3350" ht="15">
      <c r="D3350" s="71"/>
    </row>
    <row r="3351" ht="15">
      <c r="D3351" s="71"/>
    </row>
    <row r="3352" ht="15">
      <c r="D3352" s="71"/>
    </row>
    <row r="3353" ht="15">
      <c r="D3353" s="71"/>
    </row>
    <row r="3354" ht="15">
      <c r="D3354" s="71"/>
    </row>
    <row r="3355" ht="15">
      <c r="D3355" s="71"/>
    </row>
    <row r="3356" ht="15">
      <c r="D3356" s="71"/>
    </row>
    <row r="3357" ht="15">
      <c r="D3357" s="71"/>
    </row>
    <row r="3358" ht="15">
      <c r="D3358" s="71"/>
    </row>
    <row r="3359" ht="15">
      <c r="D3359" s="71"/>
    </row>
    <row r="3360" ht="15">
      <c r="D3360" s="71"/>
    </row>
    <row r="3361" ht="15">
      <c r="D3361" s="71"/>
    </row>
    <row r="3362" ht="15">
      <c r="D3362" s="71"/>
    </row>
    <row r="3363" ht="15">
      <c r="D3363" s="71"/>
    </row>
    <row r="3364" ht="15">
      <c r="D3364" s="71"/>
    </row>
    <row r="3365" ht="15">
      <c r="D3365" s="71"/>
    </row>
    <row r="3366" ht="15">
      <c r="D3366" s="71"/>
    </row>
    <row r="3367" ht="15">
      <c r="D3367" s="71"/>
    </row>
    <row r="3368" ht="15">
      <c r="D3368" s="71"/>
    </row>
    <row r="3369" ht="15">
      <c r="D3369" s="71"/>
    </row>
    <row r="3370" ht="15">
      <c r="D3370" s="71"/>
    </row>
    <row r="3371" ht="15">
      <c r="D3371" s="71"/>
    </row>
    <row r="3372" ht="15">
      <c r="D3372" s="71"/>
    </row>
    <row r="3373" ht="15">
      <c r="D3373" s="71"/>
    </row>
    <row r="3374" ht="15">
      <c r="D3374" s="71"/>
    </row>
    <row r="3375" ht="15">
      <c r="D3375" s="71"/>
    </row>
    <row r="3376" ht="15">
      <c r="D3376" s="71"/>
    </row>
    <row r="3377" ht="15">
      <c r="D3377" s="71"/>
    </row>
    <row r="3378" ht="15">
      <c r="D3378" s="71"/>
    </row>
    <row r="3379" ht="15">
      <c r="D3379" s="71"/>
    </row>
    <row r="3380" ht="15">
      <c r="D3380" s="71"/>
    </row>
    <row r="3381" ht="15">
      <c r="D3381" s="71"/>
    </row>
    <row r="3382" ht="15">
      <c r="D3382" s="71"/>
    </row>
    <row r="3383" ht="15">
      <c r="D3383" s="71"/>
    </row>
    <row r="3384" ht="15">
      <c r="D3384" s="71"/>
    </row>
    <row r="3385" ht="15">
      <c r="D3385" s="71"/>
    </row>
    <row r="3386" ht="15">
      <c r="D3386" s="71"/>
    </row>
    <row r="3387" ht="15">
      <c r="D3387" s="71"/>
    </row>
    <row r="3388" ht="15">
      <c r="D3388" s="71"/>
    </row>
    <row r="3389" ht="15">
      <c r="D3389" s="71"/>
    </row>
    <row r="3390" ht="15">
      <c r="D3390" s="71"/>
    </row>
    <row r="3391" ht="15">
      <c r="D3391" s="71"/>
    </row>
    <row r="3392" ht="15">
      <c r="D3392" s="71"/>
    </row>
    <row r="3393" ht="15">
      <c r="D3393" s="71"/>
    </row>
    <row r="3394" ht="15">
      <c r="D3394" s="71"/>
    </row>
    <row r="3395" ht="15">
      <c r="D3395" s="71"/>
    </row>
    <row r="3396" ht="15">
      <c r="D3396" s="71"/>
    </row>
    <row r="3397" ht="15">
      <c r="D3397" s="71"/>
    </row>
    <row r="3398" ht="15">
      <c r="D3398" s="71"/>
    </row>
    <row r="3399" ht="15">
      <c r="D3399" s="71"/>
    </row>
    <row r="3400" ht="15">
      <c r="D3400" s="71"/>
    </row>
    <row r="3401" ht="15">
      <c r="D3401" s="71"/>
    </row>
    <row r="3402" ht="15">
      <c r="D3402" s="71"/>
    </row>
    <row r="3403" ht="15">
      <c r="D3403" s="71"/>
    </row>
    <row r="3404" ht="15">
      <c r="D3404" s="71"/>
    </row>
    <row r="3405" ht="15">
      <c r="D3405" s="71"/>
    </row>
    <row r="3406" ht="15">
      <c r="D3406" s="71"/>
    </row>
    <row r="3407" ht="15">
      <c r="D3407" s="71"/>
    </row>
    <row r="3408" ht="15">
      <c r="D3408" s="71"/>
    </row>
    <row r="3409" ht="15">
      <c r="D3409" s="71"/>
    </row>
    <row r="3410" ht="15">
      <c r="D3410" s="71"/>
    </row>
    <row r="3411" ht="15">
      <c r="D3411" s="71"/>
    </row>
    <row r="3412" ht="15">
      <c r="D3412" s="71"/>
    </row>
    <row r="3413" ht="15">
      <c r="D3413" s="71"/>
    </row>
    <row r="3414" ht="15">
      <c r="D3414" s="71"/>
    </row>
    <row r="3415" ht="15">
      <c r="D3415" s="71"/>
    </row>
    <row r="3416" ht="15">
      <c r="D3416" s="71"/>
    </row>
    <row r="3417" ht="15">
      <c r="D3417" s="71"/>
    </row>
    <row r="3418" ht="15">
      <c r="D3418" s="71"/>
    </row>
    <row r="3419" ht="15">
      <c r="D3419" s="71"/>
    </row>
    <row r="3420" ht="15">
      <c r="D3420" s="71"/>
    </row>
    <row r="3421" ht="15">
      <c r="D3421" s="71"/>
    </row>
    <row r="3422" ht="15">
      <c r="D3422" s="71"/>
    </row>
    <row r="3423" ht="15">
      <c r="D3423" s="71"/>
    </row>
    <row r="3424" ht="15">
      <c r="D3424" s="71"/>
    </row>
    <row r="3425" ht="15">
      <c r="D3425" s="71"/>
    </row>
    <row r="3426" ht="15">
      <c r="D3426" s="71"/>
    </row>
    <row r="3427" ht="15">
      <c r="D3427" s="71"/>
    </row>
    <row r="3428" ht="15">
      <c r="D3428" s="71"/>
    </row>
    <row r="3429" ht="15">
      <c r="D3429" s="71"/>
    </row>
    <row r="3430" ht="15">
      <c r="D3430" s="71"/>
    </row>
    <row r="3431" ht="15">
      <c r="D3431" s="71"/>
    </row>
    <row r="3432" ht="15">
      <c r="D3432" s="71"/>
    </row>
    <row r="3433" ht="15">
      <c r="D3433" s="71"/>
    </row>
    <row r="3434" ht="15">
      <c r="D3434" s="71"/>
    </row>
    <row r="3435" ht="15">
      <c r="D3435" s="71"/>
    </row>
    <row r="3436" ht="15">
      <c r="D3436" s="71"/>
    </row>
    <row r="3437" ht="15">
      <c r="D3437" s="71"/>
    </row>
    <row r="3438" ht="15">
      <c r="D3438" s="71"/>
    </row>
    <row r="3439" ht="15">
      <c r="D3439" s="71"/>
    </row>
    <row r="3440" ht="15">
      <c r="D3440" s="71"/>
    </row>
    <row r="3441" ht="15">
      <c r="D3441" s="71"/>
    </row>
    <row r="3442" ht="15">
      <c r="D3442" s="71"/>
    </row>
    <row r="3443" ht="15">
      <c r="D3443" s="71"/>
    </row>
    <row r="3444" ht="15">
      <c r="D3444" s="71"/>
    </row>
    <row r="3445" ht="15">
      <c r="D3445" s="71"/>
    </row>
    <row r="3446" ht="15">
      <c r="D3446" s="71"/>
    </row>
    <row r="3447" ht="15">
      <c r="D3447" s="71"/>
    </row>
    <row r="3448" ht="15">
      <c r="D3448" s="71"/>
    </row>
    <row r="3449" ht="15">
      <c r="D3449" s="71"/>
    </row>
    <row r="3450" ht="15">
      <c r="D3450" s="71"/>
    </row>
    <row r="3451" ht="15">
      <c r="D3451" s="71"/>
    </row>
    <row r="3452" ht="15">
      <c r="D3452" s="71"/>
    </row>
    <row r="3453" ht="15">
      <c r="D3453" s="71"/>
    </row>
    <row r="3454" ht="15">
      <c r="D3454" s="71"/>
    </row>
    <row r="3455" ht="15">
      <c r="D3455" s="71"/>
    </row>
    <row r="3456" ht="15">
      <c r="D3456" s="71"/>
    </row>
    <row r="3457" ht="15">
      <c r="D3457" s="71"/>
    </row>
    <row r="3458" ht="15">
      <c r="D3458" s="71"/>
    </row>
    <row r="3459" ht="15">
      <c r="D3459" s="71"/>
    </row>
    <row r="3460" ht="15">
      <c r="D3460" s="71"/>
    </row>
    <row r="3461" ht="15">
      <c r="D3461" s="71"/>
    </row>
    <row r="3462" ht="15">
      <c r="D3462" s="71"/>
    </row>
    <row r="3463" ht="15">
      <c r="D3463" s="71"/>
    </row>
    <row r="3464" ht="15">
      <c r="D3464" s="71"/>
    </row>
    <row r="3465" ht="15">
      <c r="D3465" s="71"/>
    </row>
    <row r="3466" ht="15">
      <c r="D3466" s="71"/>
    </row>
    <row r="3467" ht="15">
      <c r="D3467" s="71"/>
    </row>
    <row r="3468" ht="15">
      <c r="D3468" s="71"/>
    </row>
    <row r="3469" ht="15">
      <c r="D3469" s="71"/>
    </row>
    <row r="3470" ht="15">
      <c r="D3470" s="71"/>
    </row>
    <row r="3471" ht="15">
      <c r="D3471" s="71"/>
    </row>
    <row r="3472" ht="15">
      <c r="D3472" s="71"/>
    </row>
    <row r="3473" ht="15">
      <c r="D3473" s="71"/>
    </row>
    <row r="3474" ht="15">
      <c r="D3474" s="71"/>
    </row>
    <row r="3475" ht="15">
      <c r="D3475" s="71"/>
    </row>
    <row r="3476" ht="15">
      <c r="D3476" s="71"/>
    </row>
    <row r="3477" ht="15">
      <c r="D3477" s="71"/>
    </row>
    <row r="3478" ht="15">
      <c r="D3478" s="71"/>
    </row>
    <row r="3479" ht="15">
      <c r="D3479" s="71"/>
    </row>
    <row r="3480" ht="15">
      <c r="D3480" s="71"/>
    </row>
    <row r="3481" ht="15">
      <c r="D3481" s="71"/>
    </row>
    <row r="3482" ht="15">
      <c r="D3482" s="71"/>
    </row>
    <row r="3483" ht="15">
      <c r="D3483" s="71"/>
    </row>
    <row r="3484" ht="15">
      <c r="D3484" s="71"/>
    </row>
    <row r="3485" ht="15">
      <c r="D3485" s="71"/>
    </row>
    <row r="3486" ht="15">
      <c r="D3486" s="71"/>
    </row>
    <row r="3487" ht="15">
      <c r="D3487" s="71"/>
    </row>
    <row r="3488" ht="15">
      <c r="D3488" s="71"/>
    </row>
    <row r="3489" ht="15">
      <c r="D3489" s="71"/>
    </row>
    <row r="3490" ht="15">
      <c r="D3490" s="71"/>
    </row>
    <row r="3491" ht="15">
      <c r="D3491" s="71"/>
    </row>
    <row r="3492" ht="15">
      <c r="D3492" s="71"/>
    </row>
    <row r="3493" ht="15">
      <c r="D3493" s="71"/>
    </row>
    <row r="3494" ht="15">
      <c r="D3494" s="71"/>
    </row>
    <row r="3495" ht="15">
      <c r="D3495" s="71"/>
    </row>
    <row r="3496" ht="15">
      <c r="D3496" s="71"/>
    </row>
    <row r="3497" ht="15">
      <c r="D3497" s="71"/>
    </row>
    <row r="3498" ht="15">
      <c r="D3498" s="71"/>
    </row>
    <row r="3499" ht="15">
      <c r="D3499" s="71"/>
    </row>
    <row r="3500" ht="15">
      <c r="D3500" s="71"/>
    </row>
    <row r="3501" ht="15">
      <c r="D3501" s="71"/>
    </row>
    <row r="3502" ht="15">
      <c r="D3502" s="71"/>
    </row>
    <row r="3503" ht="15">
      <c r="D3503" s="71"/>
    </row>
    <row r="3504" ht="15">
      <c r="D3504" s="71"/>
    </row>
    <row r="3505" ht="15">
      <c r="D3505" s="71"/>
    </row>
    <row r="3506" ht="15">
      <c r="D3506" s="71"/>
    </row>
    <row r="3507" ht="15">
      <c r="D3507" s="71"/>
    </row>
    <row r="3508" ht="15">
      <c r="D3508" s="71"/>
    </row>
    <row r="3509" ht="15">
      <c r="D3509" s="71"/>
    </row>
    <row r="3510" ht="15">
      <c r="D3510" s="71"/>
    </row>
    <row r="3511" ht="15">
      <c r="D3511" s="71"/>
    </row>
    <row r="3512" ht="15">
      <c r="D3512" s="71"/>
    </row>
    <row r="3513" ht="15">
      <c r="D3513" s="71"/>
    </row>
    <row r="3514" ht="15">
      <c r="D3514" s="71"/>
    </row>
    <row r="3515" ht="15">
      <c r="D3515" s="71"/>
    </row>
    <row r="3516" ht="15">
      <c r="D3516" s="71"/>
    </row>
    <row r="3517" ht="15">
      <c r="D3517" s="71"/>
    </row>
    <row r="3518" ht="15">
      <c r="D3518" s="71"/>
    </row>
    <row r="3519" ht="15">
      <c r="D3519" s="71"/>
    </row>
    <row r="3520" ht="15">
      <c r="D3520" s="71"/>
    </row>
    <row r="3521" ht="15">
      <c r="D3521" s="71"/>
    </row>
    <row r="3522" ht="15">
      <c r="D3522" s="71"/>
    </row>
    <row r="3523" ht="15">
      <c r="D3523" s="71"/>
    </row>
    <row r="3524" ht="15">
      <c r="D3524" s="71"/>
    </row>
    <row r="3525" ht="15">
      <c r="D3525" s="71"/>
    </row>
    <row r="3526" ht="15">
      <c r="D3526" s="71"/>
    </row>
    <row r="3527" ht="15">
      <c r="D3527" s="71"/>
    </row>
    <row r="3528" ht="15">
      <c r="D3528" s="71"/>
    </row>
    <row r="3529" ht="15">
      <c r="D3529" s="71"/>
    </row>
    <row r="3530" ht="15">
      <c r="D3530" s="71"/>
    </row>
    <row r="3531" ht="15">
      <c r="D3531" s="71"/>
    </row>
    <row r="3532" ht="15">
      <c r="D3532" s="71"/>
    </row>
    <row r="3533" ht="15">
      <c r="D3533" s="71"/>
    </row>
    <row r="3534" ht="15">
      <c r="D3534" s="71"/>
    </row>
    <row r="3535" ht="15">
      <c r="D3535" s="71"/>
    </row>
    <row r="3536" ht="15">
      <c r="D3536" s="71"/>
    </row>
    <row r="3537" ht="15">
      <c r="D3537" s="71"/>
    </row>
    <row r="3538" ht="15">
      <c r="D3538" s="71"/>
    </row>
    <row r="3539" ht="15">
      <c r="D3539" s="71"/>
    </row>
    <row r="3540" ht="15">
      <c r="D3540" s="71"/>
    </row>
    <row r="3541" ht="15">
      <c r="D3541" s="71"/>
    </row>
    <row r="3542" ht="15">
      <c r="D3542" s="71"/>
    </row>
    <row r="3543" ht="15">
      <c r="D3543" s="71"/>
    </row>
    <row r="3544" ht="15">
      <c r="D3544" s="71"/>
    </row>
    <row r="3545" ht="15">
      <c r="D3545" s="71"/>
    </row>
    <row r="3546" ht="15">
      <c r="D3546" s="71"/>
    </row>
    <row r="3547" ht="15">
      <c r="D3547" s="71"/>
    </row>
    <row r="3548" ht="15">
      <c r="D3548" s="71"/>
    </row>
    <row r="3549" ht="15">
      <c r="D3549" s="71"/>
    </row>
    <row r="3550" ht="15">
      <c r="D3550" s="71"/>
    </row>
    <row r="3551" ht="15">
      <c r="D3551" s="71"/>
    </row>
    <row r="3552" ht="15">
      <c r="D3552" s="71"/>
    </row>
    <row r="3553" ht="15">
      <c r="D3553" s="71"/>
    </row>
    <row r="3554" ht="15">
      <c r="D3554" s="71"/>
    </row>
    <row r="3555" ht="15">
      <c r="D3555" s="71"/>
    </row>
    <row r="3556" ht="15">
      <c r="D3556" s="71"/>
    </row>
    <row r="3557" ht="15">
      <c r="D3557" s="71"/>
    </row>
    <row r="3558" ht="15">
      <c r="D3558" s="71"/>
    </row>
    <row r="3559" ht="15">
      <c r="D3559" s="71"/>
    </row>
    <row r="3560" ht="15">
      <c r="D3560" s="71"/>
    </row>
    <row r="3561" ht="15">
      <c r="D3561" s="71"/>
    </row>
    <row r="3562" ht="15">
      <c r="D3562" s="71"/>
    </row>
    <row r="3563" ht="15">
      <c r="D3563" s="71"/>
    </row>
    <row r="3564" ht="15">
      <c r="D3564" s="71"/>
    </row>
    <row r="3565" ht="15">
      <c r="D3565" s="71"/>
    </row>
    <row r="3566" ht="15">
      <c r="D3566" s="71"/>
    </row>
    <row r="3567" ht="15">
      <c r="D3567" s="71"/>
    </row>
    <row r="3568" ht="15">
      <c r="D3568" s="71"/>
    </row>
    <row r="3569" ht="15">
      <c r="D3569" s="71"/>
    </row>
    <row r="3570" ht="15">
      <c r="D3570" s="71"/>
    </row>
    <row r="3571" ht="15">
      <c r="D3571" s="71"/>
    </row>
    <row r="3572" ht="15">
      <c r="D3572" s="71"/>
    </row>
    <row r="3573" ht="15">
      <c r="D3573" s="71"/>
    </row>
    <row r="3574" ht="15">
      <c r="D3574" s="71"/>
    </row>
    <row r="3575" ht="15">
      <c r="D3575" s="71"/>
    </row>
    <row r="3576" ht="15">
      <c r="D3576" s="71"/>
    </row>
    <row r="3577" ht="15">
      <c r="D3577" s="71"/>
    </row>
    <row r="3578" ht="15">
      <c r="D3578" s="71"/>
    </row>
    <row r="3579" ht="15">
      <c r="D3579" s="71"/>
    </row>
    <row r="3580" ht="15">
      <c r="D3580" s="71"/>
    </row>
    <row r="3581" ht="15">
      <c r="D3581" s="71"/>
    </row>
    <row r="3582" ht="15">
      <c r="D3582" s="71"/>
    </row>
    <row r="3583" ht="15">
      <c r="D3583" s="71"/>
    </row>
    <row r="3584" ht="15">
      <c r="D3584" s="71"/>
    </row>
    <row r="3585" ht="15">
      <c r="D3585" s="71"/>
    </row>
    <row r="3586" ht="15">
      <c r="D3586" s="71"/>
    </row>
    <row r="3587" ht="15">
      <c r="D3587" s="71"/>
    </row>
    <row r="3588" ht="15">
      <c r="D3588" s="71"/>
    </row>
    <row r="3589" ht="15">
      <c r="D3589" s="71"/>
    </row>
    <row r="3590" ht="15">
      <c r="D3590" s="71"/>
    </row>
    <row r="3591" ht="15">
      <c r="D3591" s="71"/>
    </row>
    <row r="3592" ht="15">
      <c r="D3592" s="71"/>
    </row>
    <row r="3593" ht="15">
      <c r="D3593" s="71"/>
    </row>
    <row r="3594" ht="15">
      <c r="D3594" s="71"/>
    </row>
    <row r="3595" ht="15">
      <c r="D3595" s="71"/>
    </row>
    <row r="3596" ht="15">
      <c r="D3596" s="71"/>
    </row>
    <row r="3597" ht="15">
      <c r="D3597" s="71"/>
    </row>
    <row r="3598" ht="15">
      <c r="D3598" s="71"/>
    </row>
    <row r="3599" ht="15">
      <c r="D3599" s="71"/>
    </row>
    <row r="3600" ht="15">
      <c r="D3600" s="71"/>
    </row>
    <row r="3601" ht="15">
      <c r="D3601" s="71"/>
    </row>
    <row r="3602" ht="15">
      <c r="D3602" s="71"/>
    </row>
    <row r="3603" ht="15">
      <c r="D3603" s="71"/>
    </row>
    <row r="3604" ht="15">
      <c r="D3604" s="71"/>
    </row>
    <row r="3605" ht="15">
      <c r="D3605" s="71"/>
    </row>
    <row r="3606" ht="15">
      <c r="D3606" s="71"/>
    </row>
    <row r="3607" ht="15">
      <c r="D3607" s="71"/>
    </row>
    <row r="3608" ht="15">
      <c r="D3608" s="71"/>
    </row>
    <row r="3609" ht="15">
      <c r="D3609" s="71"/>
    </row>
    <row r="3610" ht="15">
      <c r="D3610" s="71"/>
    </row>
    <row r="3611" ht="15">
      <c r="D3611" s="71"/>
    </row>
    <row r="3612" ht="15">
      <c r="D3612" s="71"/>
    </row>
    <row r="3613" ht="15">
      <c r="D3613" s="71"/>
    </row>
    <row r="3614" ht="15">
      <c r="D3614" s="71"/>
    </row>
    <row r="3615" ht="15">
      <c r="D3615" s="71"/>
    </row>
    <row r="3616" ht="15">
      <c r="D3616" s="71"/>
    </row>
    <row r="3617" ht="15">
      <c r="D3617" s="71"/>
    </row>
    <row r="3618" ht="15">
      <c r="D3618" s="71"/>
    </row>
    <row r="3619" ht="15">
      <c r="D3619" s="71"/>
    </row>
    <row r="3620" ht="15">
      <c r="D3620" s="71"/>
    </row>
    <row r="3621" ht="15">
      <c r="D3621" s="71"/>
    </row>
    <row r="3622" ht="15">
      <c r="D3622" s="71"/>
    </row>
    <row r="3623" ht="15">
      <c r="D3623" s="71"/>
    </row>
    <row r="3624" ht="15">
      <c r="D3624" s="71"/>
    </row>
    <row r="3625" ht="15">
      <c r="D3625" s="71"/>
    </row>
    <row r="3626" ht="15">
      <c r="D3626" s="71"/>
    </row>
    <row r="3627" ht="15">
      <c r="D3627" s="71"/>
    </row>
    <row r="3628" ht="15">
      <c r="D3628" s="71"/>
    </row>
    <row r="3629" ht="15">
      <c r="D3629" s="71"/>
    </row>
    <row r="3630" ht="15">
      <c r="D3630" s="71"/>
    </row>
    <row r="3631" ht="15">
      <c r="D3631" s="71"/>
    </row>
    <row r="3632" ht="15">
      <c r="D3632" s="71"/>
    </row>
    <row r="3633" ht="15">
      <c r="D3633" s="71"/>
    </row>
    <row r="3634" ht="15">
      <c r="D3634" s="71"/>
    </row>
    <row r="3635" ht="15">
      <c r="D3635" s="71"/>
    </row>
    <row r="3636" ht="15">
      <c r="D3636" s="71"/>
    </row>
    <row r="3637" ht="15">
      <c r="D3637" s="71"/>
    </row>
    <row r="3638" ht="15">
      <c r="D3638" s="71"/>
    </row>
    <row r="3639" ht="15">
      <c r="D3639" s="71"/>
    </row>
    <row r="3640" ht="15">
      <c r="D3640" s="71"/>
    </row>
    <row r="3641" ht="15">
      <c r="D3641" s="71"/>
    </row>
    <row r="3642" ht="15">
      <c r="D3642" s="71"/>
    </row>
    <row r="3643" ht="15">
      <c r="D3643" s="71"/>
    </row>
    <row r="3644" ht="15">
      <c r="D3644" s="71"/>
    </row>
    <row r="3645" ht="15">
      <c r="D3645" s="71"/>
    </row>
    <row r="3646" ht="15">
      <c r="D3646" s="71"/>
    </row>
    <row r="3647" ht="15">
      <c r="D3647" s="71"/>
    </row>
    <row r="3648" ht="15">
      <c r="D3648" s="71"/>
    </row>
    <row r="3649" ht="15">
      <c r="D3649" s="71"/>
    </row>
    <row r="3650" ht="15">
      <c r="D3650" s="71"/>
    </row>
    <row r="3651" ht="15">
      <c r="D3651" s="71"/>
    </row>
    <row r="3652" ht="15">
      <c r="D3652" s="71"/>
    </row>
    <row r="3653" ht="15">
      <c r="D3653" s="71"/>
    </row>
    <row r="3654" ht="15">
      <c r="D3654" s="71"/>
    </row>
    <row r="3655" ht="15">
      <c r="D3655" s="71"/>
    </row>
    <row r="3656" ht="15">
      <c r="D3656" s="71"/>
    </row>
    <row r="3657" ht="15">
      <c r="D3657" s="71"/>
    </row>
    <row r="3658" ht="15">
      <c r="D3658" s="71"/>
    </row>
    <row r="3659" ht="15">
      <c r="D3659" s="71"/>
    </row>
    <row r="3660" ht="15">
      <c r="D3660" s="71"/>
    </row>
    <row r="3661" ht="15">
      <c r="D3661" s="71"/>
    </row>
    <row r="3662" ht="15">
      <c r="D3662" s="71"/>
    </row>
    <row r="3663" ht="15">
      <c r="D3663" s="71"/>
    </row>
    <row r="3664" ht="15">
      <c r="D3664" s="71"/>
    </row>
    <row r="3665" ht="15">
      <c r="D3665" s="71"/>
    </row>
    <row r="3666" ht="15">
      <c r="D3666" s="71"/>
    </row>
    <row r="3667" ht="15">
      <c r="D3667" s="71"/>
    </row>
    <row r="3668" ht="15">
      <c r="D3668" s="71"/>
    </row>
    <row r="3669" ht="15">
      <c r="D3669" s="71"/>
    </row>
    <row r="3670" ht="15">
      <c r="D3670" s="71"/>
    </row>
    <row r="3671" ht="15">
      <c r="D3671" s="71"/>
    </row>
    <row r="3672" ht="15">
      <c r="D3672" s="71"/>
    </row>
    <row r="3673" ht="15">
      <c r="D3673" s="71"/>
    </row>
    <row r="3674" ht="15">
      <c r="D3674" s="71"/>
    </row>
    <row r="3675" ht="15">
      <c r="D3675" s="71"/>
    </row>
    <row r="3676" ht="15">
      <c r="D3676" s="71"/>
    </row>
    <row r="3677" ht="15">
      <c r="D3677" s="71"/>
    </row>
    <row r="3678" ht="15">
      <c r="D3678" s="71"/>
    </row>
    <row r="3679" ht="15">
      <c r="D3679" s="71"/>
    </row>
    <row r="3680" ht="15">
      <c r="D3680" s="71"/>
    </row>
    <row r="3681" ht="15">
      <c r="D3681" s="71"/>
    </row>
    <row r="3682" ht="15">
      <c r="D3682" s="71"/>
    </row>
    <row r="3683" ht="15">
      <c r="D3683" s="71"/>
    </row>
    <row r="3684" ht="15">
      <c r="D3684" s="71"/>
    </row>
    <row r="3685" ht="15">
      <c r="D3685" s="71"/>
    </row>
    <row r="3686" ht="15">
      <c r="D3686" s="71"/>
    </row>
    <row r="3687" ht="15">
      <c r="D3687" s="71"/>
    </row>
    <row r="3688" ht="15">
      <c r="D3688" s="71"/>
    </row>
    <row r="3689" ht="15">
      <c r="D3689" s="71"/>
    </row>
    <row r="3690" ht="15">
      <c r="D3690" s="71"/>
    </row>
    <row r="3691" ht="15">
      <c r="D3691" s="71"/>
    </row>
    <row r="3692" ht="15">
      <c r="D3692" s="71"/>
    </row>
    <row r="3693" ht="15">
      <c r="D3693" s="71"/>
    </row>
    <row r="3694" ht="15">
      <c r="D3694" s="71"/>
    </row>
    <row r="3695" ht="15">
      <c r="D3695" s="71"/>
    </row>
    <row r="3696" ht="15">
      <c r="D3696" s="71"/>
    </row>
    <row r="3697" ht="15">
      <c r="D3697" s="71"/>
    </row>
    <row r="3698" ht="15">
      <c r="D3698" s="71"/>
    </row>
    <row r="3699" ht="15">
      <c r="D3699" s="71"/>
    </row>
    <row r="3700" ht="15">
      <c r="D3700" s="71"/>
    </row>
    <row r="3701" ht="15">
      <c r="D3701" s="71"/>
    </row>
    <row r="3702" ht="15">
      <c r="D3702" s="71"/>
    </row>
    <row r="3703" ht="15">
      <c r="D3703" s="71"/>
    </row>
    <row r="3704" ht="15">
      <c r="D3704" s="71"/>
    </row>
    <row r="3705" ht="15">
      <c r="D3705" s="71"/>
    </row>
    <row r="3706" ht="15">
      <c r="D3706" s="71"/>
    </row>
    <row r="3707" ht="15">
      <c r="D3707" s="71"/>
    </row>
    <row r="3708" ht="15">
      <c r="D3708" s="71"/>
    </row>
    <row r="3709" ht="15">
      <c r="D3709" s="71"/>
    </row>
    <row r="3710" ht="15">
      <c r="D3710" s="71"/>
    </row>
    <row r="3711" ht="15">
      <c r="D3711" s="71"/>
    </row>
    <row r="3712" ht="15">
      <c r="D3712" s="71"/>
    </row>
    <row r="3713" ht="15">
      <c r="D3713" s="71"/>
    </row>
    <row r="3714" ht="15">
      <c r="D3714" s="71"/>
    </row>
    <row r="3715" ht="15">
      <c r="D3715" s="71"/>
    </row>
    <row r="3716" ht="15">
      <c r="D3716" s="71"/>
    </row>
    <row r="3717" ht="15">
      <c r="D3717" s="71"/>
    </row>
    <row r="3718" ht="15">
      <c r="D3718" s="71"/>
    </row>
    <row r="3719" ht="15">
      <c r="D3719" s="71"/>
    </row>
    <row r="3720" ht="15">
      <c r="D3720" s="71"/>
    </row>
    <row r="3721" ht="15">
      <c r="D3721" s="71"/>
    </row>
    <row r="3722" ht="15">
      <c r="D3722" s="71"/>
    </row>
    <row r="3723" ht="15">
      <c r="D3723" s="71"/>
    </row>
    <row r="3724" ht="15">
      <c r="D3724" s="71"/>
    </row>
    <row r="3725" ht="15">
      <c r="D3725" s="71"/>
    </row>
    <row r="3726" ht="15">
      <c r="D3726" s="71"/>
    </row>
    <row r="3727" ht="15">
      <c r="D3727" s="71"/>
    </row>
    <row r="3728" ht="15">
      <c r="D3728" s="71"/>
    </row>
    <row r="3729" ht="15">
      <c r="D3729" s="71"/>
    </row>
    <row r="3730" ht="15">
      <c r="D3730" s="71"/>
    </row>
    <row r="3731" ht="15">
      <c r="D3731" s="71"/>
    </row>
    <row r="3732" ht="15">
      <c r="D3732" s="71"/>
    </row>
    <row r="3733" ht="15">
      <c r="D3733" s="71"/>
    </row>
    <row r="3734" ht="15">
      <c r="D3734" s="71"/>
    </row>
    <row r="3735" ht="15">
      <c r="D3735" s="71"/>
    </row>
    <row r="3736" ht="15">
      <c r="D3736" s="71"/>
    </row>
    <row r="3737" ht="15">
      <c r="D3737" s="71"/>
    </row>
    <row r="3738" ht="15">
      <c r="D3738" s="71"/>
    </row>
    <row r="3739" ht="15">
      <c r="D3739" s="71"/>
    </row>
    <row r="3740" ht="15">
      <c r="D3740" s="71"/>
    </row>
    <row r="3741" ht="15">
      <c r="D3741" s="71"/>
    </row>
    <row r="3742" ht="15">
      <c r="D3742" s="71"/>
    </row>
    <row r="3743" ht="15">
      <c r="D3743" s="71"/>
    </row>
    <row r="3744" ht="15">
      <c r="D3744" s="71"/>
    </row>
    <row r="3745" ht="15">
      <c r="D3745" s="71"/>
    </row>
    <row r="3746" ht="15">
      <c r="D3746" s="71"/>
    </row>
    <row r="3747" ht="15">
      <c r="D3747" s="71"/>
    </row>
    <row r="3748" ht="15">
      <c r="D3748" s="71"/>
    </row>
    <row r="3749" ht="15">
      <c r="D3749" s="71"/>
    </row>
    <row r="3750" ht="15">
      <c r="D3750" s="71"/>
    </row>
    <row r="3751" ht="15">
      <c r="D3751" s="71"/>
    </row>
    <row r="3752" ht="15">
      <c r="D3752" s="71"/>
    </row>
    <row r="3753" ht="15">
      <c r="D3753" s="71"/>
    </row>
    <row r="3754" ht="15">
      <c r="D3754" s="71"/>
    </row>
    <row r="3755" ht="15">
      <c r="D3755" s="71"/>
    </row>
    <row r="3756" ht="15">
      <c r="D3756" s="71"/>
    </row>
    <row r="3757" ht="15">
      <c r="D3757" s="71"/>
    </row>
    <row r="3758" ht="15">
      <c r="D3758" s="71"/>
    </row>
    <row r="3759" ht="15">
      <c r="D3759" s="71"/>
    </row>
    <row r="3760" ht="15">
      <c r="D3760" s="71"/>
    </row>
    <row r="3761" ht="15">
      <c r="D3761" s="71"/>
    </row>
    <row r="3762" ht="15">
      <c r="D3762" s="71"/>
    </row>
    <row r="3763" ht="15">
      <c r="D3763" s="71"/>
    </row>
    <row r="3764" ht="15">
      <c r="D3764" s="71"/>
    </row>
    <row r="3765" ht="15">
      <c r="D3765" s="71"/>
    </row>
    <row r="3766" ht="15">
      <c r="D3766" s="71"/>
    </row>
    <row r="3767" ht="15">
      <c r="D3767" s="71"/>
    </row>
    <row r="3768" ht="15">
      <c r="D3768" s="71"/>
    </row>
    <row r="3769" ht="15">
      <c r="D3769" s="71"/>
    </row>
    <row r="3770" ht="15">
      <c r="D3770" s="71"/>
    </row>
    <row r="3771" ht="15">
      <c r="D3771" s="71"/>
    </row>
    <row r="3772" ht="15">
      <c r="D3772" s="71"/>
    </row>
    <row r="3773" ht="15">
      <c r="D3773" s="71"/>
    </row>
    <row r="3774" ht="15">
      <c r="D3774" s="71"/>
    </row>
    <row r="3775" ht="15">
      <c r="D3775" s="71"/>
    </row>
    <row r="3776" ht="15">
      <c r="D3776" s="71"/>
    </row>
    <row r="3777" ht="15">
      <c r="D3777" s="71"/>
    </row>
    <row r="3778" ht="15">
      <c r="D3778" s="71"/>
    </row>
    <row r="3779" ht="15">
      <c r="D3779" s="71"/>
    </row>
    <row r="3780" ht="15">
      <c r="D3780" s="71"/>
    </row>
    <row r="3781" ht="15">
      <c r="D3781" s="71"/>
    </row>
    <row r="3782" ht="15">
      <c r="D3782" s="71"/>
    </row>
    <row r="3783" ht="15">
      <c r="D3783" s="71"/>
    </row>
    <row r="3784" ht="15">
      <c r="D3784" s="71"/>
    </row>
    <row r="3785" ht="15">
      <c r="D3785" s="71"/>
    </row>
    <row r="3786" ht="15">
      <c r="D3786" s="71"/>
    </row>
    <row r="3787" ht="15">
      <c r="D3787" s="71"/>
    </row>
    <row r="3788" ht="15">
      <c r="D3788" s="71"/>
    </row>
    <row r="3789" ht="15">
      <c r="D3789" s="71"/>
    </row>
    <row r="3790" ht="15">
      <c r="D3790" s="71"/>
    </row>
    <row r="3791" ht="15">
      <c r="D3791" s="71"/>
    </row>
    <row r="3792" ht="15">
      <c r="D3792" s="71"/>
    </row>
    <row r="3793" ht="15">
      <c r="D3793" s="71"/>
    </row>
    <row r="3794" ht="15">
      <c r="D3794" s="71"/>
    </row>
    <row r="3795" ht="15">
      <c r="D3795" s="71"/>
    </row>
    <row r="3796" ht="15">
      <c r="D3796" s="71"/>
    </row>
    <row r="3797" ht="15">
      <c r="D3797" s="71"/>
    </row>
    <row r="3798" ht="15">
      <c r="D3798" s="71"/>
    </row>
    <row r="3799" ht="15">
      <c r="D3799" s="71"/>
    </row>
    <row r="3800" ht="15">
      <c r="D3800" s="71"/>
    </row>
    <row r="3801" ht="15">
      <c r="D3801" s="71"/>
    </row>
    <row r="3802" ht="15">
      <c r="D3802" s="71"/>
    </row>
    <row r="3803" ht="15">
      <c r="D3803" s="71"/>
    </row>
    <row r="3804" ht="15">
      <c r="D3804" s="71"/>
    </row>
    <row r="3805" ht="15">
      <c r="D3805" s="71"/>
    </row>
    <row r="3806" ht="15">
      <c r="D3806" s="71"/>
    </row>
    <row r="3807" ht="15">
      <c r="D3807" s="71"/>
    </row>
    <row r="3808" ht="15">
      <c r="D3808" s="71"/>
    </row>
    <row r="3809" ht="15">
      <c r="D3809" s="71"/>
    </row>
    <row r="3810" ht="15">
      <c r="D3810" s="71"/>
    </row>
    <row r="3811" ht="15">
      <c r="D3811" s="71"/>
    </row>
    <row r="3812" ht="15">
      <c r="D3812" s="71"/>
    </row>
    <row r="3813" ht="15">
      <c r="D3813" s="71"/>
    </row>
    <row r="3814" ht="15">
      <c r="D3814" s="71"/>
    </row>
    <row r="3815" ht="15">
      <c r="D3815" s="71"/>
    </row>
    <row r="3816" ht="15">
      <c r="D3816" s="71"/>
    </row>
    <row r="3817" ht="15">
      <c r="D3817" s="71"/>
    </row>
    <row r="3818" ht="15">
      <c r="D3818" s="71"/>
    </row>
    <row r="3819" ht="15">
      <c r="D3819" s="71"/>
    </row>
    <row r="3820" ht="15">
      <c r="D3820" s="71"/>
    </row>
    <row r="3821" ht="15">
      <c r="D3821" s="71"/>
    </row>
    <row r="3822" ht="15">
      <c r="D3822" s="71"/>
    </row>
    <row r="3823" ht="15">
      <c r="D3823" s="71"/>
    </row>
    <row r="3824" ht="15">
      <c r="D3824" s="71"/>
    </row>
    <row r="3825" ht="15">
      <c r="D3825" s="71"/>
    </row>
    <row r="3826" ht="15">
      <c r="D3826" s="71"/>
    </row>
    <row r="3827" ht="15">
      <c r="D3827" s="71"/>
    </row>
    <row r="3828" ht="15">
      <c r="D3828" s="71"/>
    </row>
    <row r="3829" ht="15">
      <c r="D3829" s="71"/>
    </row>
    <row r="3830" ht="15">
      <c r="D3830" s="71"/>
    </row>
    <row r="3831" ht="15">
      <c r="D3831" s="71"/>
    </row>
    <row r="3832" ht="15">
      <c r="D3832" s="71"/>
    </row>
    <row r="3833" ht="15">
      <c r="D3833" s="71"/>
    </row>
    <row r="3834" ht="15">
      <c r="D3834" s="71"/>
    </row>
    <row r="3835" ht="15">
      <c r="D3835" s="71"/>
    </row>
    <row r="3836" ht="15">
      <c r="D3836" s="71"/>
    </row>
    <row r="3837" ht="15">
      <c r="D3837" s="71"/>
    </row>
    <row r="3838" ht="15">
      <c r="D3838" s="71"/>
    </row>
    <row r="3839" ht="15">
      <c r="D3839" s="71"/>
    </row>
    <row r="3840" ht="15">
      <c r="D3840" s="71"/>
    </row>
    <row r="3841" ht="15">
      <c r="D3841" s="71"/>
    </row>
    <row r="3842" ht="15">
      <c r="D3842" s="71"/>
    </row>
    <row r="3843" ht="15">
      <c r="D3843" s="71"/>
    </row>
    <row r="3844" ht="15">
      <c r="D3844" s="71"/>
    </row>
    <row r="3845" ht="15">
      <c r="D3845" s="71"/>
    </row>
    <row r="3846" ht="15">
      <c r="D3846" s="71"/>
    </row>
    <row r="3847" ht="15">
      <c r="D3847" s="71"/>
    </row>
    <row r="3848" ht="15">
      <c r="D3848" s="71"/>
    </row>
    <row r="3849" ht="15">
      <c r="D3849" s="71"/>
    </row>
    <row r="3850" ht="15">
      <c r="D3850" s="71"/>
    </row>
    <row r="3851" ht="15">
      <c r="D3851" s="71"/>
    </row>
    <row r="3852" ht="15">
      <c r="D3852" s="71"/>
    </row>
    <row r="3853" ht="15">
      <c r="D3853" s="71"/>
    </row>
    <row r="3854" ht="15">
      <c r="D3854" s="71"/>
    </row>
    <row r="3855" ht="15">
      <c r="D3855" s="71"/>
    </row>
    <row r="3856" ht="15">
      <c r="D3856" s="71"/>
    </row>
    <row r="3857" ht="15">
      <c r="D3857" s="71"/>
    </row>
    <row r="3858" ht="15">
      <c r="D3858" s="71"/>
    </row>
    <row r="3859" ht="15">
      <c r="D3859" s="71"/>
    </row>
    <row r="3860" ht="15">
      <c r="D3860" s="71"/>
    </row>
    <row r="3861" ht="15">
      <c r="D3861" s="71"/>
    </row>
    <row r="3862" ht="15">
      <c r="D3862" s="71"/>
    </row>
    <row r="3863" ht="15">
      <c r="D3863" s="71"/>
    </row>
    <row r="3864" ht="15">
      <c r="D3864" s="71"/>
    </row>
    <row r="3865" ht="15">
      <c r="D3865" s="71"/>
    </row>
    <row r="3866" ht="15">
      <c r="D3866" s="71"/>
    </row>
    <row r="3867" ht="15">
      <c r="D3867" s="71"/>
    </row>
    <row r="3868" ht="15">
      <c r="D3868" s="71"/>
    </row>
    <row r="3869" ht="15">
      <c r="D3869" s="71"/>
    </row>
    <row r="3870" ht="15">
      <c r="D3870" s="71"/>
    </row>
    <row r="3871" ht="15">
      <c r="D3871" s="71"/>
    </row>
    <row r="3872" ht="15">
      <c r="D3872" s="71"/>
    </row>
    <row r="3873" ht="15">
      <c r="D3873" s="71"/>
    </row>
    <row r="3874" ht="15">
      <c r="D3874" s="71"/>
    </row>
    <row r="3875" ht="15">
      <c r="D3875" s="71"/>
    </row>
    <row r="3876" ht="15">
      <c r="D3876" s="71"/>
    </row>
    <row r="3877" ht="15">
      <c r="D3877" s="71"/>
    </row>
    <row r="3878" ht="15">
      <c r="D3878" s="71"/>
    </row>
    <row r="3879" ht="15">
      <c r="D3879" s="71"/>
    </row>
    <row r="3880" ht="15">
      <c r="D3880" s="71"/>
    </row>
    <row r="3881" ht="15">
      <c r="D3881" s="71"/>
    </row>
    <row r="3882" ht="15">
      <c r="D3882" s="71"/>
    </row>
    <row r="3883" ht="15">
      <c r="D3883" s="71"/>
    </row>
    <row r="3884" ht="15">
      <c r="D3884" s="71"/>
    </row>
    <row r="3885" ht="15">
      <c r="D3885" s="71"/>
    </row>
    <row r="3886" ht="15">
      <c r="D3886" s="71"/>
    </row>
    <row r="3887" ht="15">
      <c r="D3887" s="71"/>
    </row>
    <row r="3888" ht="15">
      <c r="D3888" s="71"/>
    </row>
    <row r="3889" ht="15">
      <c r="D3889" s="71"/>
    </row>
    <row r="3890" ht="15">
      <c r="D3890" s="71"/>
    </row>
    <row r="3891" ht="15">
      <c r="D3891" s="71"/>
    </row>
    <row r="3892" ht="15">
      <c r="D3892" s="71"/>
    </row>
    <row r="3893" ht="15">
      <c r="D3893" s="71"/>
    </row>
    <row r="3894" ht="15">
      <c r="D3894" s="71"/>
    </row>
    <row r="3895" ht="15">
      <c r="D3895" s="71"/>
    </row>
    <row r="3896" ht="15">
      <c r="D3896" s="71"/>
    </row>
    <row r="3897" ht="15">
      <c r="D3897" s="71"/>
    </row>
    <row r="3898" ht="15">
      <c r="D3898" s="71"/>
    </row>
    <row r="3899" ht="15">
      <c r="D3899" s="71"/>
    </row>
    <row r="3900" ht="15">
      <c r="D3900" s="71"/>
    </row>
    <row r="3901" ht="15">
      <c r="D3901" s="71"/>
    </row>
    <row r="3902" ht="15">
      <c r="D3902" s="71"/>
    </row>
    <row r="3903" ht="15">
      <c r="D3903" s="71"/>
    </row>
    <row r="3904" ht="15">
      <c r="D3904" s="71"/>
    </row>
    <row r="3905" ht="15">
      <c r="D3905" s="71"/>
    </row>
    <row r="3906" ht="15">
      <c r="D3906" s="71"/>
    </row>
    <row r="3907" ht="15">
      <c r="D3907" s="71"/>
    </row>
    <row r="3908" ht="15">
      <c r="D3908" s="71"/>
    </row>
    <row r="3909" ht="15">
      <c r="D3909" s="71"/>
    </row>
    <row r="3910" ht="15">
      <c r="D3910" s="71"/>
    </row>
    <row r="3911" ht="15">
      <c r="D3911" s="71"/>
    </row>
    <row r="3912" ht="15">
      <c r="D3912" s="71"/>
    </row>
    <row r="3913" ht="15">
      <c r="D3913" s="71"/>
    </row>
    <row r="3914" ht="15">
      <c r="D3914" s="71"/>
    </row>
    <row r="3915" ht="15">
      <c r="D3915" s="71"/>
    </row>
    <row r="3916" ht="15">
      <c r="D3916" s="71"/>
    </row>
    <row r="3917" ht="15">
      <c r="D3917" s="71"/>
    </row>
    <row r="3918" ht="15">
      <c r="D3918" s="71"/>
    </row>
    <row r="3919" ht="15">
      <c r="D3919" s="71"/>
    </row>
    <row r="3920" ht="15">
      <c r="D3920" s="71"/>
    </row>
    <row r="3921" ht="15">
      <c r="D3921" s="71"/>
    </row>
    <row r="3922" ht="15">
      <c r="D3922" s="71"/>
    </row>
    <row r="3923" ht="15">
      <c r="D3923" s="71"/>
    </row>
    <row r="3924" ht="15">
      <c r="D3924" s="71"/>
    </row>
    <row r="3925" ht="15">
      <c r="D3925" s="71"/>
    </row>
    <row r="3926" ht="15">
      <c r="D3926" s="71"/>
    </row>
    <row r="3927" ht="15">
      <c r="D3927" s="71"/>
    </row>
    <row r="3928" ht="15">
      <c r="D3928" s="71"/>
    </row>
    <row r="3929" ht="15">
      <c r="D3929" s="71"/>
    </row>
    <row r="3930" ht="15">
      <c r="D3930" s="71"/>
    </row>
    <row r="3931" ht="15">
      <c r="D3931" s="71"/>
    </row>
    <row r="3932" ht="15">
      <c r="D3932" s="71"/>
    </row>
    <row r="3933" ht="15">
      <c r="D3933" s="71"/>
    </row>
    <row r="3934" ht="15">
      <c r="D3934" s="71"/>
    </row>
    <row r="3935" ht="15">
      <c r="D3935" s="71"/>
    </row>
    <row r="3936" ht="15">
      <c r="D3936" s="71"/>
    </row>
    <row r="3937" ht="15">
      <c r="D3937" s="71"/>
    </row>
    <row r="3938" ht="15">
      <c r="D3938" s="71"/>
    </row>
    <row r="3939" ht="15">
      <c r="D3939" s="71"/>
    </row>
    <row r="3940" ht="15">
      <c r="D3940" s="71"/>
    </row>
    <row r="3941" ht="15">
      <c r="D3941" s="71"/>
    </row>
    <row r="3942" ht="15">
      <c r="D3942" s="71"/>
    </row>
    <row r="3943" ht="15">
      <c r="D3943" s="71"/>
    </row>
    <row r="3944" ht="15">
      <c r="D3944" s="71"/>
    </row>
    <row r="3945" ht="15">
      <c r="D3945" s="71"/>
    </row>
    <row r="3946" ht="15">
      <c r="D3946" s="71"/>
    </row>
    <row r="3947" ht="15">
      <c r="D3947" s="71"/>
    </row>
    <row r="3948" ht="15">
      <c r="D3948" s="71"/>
    </row>
    <row r="3949" ht="15">
      <c r="D3949" s="71"/>
    </row>
    <row r="3950" ht="15">
      <c r="D3950" s="71"/>
    </row>
    <row r="3951" ht="15">
      <c r="D3951" s="71"/>
    </row>
    <row r="3952" ht="15">
      <c r="D3952" s="71"/>
    </row>
    <row r="3953" ht="15">
      <c r="D3953" s="71"/>
    </row>
    <row r="3954" ht="15">
      <c r="D3954" s="71"/>
    </row>
    <row r="3955" ht="15">
      <c r="D3955" s="71"/>
    </row>
    <row r="3956" ht="15">
      <c r="D3956" s="71"/>
    </row>
    <row r="3957" ht="15">
      <c r="D3957" s="71"/>
    </row>
    <row r="3958" ht="15">
      <c r="D3958" s="71"/>
    </row>
    <row r="3959" ht="15">
      <c r="D3959" s="71"/>
    </row>
    <row r="3960" ht="15">
      <c r="D3960" s="71"/>
    </row>
    <row r="3961" ht="15">
      <c r="D3961" s="71"/>
    </row>
    <row r="3962" ht="15">
      <c r="D3962" s="71"/>
    </row>
    <row r="3963" ht="15">
      <c r="D3963" s="71"/>
    </row>
    <row r="3964" ht="15">
      <c r="D3964" s="71"/>
    </row>
    <row r="3965" ht="15">
      <c r="D3965" s="71"/>
    </row>
    <row r="3966" ht="15">
      <c r="D3966" s="71"/>
    </row>
    <row r="3967" ht="15">
      <c r="D3967" s="71"/>
    </row>
    <row r="3968" ht="15">
      <c r="D3968" s="71"/>
    </row>
    <row r="3969" ht="15">
      <c r="D3969" s="71"/>
    </row>
    <row r="3970" ht="15">
      <c r="D3970" s="71"/>
    </row>
    <row r="3971" ht="15">
      <c r="D3971" s="71"/>
    </row>
    <row r="3972" ht="15">
      <c r="D3972" s="71"/>
    </row>
    <row r="3973" ht="15">
      <c r="D3973" s="71"/>
    </row>
    <row r="3974" ht="15">
      <c r="D3974" s="71"/>
    </row>
    <row r="3975" ht="15">
      <c r="D3975" s="71"/>
    </row>
    <row r="3976" ht="15">
      <c r="D3976" s="71"/>
    </row>
    <row r="3977" ht="15">
      <c r="D3977" s="71"/>
    </row>
    <row r="3978" ht="15">
      <c r="D3978" s="71"/>
    </row>
    <row r="3979" ht="15">
      <c r="D3979" s="71"/>
    </row>
    <row r="3980" ht="15">
      <c r="D3980" s="71"/>
    </row>
    <row r="3981" ht="15">
      <c r="D3981" s="71"/>
    </row>
    <row r="3982" ht="15">
      <c r="D3982" s="71"/>
    </row>
    <row r="3983" ht="15">
      <c r="D3983" s="71"/>
    </row>
    <row r="3984" ht="15">
      <c r="D3984" s="71"/>
    </row>
    <row r="3985" ht="15">
      <c r="D3985" s="71"/>
    </row>
    <row r="3986" ht="15">
      <c r="D3986" s="71"/>
    </row>
    <row r="3987" ht="15">
      <c r="D3987" s="71"/>
    </row>
    <row r="3988" ht="15">
      <c r="D3988" s="71"/>
    </row>
    <row r="3989" ht="15">
      <c r="D3989" s="71"/>
    </row>
    <row r="3990" ht="15">
      <c r="D3990" s="71"/>
    </row>
    <row r="3991" ht="15">
      <c r="D3991" s="71"/>
    </row>
    <row r="3992" ht="15">
      <c r="D3992" s="71"/>
    </row>
    <row r="3993" ht="15">
      <c r="D3993" s="71"/>
    </row>
    <row r="3994" ht="15">
      <c r="D3994" s="71"/>
    </row>
    <row r="3995" ht="15">
      <c r="D3995" s="71"/>
    </row>
    <row r="3996" ht="15">
      <c r="D3996" s="71"/>
    </row>
    <row r="3997" ht="15">
      <c r="D3997" s="71"/>
    </row>
    <row r="3998" ht="15">
      <c r="D3998" s="71"/>
    </row>
    <row r="3999" ht="15">
      <c r="D3999" s="71"/>
    </row>
    <row r="4000" ht="15">
      <c r="D4000" s="71"/>
    </row>
    <row r="4001" ht="15">
      <c r="D4001" s="71"/>
    </row>
    <row r="4002" ht="15">
      <c r="D4002" s="71"/>
    </row>
    <row r="4003" ht="15">
      <c r="D4003" s="71"/>
    </row>
    <row r="4004" ht="15">
      <c r="D4004" s="71"/>
    </row>
    <row r="4005" ht="15">
      <c r="D4005" s="71"/>
    </row>
    <row r="4006" ht="15">
      <c r="D4006" s="71"/>
    </row>
    <row r="4007" ht="15">
      <c r="D4007" s="71"/>
    </row>
    <row r="4008" ht="15">
      <c r="D4008" s="71"/>
    </row>
    <row r="4009" ht="15">
      <c r="D4009" s="71"/>
    </row>
    <row r="4010" ht="15">
      <c r="D4010" s="71"/>
    </row>
    <row r="4011" ht="15">
      <c r="D4011" s="71"/>
    </row>
    <row r="4012" ht="15">
      <c r="D4012" s="71"/>
    </row>
    <row r="4013" ht="15">
      <c r="D4013" s="71"/>
    </row>
    <row r="4014" ht="15">
      <c r="D4014" s="71"/>
    </row>
    <row r="4015" ht="15">
      <c r="D4015" s="71"/>
    </row>
    <row r="4016" ht="15">
      <c r="D4016" s="71"/>
    </row>
    <row r="4017" ht="15">
      <c r="D4017" s="71"/>
    </row>
    <row r="4018" ht="15">
      <c r="D4018" s="71"/>
    </row>
    <row r="4019" ht="15">
      <c r="D4019" s="71"/>
    </row>
    <row r="4020" ht="15">
      <c r="D4020" s="71"/>
    </row>
    <row r="4021" ht="15">
      <c r="D4021" s="71"/>
    </row>
    <row r="4022" ht="15">
      <c r="D4022" s="71"/>
    </row>
    <row r="4023" ht="15">
      <c r="D4023" s="71"/>
    </row>
    <row r="4024" ht="15">
      <c r="D4024" s="71"/>
    </row>
    <row r="4025" ht="15">
      <c r="D4025" s="71"/>
    </row>
    <row r="4026" ht="15">
      <c r="D4026" s="71"/>
    </row>
    <row r="4027" ht="15">
      <c r="D4027" s="71"/>
    </row>
    <row r="4028" ht="15">
      <c r="D4028" s="71"/>
    </row>
    <row r="4029" ht="15">
      <c r="D4029" s="71"/>
    </row>
    <row r="4030" ht="15">
      <c r="D4030" s="71"/>
    </row>
    <row r="4031" ht="15">
      <c r="D4031" s="71"/>
    </row>
    <row r="4032" ht="15">
      <c r="D4032" s="71"/>
    </row>
    <row r="4033" ht="15">
      <c r="D4033" s="71"/>
    </row>
    <row r="4034" ht="15">
      <c r="D4034" s="71"/>
    </row>
    <row r="4035" ht="15">
      <c r="D4035" s="71"/>
    </row>
    <row r="4036" ht="15">
      <c r="D4036" s="71"/>
    </row>
    <row r="4037" ht="15">
      <c r="D4037" s="71"/>
    </row>
    <row r="4038" ht="15">
      <c r="D4038" s="71"/>
    </row>
    <row r="4039" ht="15">
      <c r="D4039" s="71"/>
    </row>
    <row r="4040" ht="15">
      <c r="D4040" s="71"/>
    </row>
    <row r="4041" ht="15">
      <c r="D4041" s="71"/>
    </row>
    <row r="4042" ht="15">
      <c r="D4042" s="71"/>
    </row>
    <row r="4043" ht="15">
      <c r="D4043" s="71"/>
    </row>
    <row r="4044" ht="15">
      <c r="D4044" s="71"/>
    </row>
    <row r="4045" ht="15">
      <c r="D4045" s="71"/>
    </row>
    <row r="4046" ht="15">
      <c r="D4046" s="71"/>
    </row>
    <row r="4047" ht="15">
      <c r="D4047" s="71"/>
    </row>
    <row r="4048" ht="15">
      <c r="D4048" s="71"/>
    </row>
    <row r="4049" ht="15">
      <c r="D4049" s="71"/>
    </row>
    <row r="4050" ht="15">
      <c r="D4050" s="71"/>
    </row>
    <row r="4051" ht="15">
      <c r="D4051" s="71"/>
    </row>
    <row r="4052" ht="15">
      <c r="D4052" s="71"/>
    </row>
    <row r="4053" ht="15">
      <c r="D4053" s="71"/>
    </row>
    <row r="4054" ht="15">
      <c r="D4054" s="71"/>
    </row>
    <row r="4055" ht="15">
      <c r="D4055" s="71"/>
    </row>
    <row r="4056" ht="15">
      <c r="D4056" s="71"/>
    </row>
    <row r="4057" ht="15">
      <c r="D4057" s="71"/>
    </row>
    <row r="4058" ht="15">
      <c r="D4058" s="71"/>
    </row>
    <row r="4059" ht="15">
      <c r="D4059" s="71"/>
    </row>
    <row r="4060" ht="15">
      <c r="D4060" s="71"/>
    </row>
    <row r="4061" ht="15">
      <c r="D4061" s="71"/>
    </row>
    <row r="4062" ht="15">
      <c r="D4062" s="71"/>
    </row>
    <row r="4063" ht="15">
      <c r="D4063" s="71"/>
    </row>
    <row r="4064" ht="15">
      <c r="D4064" s="71"/>
    </row>
    <row r="4065" ht="15">
      <c r="D4065" s="71"/>
    </row>
    <row r="4066" ht="15">
      <c r="D4066" s="71"/>
    </row>
    <row r="4067" ht="15">
      <c r="D4067" s="71"/>
    </row>
    <row r="4068" ht="15">
      <c r="D4068" s="71"/>
    </row>
    <row r="4069" ht="15">
      <c r="D4069" s="71"/>
    </row>
    <row r="4070" ht="15">
      <c r="D4070" s="71"/>
    </row>
    <row r="4071" ht="15">
      <c r="D4071" s="71"/>
    </row>
    <row r="4072" ht="15">
      <c r="D4072" s="71"/>
    </row>
    <row r="4073" ht="15">
      <c r="D4073" s="71"/>
    </row>
    <row r="4074" ht="15">
      <c r="D4074" s="71"/>
    </row>
    <row r="4075" ht="15">
      <c r="D4075" s="71"/>
    </row>
    <row r="4076" ht="15">
      <c r="D4076" s="71"/>
    </row>
    <row r="4077" ht="15">
      <c r="D4077" s="71"/>
    </row>
    <row r="4078" ht="15">
      <c r="D4078" s="71"/>
    </row>
    <row r="4079" ht="15">
      <c r="D4079" s="71"/>
    </row>
    <row r="4080" ht="15">
      <c r="D4080" s="71"/>
    </row>
    <row r="4081" ht="15">
      <c r="D4081" s="71"/>
    </row>
    <row r="4082" ht="15">
      <c r="D4082" s="71"/>
    </row>
    <row r="4083" ht="15">
      <c r="D4083" s="71"/>
    </row>
    <row r="4084" ht="15">
      <c r="D4084" s="71"/>
    </row>
    <row r="4085" ht="15">
      <c r="D4085" s="71"/>
    </row>
    <row r="4086" ht="15">
      <c r="D4086" s="71"/>
    </row>
    <row r="4087" ht="15">
      <c r="D4087" s="71"/>
    </row>
    <row r="4088" ht="15">
      <c r="D4088" s="71"/>
    </row>
    <row r="4089" ht="15">
      <c r="D4089" s="71"/>
    </row>
    <row r="4090" ht="15">
      <c r="D4090" s="71"/>
    </row>
    <row r="4091" ht="15">
      <c r="D4091" s="71"/>
    </row>
    <row r="4092" ht="15">
      <c r="D4092" s="71"/>
    </row>
    <row r="4093" ht="15">
      <c r="D4093" s="71"/>
    </row>
    <row r="4094" ht="15">
      <c r="D4094" s="71"/>
    </row>
    <row r="4095" ht="15">
      <c r="D4095" s="71"/>
    </row>
    <row r="4096" ht="15">
      <c r="D4096" s="71"/>
    </row>
    <row r="4097" ht="15">
      <c r="D4097" s="71"/>
    </row>
    <row r="4098" ht="15">
      <c r="D4098" s="71"/>
    </row>
    <row r="4099" ht="15">
      <c r="D4099" s="71"/>
    </row>
    <row r="4100" ht="15">
      <c r="D4100" s="71"/>
    </row>
    <row r="4101" ht="15">
      <c r="D4101" s="71"/>
    </row>
    <row r="4102" ht="15">
      <c r="D4102" s="71"/>
    </row>
    <row r="4103" ht="15">
      <c r="D4103" s="71"/>
    </row>
    <row r="4104" ht="15">
      <c r="D4104" s="71"/>
    </row>
    <row r="4105" ht="15">
      <c r="D4105" s="71"/>
    </row>
    <row r="4106" ht="15">
      <c r="D4106" s="71"/>
    </row>
    <row r="4107" ht="15">
      <c r="D4107" s="71"/>
    </row>
    <row r="4108" ht="15">
      <c r="D4108" s="71"/>
    </row>
    <row r="4109" ht="15">
      <c r="D4109" s="71"/>
    </row>
    <row r="4110" ht="15">
      <c r="D4110" s="71"/>
    </row>
    <row r="4111" ht="15">
      <c r="D4111" s="71"/>
    </row>
    <row r="4112" ht="15">
      <c r="D4112" s="71"/>
    </row>
    <row r="4113" ht="15">
      <c r="D4113" s="71"/>
    </row>
    <row r="4114" ht="15">
      <c r="D4114" s="71"/>
    </row>
    <row r="4115" ht="15">
      <c r="D4115" s="71"/>
    </row>
    <row r="4116" ht="15">
      <c r="D4116" s="71"/>
    </row>
    <row r="4117" ht="15">
      <c r="D4117" s="71"/>
    </row>
    <row r="4118" ht="15">
      <c r="D4118" s="71"/>
    </row>
    <row r="4119" ht="15">
      <c r="D4119" s="71"/>
    </row>
    <row r="4120" ht="15">
      <c r="D4120" s="71"/>
    </row>
    <row r="4121" ht="15">
      <c r="D4121" s="71"/>
    </row>
    <row r="4122" ht="15">
      <c r="D4122" s="71"/>
    </row>
    <row r="4123" ht="15">
      <c r="D4123" s="71"/>
    </row>
    <row r="4124" ht="15">
      <c r="D4124" s="71"/>
    </row>
    <row r="4125" ht="15">
      <c r="D4125" s="71"/>
    </row>
    <row r="4126" ht="15">
      <c r="D4126" s="71"/>
    </row>
    <row r="4127" ht="15">
      <c r="D4127" s="71"/>
    </row>
    <row r="4128" ht="15">
      <c r="D4128" s="71"/>
    </row>
    <row r="4129" ht="15">
      <c r="D4129" s="71"/>
    </row>
    <row r="4130" ht="15">
      <c r="D4130" s="71"/>
    </row>
    <row r="4131" ht="15">
      <c r="D4131" s="71"/>
    </row>
    <row r="4132" ht="15">
      <c r="D4132" s="71"/>
    </row>
    <row r="4133" ht="15">
      <c r="D4133" s="71"/>
    </row>
    <row r="4134" ht="15">
      <c r="D4134" s="71"/>
    </row>
    <row r="4135" ht="15">
      <c r="D4135" s="71"/>
    </row>
    <row r="4136" ht="15">
      <c r="D4136" s="71"/>
    </row>
    <row r="4137" ht="15">
      <c r="D4137" s="71"/>
    </row>
    <row r="4138" ht="15">
      <c r="D4138" s="71"/>
    </row>
    <row r="4139" ht="15">
      <c r="D4139" s="71"/>
    </row>
    <row r="4140" ht="15">
      <c r="D4140" s="71"/>
    </row>
    <row r="4141" ht="15">
      <c r="D4141" s="71"/>
    </row>
    <row r="4142" ht="15">
      <c r="D4142" s="71"/>
    </row>
    <row r="4143" ht="15">
      <c r="D4143" s="71"/>
    </row>
    <row r="4144" ht="15">
      <c r="D4144" s="71"/>
    </row>
    <row r="4145" ht="15">
      <c r="D4145" s="71"/>
    </row>
    <row r="4146" ht="15">
      <c r="D4146" s="71"/>
    </row>
    <row r="4147" ht="15">
      <c r="D4147" s="71"/>
    </row>
    <row r="4148" ht="15">
      <c r="D4148" s="71"/>
    </row>
    <row r="4149" ht="15">
      <c r="D4149" s="71"/>
    </row>
    <row r="4150" ht="15">
      <c r="D4150" s="71"/>
    </row>
    <row r="4151" ht="15">
      <c r="D4151" s="71"/>
    </row>
    <row r="4152" ht="15">
      <c r="D4152" s="71"/>
    </row>
    <row r="4153" ht="15">
      <c r="D4153" s="71"/>
    </row>
    <row r="4154" ht="15">
      <c r="D4154" s="71"/>
    </row>
    <row r="4155" ht="15">
      <c r="D4155" s="71"/>
    </row>
    <row r="4156" ht="15">
      <c r="D4156" s="71"/>
    </row>
    <row r="4157" ht="15">
      <c r="D4157" s="71"/>
    </row>
    <row r="4158" ht="15">
      <c r="D4158" s="71"/>
    </row>
    <row r="4159" ht="15">
      <c r="D4159" s="71"/>
    </row>
    <row r="4160" ht="15">
      <c r="D4160" s="71"/>
    </row>
    <row r="4161" ht="15">
      <c r="D4161" s="71"/>
    </row>
    <row r="4162" ht="15">
      <c r="D4162" s="71"/>
    </row>
    <row r="4163" ht="15">
      <c r="D4163" s="71"/>
    </row>
    <row r="4164" ht="15">
      <c r="D4164" s="71"/>
    </row>
    <row r="4165" ht="15">
      <c r="D4165" s="71"/>
    </row>
    <row r="4166" ht="15">
      <c r="D4166" s="71"/>
    </row>
    <row r="4167" ht="15">
      <c r="D4167" s="71"/>
    </row>
    <row r="4168" ht="15">
      <c r="D4168" s="71"/>
    </row>
    <row r="4169" ht="15">
      <c r="D4169" s="71"/>
    </row>
    <row r="4170" ht="15">
      <c r="D4170" s="71"/>
    </row>
    <row r="4171" ht="15">
      <c r="D4171" s="71"/>
    </row>
    <row r="4172" ht="15">
      <c r="D4172" s="71"/>
    </row>
    <row r="4173" ht="15">
      <c r="D4173" s="71"/>
    </row>
    <row r="4174" ht="15">
      <c r="D4174" s="71"/>
    </row>
    <row r="4175" ht="15">
      <c r="D4175" s="71"/>
    </row>
    <row r="4176" ht="15">
      <c r="D4176" s="71"/>
    </row>
    <row r="4177" ht="15">
      <c r="D4177" s="71"/>
    </row>
    <row r="4178" ht="15">
      <c r="D4178" s="71"/>
    </row>
    <row r="4179" ht="15">
      <c r="D4179" s="71"/>
    </row>
    <row r="4180" ht="15">
      <c r="D4180" s="71"/>
    </row>
    <row r="4181" ht="15">
      <c r="D4181" s="71"/>
    </row>
    <row r="4182" ht="15">
      <c r="D4182" s="71"/>
    </row>
    <row r="4183" ht="15">
      <c r="D4183" s="71"/>
    </row>
    <row r="4184" ht="15">
      <c r="D4184" s="71"/>
    </row>
    <row r="4185" ht="15">
      <c r="D4185" s="71"/>
    </row>
    <row r="4186" ht="15">
      <c r="D4186" s="71"/>
    </row>
    <row r="4187" ht="15">
      <c r="D4187" s="71"/>
    </row>
    <row r="4188" ht="15">
      <c r="D4188" s="71"/>
    </row>
    <row r="4189" ht="15">
      <c r="D4189" s="71"/>
    </row>
    <row r="4190" ht="15">
      <c r="D4190" s="71"/>
    </row>
    <row r="4191" ht="15">
      <c r="D4191" s="71"/>
    </row>
    <row r="4192" ht="15">
      <c r="D4192" s="71"/>
    </row>
    <row r="4193" ht="15">
      <c r="D4193" s="71"/>
    </row>
    <row r="4194" ht="15">
      <c r="D4194" s="71"/>
    </row>
    <row r="4195" ht="15">
      <c r="D4195" s="71"/>
    </row>
    <row r="4196" ht="15">
      <c r="D4196" s="71"/>
    </row>
    <row r="4197" ht="15">
      <c r="D4197" s="71"/>
    </row>
    <row r="4198" ht="15">
      <c r="D4198" s="71"/>
    </row>
    <row r="4199" ht="15">
      <c r="D4199" s="71"/>
    </row>
    <row r="4200" ht="15">
      <c r="D4200" s="71"/>
    </row>
    <row r="4201" ht="15">
      <c r="D4201" s="71"/>
    </row>
    <row r="4202" ht="15">
      <c r="D4202" s="71"/>
    </row>
    <row r="4203" ht="15">
      <c r="D4203" s="71"/>
    </row>
    <row r="4204" ht="15">
      <c r="D4204" s="71"/>
    </row>
    <row r="4205" ht="15">
      <c r="D4205" s="71"/>
    </row>
    <row r="4206" ht="15">
      <c r="D4206" s="71"/>
    </row>
    <row r="4207" ht="15">
      <c r="D4207" s="71"/>
    </row>
    <row r="4208" ht="15">
      <c r="D4208" s="71"/>
    </row>
    <row r="4209" ht="15">
      <c r="D4209" s="71"/>
    </row>
    <row r="4210" ht="15">
      <c r="D4210" s="71"/>
    </row>
    <row r="4211" ht="15">
      <c r="D4211" s="71"/>
    </row>
    <row r="4212" ht="15">
      <c r="D4212" s="71"/>
    </row>
    <row r="4213" ht="15">
      <c r="D4213" s="71"/>
    </row>
    <row r="4214" ht="15">
      <c r="D4214" s="71"/>
    </row>
    <row r="4215" ht="15">
      <c r="D4215" s="71"/>
    </row>
    <row r="4216" ht="15">
      <c r="D4216" s="71"/>
    </row>
    <row r="4217" ht="15">
      <c r="D4217" s="71"/>
    </row>
    <row r="4218" ht="15">
      <c r="D4218" s="71"/>
    </row>
    <row r="4219" ht="15">
      <c r="D4219" s="71"/>
    </row>
    <row r="4220" ht="15">
      <c r="D4220" s="71"/>
    </row>
    <row r="4221" ht="15">
      <c r="D4221" s="71"/>
    </row>
    <row r="4222" ht="15">
      <c r="D4222" s="71"/>
    </row>
    <row r="4223" ht="15">
      <c r="D4223" s="71"/>
    </row>
    <row r="4224" ht="15">
      <c r="D4224" s="71"/>
    </row>
    <row r="4225" ht="15">
      <c r="D4225" s="71"/>
    </row>
    <row r="4226" ht="15">
      <c r="D4226" s="71"/>
    </row>
    <row r="4227" ht="15">
      <c r="D4227" s="71"/>
    </row>
    <row r="4228" ht="15">
      <c r="D4228" s="71"/>
    </row>
    <row r="4229" ht="15">
      <c r="D4229" s="71"/>
    </row>
    <row r="4230" ht="15">
      <c r="D4230" s="71"/>
    </row>
    <row r="4231" ht="15">
      <c r="D4231" s="71"/>
    </row>
    <row r="4232" ht="15">
      <c r="D4232" s="71"/>
    </row>
    <row r="4233" ht="15">
      <c r="D4233" s="71"/>
    </row>
    <row r="4234" ht="15">
      <c r="D4234" s="71"/>
    </row>
    <row r="4235" ht="15">
      <c r="D4235" s="71"/>
    </row>
    <row r="4236" ht="15">
      <c r="D4236" s="71"/>
    </row>
    <row r="4237" ht="15">
      <c r="D4237" s="71"/>
    </row>
    <row r="4238" ht="15">
      <c r="D4238" s="71"/>
    </row>
    <row r="4239" ht="15">
      <c r="D4239" s="71"/>
    </row>
    <row r="4240" ht="15">
      <c r="D4240" s="71"/>
    </row>
    <row r="4241" ht="15">
      <c r="D4241" s="71"/>
    </row>
    <row r="4242" ht="15">
      <c r="D4242" s="71"/>
    </row>
    <row r="4243" ht="15">
      <c r="D4243" s="71"/>
    </row>
    <row r="4244" ht="15">
      <c r="D4244" s="71"/>
    </row>
    <row r="4245" ht="15">
      <c r="D4245" s="71"/>
    </row>
    <row r="4246" ht="15">
      <c r="D4246" s="71"/>
    </row>
    <row r="4247" ht="15">
      <c r="D4247" s="71"/>
    </row>
    <row r="4248" ht="15">
      <c r="D4248" s="71"/>
    </row>
    <row r="4249" ht="15">
      <c r="D4249" s="71"/>
    </row>
    <row r="4250" ht="15">
      <c r="D4250" s="71"/>
    </row>
    <row r="4251" ht="15">
      <c r="D4251" s="71"/>
    </row>
    <row r="4252" ht="15">
      <c r="D4252" s="71"/>
    </row>
    <row r="4253" ht="15">
      <c r="D4253" s="71"/>
    </row>
    <row r="4254" ht="15">
      <c r="D4254" s="71"/>
    </row>
    <row r="4255" ht="15">
      <c r="D4255" s="71"/>
    </row>
    <row r="4256" ht="15">
      <c r="D4256" s="71"/>
    </row>
    <row r="4257" ht="15">
      <c r="D4257" s="71"/>
    </row>
    <row r="4258" ht="15">
      <c r="D4258" s="71"/>
    </row>
    <row r="4259" ht="15">
      <c r="D4259" s="71"/>
    </row>
    <row r="4260" ht="15">
      <c r="D4260" s="71"/>
    </row>
    <row r="4261" ht="15">
      <c r="D4261" s="71"/>
    </row>
    <row r="4262" ht="15">
      <c r="D4262" s="71"/>
    </row>
    <row r="4263" ht="15">
      <c r="D4263" s="71"/>
    </row>
    <row r="4264" ht="15">
      <c r="D4264" s="71"/>
    </row>
    <row r="4265" ht="15">
      <c r="D4265" s="71"/>
    </row>
    <row r="4266" ht="15">
      <c r="D4266" s="71"/>
    </row>
    <row r="4267" ht="15">
      <c r="D4267" s="71"/>
    </row>
    <row r="4268" ht="15">
      <c r="D4268" s="71"/>
    </row>
    <row r="4269" ht="15">
      <c r="D4269" s="71"/>
    </row>
    <row r="4270" ht="15">
      <c r="D4270" s="71"/>
    </row>
    <row r="4271" ht="15">
      <c r="D4271" s="71"/>
    </row>
    <row r="4272" ht="15">
      <c r="D4272" s="71"/>
    </row>
    <row r="4273" ht="15">
      <c r="D4273" s="71"/>
    </row>
    <row r="4274" ht="15">
      <c r="D4274" s="71"/>
    </row>
    <row r="4275" ht="15">
      <c r="D4275" s="71"/>
    </row>
    <row r="4276" ht="15">
      <c r="D4276" s="71"/>
    </row>
    <row r="4277" ht="15">
      <c r="D4277" s="71"/>
    </row>
    <row r="4278" ht="15">
      <c r="D4278" s="71"/>
    </row>
    <row r="4279" ht="15">
      <c r="D4279" s="71"/>
    </row>
    <row r="4280" ht="15">
      <c r="D4280" s="71"/>
    </row>
    <row r="4281" ht="15">
      <c r="D4281" s="71"/>
    </row>
    <row r="4282" ht="15">
      <c r="D4282" s="71"/>
    </row>
    <row r="4283" ht="15">
      <c r="D4283" s="71"/>
    </row>
    <row r="4284" ht="15">
      <c r="D4284" s="71"/>
    </row>
    <row r="4285" ht="15">
      <c r="D4285" s="71"/>
    </row>
    <row r="4286" ht="15">
      <c r="D4286" s="71"/>
    </row>
    <row r="4287" ht="15">
      <c r="D4287" s="71"/>
    </row>
    <row r="4288" ht="15">
      <c r="D4288" s="71"/>
    </row>
    <row r="4289" ht="15">
      <c r="D4289" s="71"/>
    </row>
    <row r="4290" ht="15">
      <c r="D4290" s="71"/>
    </row>
    <row r="4291" ht="15">
      <c r="D4291" s="71"/>
    </row>
    <row r="4292" ht="15">
      <c r="D4292" s="71"/>
    </row>
    <row r="4293" ht="15">
      <c r="D4293" s="71"/>
    </row>
    <row r="4294" ht="15">
      <c r="D4294" s="71"/>
    </row>
    <row r="4295" ht="15">
      <c r="D4295" s="71"/>
    </row>
    <row r="4296" ht="15">
      <c r="D4296" s="71"/>
    </row>
    <row r="4297" ht="15">
      <c r="D4297" s="71"/>
    </row>
    <row r="4298" ht="15">
      <c r="D4298" s="71"/>
    </row>
    <row r="4299" ht="15">
      <c r="D4299" s="71"/>
    </row>
    <row r="4300" ht="15">
      <c r="D4300" s="71"/>
    </row>
    <row r="4301" ht="15">
      <c r="D4301" s="71"/>
    </row>
    <row r="4302" ht="15">
      <c r="D4302" s="71"/>
    </row>
    <row r="4303" ht="15">
      <c r="D4303" s="71"/>
    </row>
    <row r="4304" ht="15">
      <c r="D4304" s="71"/>
    </row>
    <row r="4305" ht="15">
      <c r="D4305" s="71"/>
    </row>
    <row r="4306" ht="15">
      <c r="D4306" s="71"/>
    </row>
    <row r="4307" ht="15">
      <c r="D4307" s="71"/>
    </row>
    <row r="4308" ht="15">
      <c r="D4308" s="71"/>
    </row>
    <row r="4309" ht="15">
      <c r="D4309" s="71"/>
    </row>
    <row r="4310" ht="15">
      <c r="D4310" s="71"/>
    </row>
    <row r="4311" ht="15">
      <c r="D4311" s="71"/>
    </row>
    <row r="4312" ht="15">
      <c r="D4312" s="71"/>
    </row>
    <row r="4313" ht="15">
      <c r="D4313" s="71"/>
    </row>
    <row r="4314" ht="15">
      <c r="D4314" s="71"/>
    </row>
    <row r="4315" ht="15">
      <c r="D4315" s="71"/>
    </row>
    <row r="4316" ht="15">
      <c r="D4316" s="71"/>
    </row>
    <row r="4317" ht="15">
      <c r="D4317" s="71"/>
    </row>
    <row r="4318" ht="15">
      <c r="D4318" s="71"/>
    </row>
    <row r="4319" ht="15">
      <c r="D4319" s="71"/>
    </row>
    <row r="4320" ht="15">
      <c r="D4320" s="71"/>
    </row>
    <row r="4321" ht="15">
      <c r="D4321" s="71"/>
    </row>
    <row r="4322" ht="15">
      <c r="D4322" s="71"/>
    </row>
    <row r="4323" ht="15">
      <c r="D4323" s="71"/>
    </row>
    <row r="4324" ht="15">
      <c r="D4324" s="71"/>
    </row>
    <row r="4325" ht="15">
      <c r="D4325" s="71"/>
    </row>
    <row r="4326" ht="15">
      <c r="D4326" s="71"/>
    </row>
    <row r="4327" ht="15">
      <c r="D4327" s="71"/>
    </row>
    <row r="4328" ht="15">
      <c r="D4328" s="71"/>
    </row>
    <row r="4329" ht="15">
      <c r="D4329" s="71"/>
    </row>
    <row r="4330" ht="15">
      <c r="D4330" s="71"/>
    </row>
    <row r="4331" ht="15">
      <c r="D4331" s="71"/>
    </row>
    <row r="4332" ht="15">
      <c r="D4332" s="71"/>
    </row>
    <row r="4333" ht="15">
      <c r="D4333" s="71"/>
    </row>
    <row r="4334" ht="15">
      <c r="D4334" s="71"/>
    </row>
    <row r="4335" ht="15">
      <c r="D4335" s="71"/>
    </row>
    <row r="4336" ht="15">
      <c r="D4336" s="71"/>
    </row>
    <row r="4337" ht="15">
      <c r="D4337" s="71"/>
    </row>
    <row r="4338" ht="15">
      <c r="D4338" s="71"/>
    </row>
    <row r="4339" ht="15">
      <c r="D4339" s="71"/>
    </row>
    <row r="4340" ht="15">
      <c r="D4340" s="71"/>
    </row>
    <row r="4341" ht="15">
      <c r="D4341" s="71"/>
    </row>
    <row r="4342" ht="15">
      <c r="D4342" s="71"/>
    </row>
    <row r="4343" ht="15">
      <c r="D4343" s="71"/>
    </row>
    <row r="4344" ht="15">
      <c r="D4344" s="71"/>
    </row>
    <row r="4345" ht="15">
      <c r="D4345" s="71"/>
    </row>
    <row r="4346" ht="15">
      <c r="D4346" s="71"/>
    </row>
    <row r="4347" ht="15">
      <c r="D4347" s="71"/>
    </row>
    <row r="4348" ht="15">
      <c r="D4348" s="71"/>
    </row>
    <row r="4349" ht="15">
      <c r="D4349" s="71"/>
    </row>
    <row r="4350" ht="15">
      <c r="D4350" s="71"/>
    </row>
    <row r="4351" ht="15">
      <c r="D4351" s="71"/>
    </row>
    <row r="4352" ht="15">
      <c r="D4352" s="71"/>
    </row>
    <row r="4353" ht="15">
      <c r="D4353" s="71"/>
    </row>
    <row r="4354" ht="15">
      <c r="D4354" s="71"/>
    </row>
    <row r="4355" ht="15">
      <c r="D4355" s="71"/>
    </row>
    <row r="4356" ht="15">
      <c r="D4356" s="71"/>
    </row>
    <row r="4357" ht="15">
      <c r="D4357" s="71"/>
    </row>
    <row r="4358" ht="15">
      <c r="D4358" s="71"/>
    </row>
    <row r="4359" ht="15">
      <c r="D4359" s="71"/>
    </row>
    <row r="4360" ht="15">
      <c r="D4360" s="71"/>
    </row>
    <row r="4361" ht="15">
      <c r="D4361" s="71"/>
    </row>
    <row r="4362" ht="15">
      <c r="D4362" s="71"/>
    </row>
    <row r="4363" ht="15">
      <c r="D4363" s="71"/>
    </row>
    <row r="4364" ht="15">
      <c r="D4364" s="71"/>
    </row>
    <row r="4365" ht="15">
      <c r="D4365" s="71"/>
    </row>
    <row r="4366" ht="15">
      <c r="D4366" s="71"/>
    </row>
    <row r="4367" ht="15">
      <c r="D4367" s="71"/>
    </row>
    <row r="4368" ht="15">
      <c r="D4368" s="71"/>
    </row>
    <row r="4369" ht="15">
      <c r="D4369" s="71"/>
    </row>
    <row r="4370" ht="15">
      <c r="D4370" s="71"/>
    </row>
    <row r="4371" ht="15">
      <c r="D4371" s="71"/>
    </row>
    <row r="4372" ht="15">
      <c r="D4372" s="71"/>
    </row>
    <row r="4373" ht="15">
      <c r="D4373" s="71"/>
    </row>
    <row r="4374" ht="15">
      <c r="D4374" s="71"/>
    </row>
    <row r="4375" ht="15">
      <c r="D4375" s="71"/>
    </row>
    <row r="4376" ht="15">
      <c r="D4376" s="71"/>
    </row>
    <row r="4377" ht="15">
      <c r="D4377" s="71"/>
    </row>
    <row r="4378" ht="15">
      <c r="D4378" s="71"/>
    </row>
    <row r="4379" ht="15">
      <c r="D4379" s="71"/>
    </row>
    <row r="4380" ht="15">
      <c r="D4380" s="71"/>
    </row>
    <row r="4381" ht="15">
      <c r="D4381" s="71"/>
    </row>
    <row r="4382" ht="15">
      <c r="D4382" s="71"/>
    </row>
    <row r="4383" ht="15">
      <c r="D4383" s="71"/>
    </row>
    <row r="4384" ht="15">
      <c r="D4384" s="71"/>
    </row>
    <row r="4385" ht="15">
      <c r="D4385" s="71"/>
    </row>
    <row r="4386" ht="15">
      <c r="D4386" s="71"/>
    </row>
    <row r="4387" ht="15">
      <c r="D4387" s="71"/>
    </row>
    <row r="4388" ht="15">
      <c r="D4388" s="71"/>
    </row>
    <row r="4389" ht="15">
      <c r="D4389" s="71"/>
    </row>
    <row r="4390" ht="15">
      <c r="D4390" s="71"/>
    </row>
    <row r="4391" ht="15">
      <c r="D4391" s="71"/>
    </row>
    <row r="4392" ht="15">
      <c r="D4392" s="71"/>
    </row>
    <row r="4393" ht="15">
      <c r="D4393" s="71"/>
    </row>
    <row r="4394" ht="15">
      <c r="D4394" s="71"/>
    </row>
    <row r="4395" ht="15">
      <c r="D4395" s="71"/>
    </row>
    <row r="4396" ht="15">
      <c r="D4396" s="71"/>
    </row>
    <row r="4397" ht="15">
      <c r="D4397" s="71"/>
    </row>
    <row r="4398" ht="15">
      <c r="D4398" s="71"/>
    </row>
    <row r="4399" ht="15">
      <c r="D4399" s="71"/>
    </row>
    <row r="4400" ht="15">
      <c r="D4400" s="71"/>
    </row>
    <row r="4401" ht="15">
      <c r="D4401" s="71"/>
    </row>
    <row r="4402" ht="15">
      <c r="D4402" s="71"/>
    </row>
    <row r="4403" ht="15">
      <c r="D4403" s="71"/>
    </row>
    <row r="4404" ht="15">
      <c r="D4404" s="71"/>
    </row>
    <row r="4405" ht="15">
      <c r="D4405" s="71"/>
    </row>
    <row r="4406" ht="15">
      <c r="D4406" s="71"/>
    </row>
    <row r="4407" ht="15">
      <c r="D4407" s="71"/>
    </row>
    <row r="4408" ht="15">
      <c r="D4408" s="71"/>
    </row>
    <row r="4409" ht="15">
      <c r="D4409" s="71"/>
    </row>
    <row r="4410" ht="15">
      <c r="D4410" s="71"/>
    </row>
    <row r="4411" ht="15">
      <c r="D4411" s="71"/>
    </row>
    <row r="4412" ht="15">
      <c r="D4412" s="71"/>
    </row>
    <row r="4413" ht="15">
      <c r="D4413" s="71"/>
    </row>
    <row r="4414" ht="15">
      <c r="D4414" s="71"/>
    </row>
    <row r="4415" ht="15">
      <c r="D4415" s="71"/>
    </row>
    <row r="4416" ht="15">
      <c r="D4416" s="71"/>
    </row>
    <row r="4417" ht="15">
      <c r="D4417" s="71"/>
    </row>
    <row r="4418" ht="15">
      <c r="D4418" s="71"/>
    </row>
    <row r="4419" ht="15">
      <c r="D4419" s="71"/>
    </row>
    <row r="4420" ht="15">
      <c r="D4420" s="71"/>
    </row>
    <row r="4421" ht="15">
      <c r="D4421" s="71"/>
    </row>
    <row r="4422" ht="15">
      <c r="D4422" s="71"/>
    </row>
    <row r="4423" ht="15">
      <c r="D4423" s="71"/>
    </row>
    <row r="4424" ht="15">
      <c r="D4424" s="71"/>
    </row>
    <row r="4425" ht="15">
      <c r="D4425" s="71"/>
    </row>
    <row r="4426" ht="15">
      <c r="D4426" s="71"/>
    </row>
    <row r="4427" ht="15">
      <c r="D4427" s="71"/>
    </row>
    <row r="4428" ht="15">
      <c r="D4428" s="71"/>
    </row>
    <row r="4429" ht="15">
      <c r="D4429" s="71"/>
    </row>
    <row r="4430" ht="15">
      <c r="D4430" s="71"/>
    </row>
    <row r="4431" ht="15">
      <c r="D4431" s="71"/>
    </row>
    <row r="4432" ht="15">
      <c r="D4432" s="71"/>
    </row>
    <row r="4433" ht="15">
      <c r="D4433" s="71"/>
    </row>
    <row r="4434" ht="15">
      <c r="D4434" s="71"/>
    </row>
    <row r="4435" ht="15">
      <c r="D4435" s="71"/>
    </row>
    <row r="4436" ht="15">
      <c r="D4436" s="71"/>
    </row>
    <row r="4437" ht="15">
      <c r="D4437" s="71"/>
    </row>
    <row r="4438" ht="15">
      <c r="D4438" s="71"/>
    </row>
    <row r="4439" ht="15">
      <c r="D4439" s="71"/>
    </row>
    <row r="4440" ht="15">
      <c r="D4440" s="71"/>
    </row>
    <row r="4441" ht="15">
      <c r="D4441" s="71"/>
    </row>
    <row r="4442" ht="15">
      <c r="D4442" s="71"/>
    </row>
    <row r="4443" ht="15">
      <c r="D4443" s="71"/>
    </row>
    <row r="4444" ht="15">
      <c r="D4444" s="71"/>
    </row>
    <row r="4445" ht="15">
      <c r="D4445" s="71"/>
    </row>
    <row r="4446" ht="15">
      <c r="D4446" s="71"/>
    </row>
    <row r="4447" ht="15">
      <c r="D4447" s="71"/>
    </row>
    <row r="4448" ht="15">
      <c r="D4448" s="71"/>
    </row>
    <row r="4449" ht="15">
      <c r="D4449" s="71"/>
    </row>
    <row r="4450" ht="15">
      <c r="D4450" s="71"/>
    </row>
    <row r="4451" ht="15">
      <c r="D4451" s="71"/>
    </row>
    <row r="4452" ht="15">
      <c r="D4452" s="71"/>
    </row>
    <row r="4453" ht="15">
      <c r="D4453" s="71"/>
    </row>
    <row r="4454" ht="15">
      <c r="D4454" s="71"/>
    </row>
    <row r="4455" ht="15">
      <c r="D4455" s="71"/>
    </row>
    <row r="4456" ht="15">
      <c r="D4456" s="71"/>
    </row>
    <row r="4457" ht="15">
      <c r="D4457" s="71"/>
    </row>
    <row r="4458" ht="15">
      <c r="D4458" s="71"/>
    </row>
    <row r="4459" ht="15">
      <c r="D4459" s="71"/>
    </row>
    <row r="4460" ht="15">
      <c r="D4460" s="71"/>
    </row>
    <row r="4461" ht="15">
      <c r="D4461" s="71"/>
    </row>
    <row r="4462" ht="15">
      <c r="D4462" s="71"/>
    </row>
    <row r="4463" ht="15">
      <c r="D4463" s="71"/>
    </row>
    <row r="4464" ht="15">
      <c r="D4464" s="71"/>
    </row>
    <row r="4465" ht="15">
      <c r="D4465" s="71"/>
    </row>
    <row r="4466" ht="15">
      <c r="D4466" s="71"/>
    </row>
    <row r="4467" ht="15">
      <c r="D4467" s="71"/>
    </row>
    <row r="4468" ht="15">
      <c r="D4468" s="71"/>
    </row>
    <row r="4469" ht="15">
      <c r="D4469" s="71"/>
    </row>
    <row r="4470" ht="15">
      <c r="D4470" s="71"/>
    </row>
    <row r="4471" ht="15">
      <c r="D4471" s="71"/>
    </row>
    <row r="4472" ht="15">
      <c r="D4472" s="71"/>
    </row>
    <row r="4473" ht="15">
      <c r="D4473" s="71"/>
    </row>
    <row r="4474" ht="15">
      <c r="D4474" s="71"/>
    </row>
    <row r="4475" ht="15">
      <c r="D4475" s="71"/>
    </row>
    <row r="4476" ht="15">
      <c r="D4476" s="71"/>
    </row>
    <row r="4477" ht="15">
      <c r="D4477" s="71"/>
    </row>
    <row r="4478" ht="15">
      <c r="D4478" s="71"/>
    </row>
    <row r="4479" ht="15">
      <c r="D4479" s="71"/>
    </row>
    <row r="4480" ht="15">
      <c r="D4480" s="71"/>
    </row>
    <row r="4481" ht="15">
      <c r="D4481" s="71"/>
    </row>
    <row r="4482" ht="15">
      <c r="D4482" s="71"/>
    </row>
    <row r="4483" ht="15">
      <c r="D4483" s="71"/>
    </row>
    <row r="4484" ht="15">
      <c r="D4484" s="71"/>
    </row>
    <row r="4485" ht="15">
      <c r="D4485" s="71"/>
    </row>
    <row r="4486" ht="15">
      <c r="D4486" s="71"/>
    </row>
    <row r="4487" ht="15">
      <c r="D4487" s="71"/>
    </row>
    <row r="4488" ht="15">
      <c r="D4488" s="71"/>
    </row>
    <row r="4489" ht="15">
      <c r="D4489" s="71"/>
    </row>
    <row r="4490" ht="15">
      <c r="D4490" s="71"/>
    </row>
    <row r="4491" ht="15">
      <c r="D4491" s="71"/>
    </row>
    <row r="4492" ht="15">
      <c r="D4492" s="71"/>
    </row>
    <row r="4493" ht="15">
      <c r="D4493" s="71"/>
    </row>
    <row r="4494" ht="15">
      <c r="D4494" s="71"/>
    </row>
    <row r="4495" ht="15">
      <c r="D4495" s="71"/>
    </row>
    <row r="4496" ht="15">
      <c r="D4496" s="71"/>
    </row>
    <row r="4497" ht="15">
      <c r="D4497" s="71"/>
    </row>
    <row r="4498" ht="15">
      <c r="D4498" s="71"/>
    </row>
    <row r="4499" ht="15">
      <c r="D4499" s="71"/>
    </row>
    <row r="4500" ht="15">
      <c r="D4500" s="71"/>
    </row>
    <row r="4501" ht="15">
      <c r="D4501" s="71"/>
    </row>
    <row r="4502" ht="15">
      <c r="D4502" s="71"/>
    </row>
    <row r="4503" ht="15">
      <c r="D4503" s="71"/>
    </row>
    <row r="4504" ht="15">
      <c r="D4504" s="71"/>
    </row>
    <row r="4505" ht="15">
      <c r="D4505" s="71"/>
    </row>
    <row r="4506" ht="15">
      <c r="D4506" s="71"/>
    </row>
    <row r="4507" ht="15">
      <c r="D4507" s="71"/>
    </row>
    <row r="4508" ht="15">
      <c r="D4508" s="71"/>
    </row>
    <row r="4509" ht="15">
      <c r="D4509" s="71"/>
    </row>
    <row r="4510" ht="15">
      <c r="D4510" s="71"/>
    </row>
    <row r="4511" ht="15">
      <c r="D4511" s="71"/>
    </row>
    <row r="4512" ht="15">
      <c r="D4512" s="71"/>
    </row>
    <row r="4513" ht="15">
      <c r="D4513" s="71"/>
    </row>
    <row r="4514" ht="15">
      <c r="D4514" s="71"/>
    </row>
    <row r="4515" ht="15">
      <c r="D4515" s="71"/>
    </row>
    <row r="4516" ht="15">
      <c r="D4516" s="71"/>
    </row>
    <row r="4517" ht="15">
      <c r="D4517" s="71"/>
    </row>
    <row r="4518" ht="15">
      <c r="D4518" s="71"/>
    </row>
    <row r="4519" ht="15">
      <c r="D4519" s="71"/>
    </row>
    <row r="4520" ht="15">
      <c r="D4520" s="71"/>
    </row>
    <row r="4521" ht="15">
      <c r="D4521" s="71"/>
    </row>
    <row r="4522" ht="15">
      <c r="D4522" s="71"/>
    </row>
    <row r="4523" ht="15">
      <c r="D4523" s="71"/>
    </row>
    <row r="4524" ht="15">
      <c r="D4524" s="71"/>
    </row>
    <row r="4525" ht="15">
      <c r="D4525" s="71"/>
    </row>
    <row r="4526" ht="15">
      <c r="D4526" s="71"/>
    </row>
    <row r="4527" ht="15">
      <c r="D4527" s="71"/>
    </row>
    <row r="4528" ht="15">
      <c r="D4528" s="71"/>
    </row>
    <row r="4529" ht="15">
      <c r="D4529" s="71"/>
    </row>
    <row r="4530" ht="15">
      <c r="D4530" s="71"/>
    </row>
    <row r="4531" ht="15">
      <c r="D4531" s="71"/>
    </row>
    <row r="4532" ht="15">
      <c r="D4532" s="71"/>
    </row>
    <row r="4533" ht="15">
      <c r="D4533" s="71"/>
    </row>
    <row r="4534" ht="15">
      <c r="D4534" s="71"/>
    </row>
    <row r="4535" ht="15">
      <c r="D4535" s="71"/>
    </row>
    <row r="4536" ht="15">
      <c r="D4536" s="71"/>
    </row>
    <row r="4537" ht="15">
      <c r="D4537" s="71"/>
    </row>
    <row r="4538" ht="15">
      <c r="D4538" s="71"/>
    </row>
    <row r="4539" ht="15">
      <c r="D4539" s="71"/>
    </row>
    <row r="4540" ht="15">
      <c r="D4540" s="71"/>
    </row>
    <row r="4541" ht="15">
      <c r="D4541" s="71"/>
    </row>
    <row r="4542" ht="15">
      <c r="D4542" s="71"/>
    </row>
    <row r="4543" ht="15">
      <c r="D4543" s="71"/>
    </row>
    <row r="4544" ht="15">
      <c r="D4544" s="71"/>
    </row>
    <row r="4545" ht="15">
      <c r="D4545" s="71"/>
    </row>
    <row r="4546" ht="15">
      <c r="D4546" s="71"/>
    </row>
    <row r="4547" ht="15">
      <c r="D4547" s="71"/>
    </row>
    <row r="4548" ht="15">
      <c r="D4548" s="71"/>
    </row>
    <row r="4549" ht="15">
      <c r="D4549" s="71"/>
    </row>
    <row r="4550" ht="15">
      <c r="D4550" s="71"/>
    </row>
    <row r="4551" ht="15">
      <c r="D4551" s="71"/>
    </row>
    <row r="4552" ht="15">
      <c r="D4552" s="71"/>
    </row>
    <row r="4553" ht="15">
      <c r="D4553" s="71"/>
    </row>
    <row r="4554" ht="15">
      <c r="D4554" s="71"/>
    </row>
    <row r="4555" ht="15">
      <c r="D4555" s="71"/>
    </row>
    <row r="4556" ht="15">
      <c r="D4556" s="71"/>
    </row>
    <row r="4557" ht="15">
      <c r="D4557" s="71"/>
    </row>
    <row r="4558" ht="15">
      <c r="D4558" s="71"/>
    </row>
    <row r="4559" ht="15">
      <c r="D4559" s="71"/>
    </row>
    <row r="4560" ht="15">
      <c r="D4560" s="71"/>
    </row>
    <row r="4561" ht="15">
      <c r="D4561" s="71"/>
    </row>
    <row r="4562" ht="15">
      <c r="D4562" s="71"/>
    </row>
    <row r="4563" ht="15">
      <c r="D4563" s="71"/>
    </row>
    <row r="4564" ht="15">
      <c r="D4564" s="71"/>
    </row>
    <row r="4565" ht="15">
      <c r="D4565" s="71"/>
    </row>
    <row r="4566" ht="15">
      <c r="D4566" s="71"/>
    </row>
    <row r="4567" ht="15">
      <c r="D4567" s="71"/>
    </row>
    <row r="4568" ht="15">
      <c r="D4568" s="71"/>
    </row>
    <row r="4569" ht="15">
      <c r="D4569" s="71"/>
    </row>
    <row r="4570" ht="15">
      <c r="D4570" s="71"/>
    </row>
    <row r="4571" ht="15">
      <c r="D4571" s="71"/>
    </row>
    <row r="4572" ht="15">
      <c r="D4572" s="71"/>
    </row>
    <row r="4573" ht="15">
      <c r="D4573" s="71"/>
    </row>
    <row r="4574" ht="15">
      <c r="D4574" s="71"/>
    </row>
    <row r="4575" ht="15">
      <c r="D4575" s="71"/>
    </row>
    <row r="4576" ht="15">
      <c r="D4576" s="71"/>
    </row>
    <row r="4577" ht="15">
      <c r="D4577" s="71"/>
    </row>
    <row r="4578" ht="15">
      <c r="D4578" s="71"/>
    </row>
    <row r="4579" ht="15">
      <c r="D4579" s="71"/>
    </row>
    <row r="4580" ht="15">
      <c r="D4580" s="71"/>
    </row>
    <row r="4581" ht="15">
      <c r="D4581" s="71"/>
    </row>
    <row r="4582" ht="15">
      <c r="D4582" s="71"/>
    </row>
    <row r="4583" ht="15">
      <c r="D4583" s="71"/>
    </row>
    <row r="4584" ht="15">
      <c r="D4584" s="71"/>
    </row>
    <row r="4585" ht="15">
      <c r="D4585" s="71"/>
    </row>
    <row r="4586" ht="15">
      <c r="D4586" s="71"/>
    </row>
    <row r="4587" ht="15">
      <c r="D4587" s="71"/>
    </row>
    <row r="4588" ht="15">
      <c r="D4588" s="71"/>
    </row>
    <row r="4589" ht="15">
      <c r="D4589" s="71"/>
    </row>
    <row r="4590" ht="15">
      <c r="D4590" s="71"/>
    </row>
    <row r="4591" ht="15">
      <c r="D4591" s="71"/>
    </row>
    <row r="4592" ht="15">
      <c r="D4592" s="71"/>
    </row>
    <row r="4593" ht="15">
      <c r="D4593" s="71"/>
    </row>
    <row r="4594" ht="15">
      <c r="D4594" s="71"/>
    </row>
    <row r="4595" ht="15">
      <c r="D4595" s="71"/>
    </row>
    <row r="4596" ht="15">
      <c r="D4596" s="71"/>
    </row>
    <row r="4597" ht="15">
      <c r="D4597" s="71"/>
    </row>
    <row r="4598" ht="15">
      <c r="D4598" s="71"/>
    </row>
    <row r="4599" ht="15">
      <c r="D4599" s="71"/>
    </row>
    <row r="4600" ht="15">
      <c r="D4600" s="71"/>
    </row>
    <row r="4601" ht="15">
      <c r="D4601" s="71"/>
    </row>
    <row r="4602" ht="15">
      <c r="D4602" s="71"/>
    </row>
    <row r="4603" ht="15">
      <c r="D4603" s="71"/>
    </row>
    <row r="4604" ht="15">
      <c r="D4604" s="71"/>
    </row>
    <row r="4605" ht="15">
      <c r="D4605" s="71"/>
    </row>
    <row r="4606" ht="15">
      <c r="D4606" s="71"/>
    </row>
    <row r="4607" ht="15">
      <c r="D4607" s="71"/>
    </row>
    <row r="4608" ht="15">
      <c r="D4608" s="71"/>
    </row>
    <row r="4609" ht="15">
      <c r="D4609" s="71"/>
    </row>
    <row r="4610" ht="15">
      <c r="D4610" s="71"/>
    </row>
    <row r="4611" ht="15">
      <c r="D4611" s="71"/>
    </row>
    <row r="4612" ht="15">
      <c r="D4612" s="71"/>
    </row>
    <row r="4613" ht="15">
      <c r="D4613" s="71"/>
    </row>
    <row r="4614" ht="15">
      <c r="D4614" s="71"/>
    </row>
    <row r="4615" ht="15">
      <c r="D4615" s="71"/>
    </row>
    <row r="4616" ht="15">
      <c r="D4616" s="71"/>
    </row>
    <row r="4617" ht="15">
      <c r="D4617" s="71"/>
    </row>
    <row r="4618" ht="15">
      <c r="D4618" s="71"/>
    </row>
    <row r="4619" ht="15">
      <c r="D4619" s="71"/>
    </row>
    <row r="4620" ht="15">
      <c r="D4620" s="71"/>
    </row>
    <row r="4621" ht="15">
      <c r="D4621" s="71"/>
    </row>
    <row r="4622" ht="15">
      <c r="D4622" s="71"/>
    </row>
    <row r="4623" ht="15">
      <c r="D4623" s="71"/>
    </row>
    <row r="4624" ht="15">
      <c r="D4624" s="71"/>
    </row>
    <row r="4625" ht="15">
      <c r="D4625" s="71"/>
    </row>
    <row r="4626" ht="15">
      <c r="D4626" s="71"/>
    </row>
    <row r="4627" ht="15">
      <c r="D4627" s="71"/>
    </row>
    <row r="4628" ht="15">
      <c r="D4628" s="71"/>
    </row>
    <row r="4629" ht="15">
      <c r="D4629" s="71"/>
    </row>
    <row r="4630" ht="15">
      <c r="D4630" s="71"/>
    </row>
    <row r="4631" ht="15">
      <c r="D4631" s="71"/>
    </row>
    <row r="4632" ht="15">
      <c r="D4632" s="71"/>
    </row>
    <row r="4633" ht="15">
      <c r="D4633" s="71"/>
    </row>
    <row r="4634" ht="15">
      <c r="D4634" s="71"/>
    </row>
    <row r="4635" ht="15">
      <c r="D4635" s="71"/>
    </row>
    <row r="4636" ht="15">
      <c r="D4636" s="71"/>
    </row>
    <row r="4637" ht="15">
      <c r="D4637" s="71"/>
    </row>
    <row r="4638" ht="15">
      <c r="D4638" s="71"/>
    </row>
    <row r="4639" ht="15">
      <c r="D4639" s="71"/>
    </row>
    <row r="4640" ht="15">
      <c r="D4640" s="71"/>
    </row>
    <row r="4641" ht="15">
      <c r="D4641" s="71"/>
    </row>
    <row r="4642" ht="15">
      <c r="D4642" s="71"/>
    </row>
    <row r="4643" ht="15">
      <c r="D4643" s="71"/>
    </row>
    <row r="4644" ht="15">
      <c r="D4644" s="71"/>
    </row>
    <row r="4645" ht="15">
      <c r="D4645" s="71"/>
    </row>
    <row r="4646" ht="15">
      <c r="D4646" s="71"/>
    </row>
    <row r="4647" ht="15">
      <c r="D4647" s="71"/>
    </row>
    <row r="4648" ht="15">
      <c r="D4648" s="71"/>
    </row>
    <row r="4649" ht="15">
      <c r="D4649" s="71"/>
    </row>
    <row r="4650" ht="15">
      <c r="D4650" s="71"/>
    </row>
    <row r="4651" ht="15">
      <c r="D4651" s="71"/>
    </row>
    <row r="4652" ht="15">
      <c r="D4652" s="71"/>
    </row>
    <row r="4653" ht="15">
      <c r="D4653" s="71"/>
    </row>
    <row r="4654" ht="15">
      <c r="D4654" s="71"/>
    </row>
    <row r="4655" ht="15">
      <c r="D4655" s="71"/>
    </row>
    <row r="4656" ht="15">
      <c r="D4656" s="71"/>
    </row>
    <row r="4657" ht="15">
      <c r="D4657" s="71"/>
    </row>
    <row r="4658" ht="15">
      <c r="D4658" s="71"/>
    </row>
    <row r="4659" ht="15">
      <c r="D4659" s="71"/>
    </row>
    <row r="4660" ht="15">
      <c r="D4660" s="71"/>
    </row>
    <row r="4661" ht="15">
      <c r="D4661" s="71"/>
    </row>
    <row r="4662" ht="15">
      <c r="D4662" s="71"/>
    </row>
    <row r="4663" ht="15">
      <c r="D4663" s="71"/>
    </row>
    <row r="4664" ht="15">
      <c r="D4664" s="71"/>
    </row>
    <row r="4665" ht="15">
      <c r="D4665" s="71"/>
    </row>
    <row r="4666" ht="15">
      <c r="D4666" s="71"/>
    </row>
    <row r="4667" ht="15">
      <c r="D4667" s="71"/>
    </row>
    <row r="4668" ht="15">
      <c r="D4668" s="71"/>
    </row>
    <row r="4669" ht="15">
      <c r="D4669" s="71"/>
    </row>
    <row r="4670" ht="15">
      <c r="D4670" s="71"/>
    </row>
    <row r="4671" ht="15">
      <c r="D4671" s="71"/>
    </row>
    <row r="4672" ht="15">
      <c r="D4672" s="71"/>
    </row>
    <row r="4673" ht="15">
      <c r="D4673" s="71"/>
    </row>
    <row r="4674" ht="15">
      <c r="D4674" s="71"/>
    </row>
    <row r="4675" ht="15">
      <c r="D4675" s="71"/>
    </row>
    <row r="4676" ht="15">
      <c r="D4676" s="71"/>
    </row>
    <row r="4677" ht="15">
      <c r="D4677" s="71"/>
    </row>
    <row r="4678" ht="15">
      <c r="D4678" s="71"/>
    </row>
    <row r="4679" ht="15">
      <c r="D4679" s="71"/>
    </row>
    <row r="4680" ht="15">
      <c r="D4680" s="71"/>
    </row>
    <row r="4681" ht="15">
      <c r="D4681" s="71"/>
    </row>
    <row r="4682" ht="15">
      <c r="D4682" s="71"/>
    </row>
    <row r="4683" ht="15">
      <c r="D4683" s="71"/>
    </row>
    <row r="4684" ht="15">
      <c r="D4684" s="71"/>
    </row>
    <row r="4685" ht="15">
      <c r="D4685" s="71"/>
    </row>
    <row r="4686" ht="15">
      <c r="D4686" s="71"/>
    </row>
    <row r="4687" ht="15">
      <c r="D4687" s="71"/>
    </row>
    <row r="4688" ht="15">
      <c r="D4688" s="71"/>
    </row>
    <row r="4689" ht="15">
      <c r="D4689" s="71"/>
    </row>
    <row r="4690" ht="15">
      <c r="D4690" s="71"/>
    </row>
    <row r="4691" ht="15">
      <c r="D4691" s="71"/>
    </row>
    <row r="4692" ht="15">
      <c r="D4692" s="71"/>
    </row>
    <row r="4693" ht="15">
      <c r="D4693" s="71"/>
    </row>
    <row r="4694" ht="15">
      <c r="D4694" s="71"/>
    </row>
    <row r="4695" ht="15">
      <c r="D4695" s="71"/>
    </row>
    <row r="4696" ht="15">
      <c r="D4696" s="71"/>
    </row>
    <row r="4697" ht="15">
      <c r="D4697" s="71"/>
    </row>
    <row r="4698" ht="15">
      <c r="D4698" s="71"/>
    </row>
    <row r="4699" ht="15">
      <c r="D4699" s="71"/>
    </row>
    <row r="4700" ht="15">
      <c r="D4700" s="71"/>
    </row>
    <row r="4701" ht="15">
      <c r="D4701" s="71"/>
    </row>
    <row r="4702" ht="15">
      <c r="D4702" s="71"/>
    </row>
    <row r="4703" ht="15">
      <c r="D4703" s="71"/>
    </row>
    <row r="4704" ht="15">
      <c r="D4704" s="71"/>
    </row>
    <row r="4705" ht="15">
      <c r="D4705" s="71"/>
    </row>
    <row r="4706" ht="15">
      <c r="D4706" s="71"/>
    </row>
    <row r="4707" ht="15">
      <c r="D4707" s="71"/>
    </row>
    <row r="4708" ht="15">
      <c r="D4708" s="71"/>
    </row>
    <row r="4709" ht="15">
      <c r="D4709" s="71"/>
    </row>
    <row r="4710" ht="15">
      <c r="D4710" s="71"/>
    </row>
    <row r="4711" ht="15">
      <c r="D4711" s="71"/>
    </row>
    <row r="4712" ht="15">
      <c r="D4712" s="71"/>
    </row>
    <row r="4713" ht="15">
      <c r="D4713" s="71"/>
    </row>
    <row r="4714" ht="15">
      <c r="D4714" s="71"/>
    </row>
    <row r="4715" ht="15">
      <c r="D4715" s="71"/>
    </row>
    <row r="4716" ht="15">
      <c r="D4716" s="71"/>
    </row>
    <row r="4717" ht="15">
      <c r="D4717" s="71"/>
    </row>
    <row r="4718" ht="15">
      <c r="D4718" s="71"/>
    </row>
    <row r="4719" ht="15">
      <c r="D4719" s="71"/>
    </row>
    <row r="4720" ht="15">
      <c r="D4720" s="71"/>
    </row>
    <row r="4721" ht="15">
      <c r="D4721" s="71"/>
    </row>
    <row r="4722" ht="15">
      <c r="D4722" s="71"/>
    </row>
    <row r="4723" ht="15">
      <c r="D4723" s="71"/>
    </row>
    <row r="4724" ht="15">
      <c r="D4724" s="71"/>
    </row>
    <row r="4725" ht="15">
      <c r="D4725" s="71"/>
    </row>
    <row r="4726" ht="15">
      <c r="D4726" s="71"/>
    </row>
    <row r="4727" ht="15">
      <c r="D4727" s="71"/>
    </row>
    <row r="4728" ht="15">
      <c r="D4728" s="71"/>
    </row>
    <row r="4729" ht="15">
      <c r="D4729" s="71"/>
    </row>
    <row r="4730" ht="15">
      <c r="D4730" s="71"/>
    </row>
    <row r="4731" ht="15">
      <c r="D4731" s="71"/>
    </row>
    <row r="4732" ht="15">
      <c r="D4732" s="71"/>
    </row>
    <row r="4733" ht="15">
      <c r="D4733" s="71"/>
    </row>
    <row r="4734" ht="15">
      <c r="D4734" s="71"/>
    </row>
    <row r="4735" ht="15">
      <c r="D4735" s="71"/>
    </row>
    <row r="4736" ht="15">
      <c r="D4736" s="71"/>
    </row>
    <row r="4737" ht="15">
      <c r="D4737" s="71"/>
    </row>
    <row r="4738" ht="15">
      <c r="D4738" s="71"/>
    </row>
    <row r="4739" ht="15">
      <c r="D4739" s="71"/>
    </row>
    <row r="4740" ht="15">
      <c r="D4740" s="71"/>
    </row>
    <row r="4741" ht="15">
      <c r="D4741" s="71"/>
    </row>
    <row r="4742" ht="15">
      <c r="D4742" s="71"/>
    </row>
    <row r="4743" ht="15">
      <c r="D4743" s="71"/>
    </row>
    <row r="4744" ht="15">
      <c r="D4744" s="71"/>
    </row>
    <row r="4745" ht="15">
      <c r="D4745" s="71"/>
    </row>
    <row r="4746" ht="15">
      <c r="D4746" s="71"/>
    </row>
    <row r="4747" ht="15">
      <c r="D4747" s="71"/>
    </row>
    <row r="4748" ht="15">
      <c r="D4748" s="71"/>
    </row>
    <row r="4749" ht="15">
      <c r="D4749" s="71"/>
    </row>
    <row r="4750" ht="15">
      <c r="D4750" s="71"/>
    </row>
    <row r="4751" ht="15">
      <c r="D4751" s="71"/>
    </row>
    <row r="4752" ht="15">
      <c r="D4752" s="71"/>
    </row>
    <row r="4753" ht="15">
      <c r="D4753" s="71"/>
    </row>
    <row r="4754" ht="15">
      <c r="D4754" s="71"/>
    </row>
    <row r="4755" ht="15">
      <c r="D4755" s="71"/>
    </row>
    <row r="4756" ht="15">
      <c r="D4756" s="71"/>
    </row>
    <row r="4757" ht="15">
      <c r="D4757" s="71"/>
    </row>
    <row r="4758" ht="15">
      <c r="D4758" s="71"/>
    </row>
    <row r="4759" ht="15">
      <c r="D4759" s="71"/>
    </row>
    <row r="4760" ht="15">
      <c r="D4760" s="71"/>
    </row>
    <row r="4761" ht="15">
      <c r="D4761" s="71"/>
    </row>
    <row r="4762" ht="15">
      <c r="D4762" s="71"/>
    </row>
    <row r="4763" ht="15">
      <c r="D4763" s="71"/>
    </row>
    <row r="4764" ht="15">
      <c r="D4764" s="71"/>
    </row>
    <row r="4765" ht="15">
      <c r="D4765" s="71"/>
    </row>
    <row r="4766" ht="15">
      <c r="D4766" s="71"/>
    </row>
    <row r="4767" ht="15">
      <c r="D4767" s="71"/>
    </row>
    <row r="4768" ht="15">
      <c r="D4768" s="71"/>
    </row>
    <row r="4769" ht="15">
      <c r="D4769" s="71"/>
    </row>
    <row r="4770" ht="15">
      <c r="D4770" s="71"/>
    </row>
    <row r="4771" ht="15">
      <c r="D4771" s="71"/>
    </row>
    <row r="4772" ht="15">
      <c r="D4772" s="71"/>
    </row>
    <row r="4773" ht="15">
      <c r="D4773" s="71"/>
    </row>
    <row r="4774" ht="15">
      <c r="D4774" s="71"/>
    </row>
    <row r="4775" ht="15">
      <c r="D4775" s="71"/>
    </row>
    <row r="4776" ht="15">
      <c r="D4776" s="71"/>
    </row>
    <row r="4777" ht="15">
      <c r="D4777" s="71"/>
    </row>
    <row r="4778" ht="15">
      <c r="D4778" s="71"/>
    </row>
    <row r="4779" ht="15">
      <c r="D4779" s="71"/>
    </row>
    <row r="4780" ht="15">
      <c r="D4780" s="71"/>
    </row>
    <row r="4781" ht="15">
      <c r="D4781" s="71"/>
    </row>
    <row r="4782" ht="15">
      <c r="D4782" s="71"/>
    </row>
    <row r="4783" ht="15">
      <c r="D4783" s="71"/>
    </row>
    <row r="4784" ht="15">
      <c r="D4784" s="71"/>
    </row>
    <row r="4785" ht="15">
      <c r="D4785" s="71"/>
    </row>
    <row r="4786" ht="15">
      <c r="D4786" s="71"/>
    </row>
    <row r="4787" ht="15">
      <c r="D4787" s="71"/>
    </row>
    <row r="4788" ht="15">
      <c r="D4788" s="71"/>
    </row>
    <row r="4789" ht="15">
      <c r="D4789" s="71"/>
    </row>
    <row r="4790" ht="15">
      <c r="D4790" s="71"/>
    </row>
    <row r="4791" ht="15">
      <c r="D4791" s="71"/>
    </row>
    <row r="4792" ht="15">
      <c r="D4792" s="71"/>
    </row>
    <row r="4793" ht="15">
      <c r="D4793" s="71"/>
    </row>
    <row r="4794" ht="15">
      <c r="D4794" s="71"/>
    </row>
    <row r="4795" ht="15">
      <c r="D4795" s="71"/>
    </row>
    <row r="4796" ht="15">
      <c r="D4796" s="71"/>
    </row>
    <row r="4797" ht="15">
      <c r="D4797" s="71"/>
    </row>
    <row r="4798" ht="15">
      <c r="D4798" s="71"/>
    </row>
    <row r="4799" ht="15">
      <c r="D4799" s="71"/>
    </row>
    <row r="4800" ht="15">
      <c r="D4800" s="71"/>
    </row>
    <row r="4801" ht="15">
      <c r="D4801" s="71"/>
    </row>
    <row r="4802" ht="15">
      <c r="D4802" s="71"/>
    </row>
    <row r="4803" ht="15">
      <c r="D4803" s="71"/>
    </row>
    <row r="4804" ht="15">
      <c r="D4804" s="71"/>
    </row>
    <row r="4805" ht="15">
      <c r="D4805" s="71"/>
    </row>
    <row r="4806" ht="15">
      <c r="D4806" s="71"/>
    </row>
    <row r="4807" ht="15">
      <c r="D4807" s="71"/>
    </row>
    <row r="4808" ht="15">
      <c r="D4808" s="71"/>
    </row>
    <row r="4809" ht="15">
      <c r="D4809" s="71"/>
    </row>
    <row r="4810" ht="15">
      <c r="D4810" s="71"/>
    </row>
    <row r="4811" ht="15">
      <c r="D4811" s="71"/>
    </row>
    <row r="4812" ht="15">
      <c r="D4812" s="71"/>
    </row>
    <row r="4813" ht="15">
      <c r="D4813" s="71"/>
    </row>
    <row r="4814" ht="15">
      <c r="D4814" s="71"/>
    </row>
    <row r="4815" ht="15">
      <c r="D4815" s="71"/>
    </row>
    <row r="4816" ht="15">
      <c r="D4816" s="71"/>
    </row>
    <row r="4817" ht="15">
      <c r="D4817" s="71"/>
    </row>
    <row r="4818" ht="15">
      <c r="D4818" s="71"/>
    </row>
    <row r="4819" ht="15">
      <c r="D4819" s="71"/>
    </row>
    <row r="4820" ht="15">
      <c r="D4820" s="71"/>
    </row>
    <row r="4821" ht="15">
      <c r="D4821" s="71"/>
    </row>
    <row r="4822" ht="15">
      <c r="D4822" s="71"/>
    </row>
    <row r="4823" ht="15">
      <c r="D4823" s="71"/>
    </row>
    <row r="4824" ht="15">
      <c r="D4824" s="71"/>
    </row>
    <row r="4825" ht="15">
      <c r="D4825" s="71"/>
    </row>
    <row r="4826" ht="15">
      <c r="D4826" s="71"/>
    </row>
    <row r="4827" ht="15">
      <c r="D4827" s="71"/>
    </row>
    <row r="4828" ht="15">
      <c r="D4828" s="71"/>
    </row>
    <row r="4829" ht="15">
      <c r="D4829" s="71"/>
    </row>
    <row r="4830" ht="15">
      <c r="D4830" s="71"/>
    </row>
    <row r="4831" ht="15">
      <c r="D4831" s="71"/>
    </row>
    <row r="4832" ht="15">
      <c r="D4832" s="71"/>
    </row>
    <row r="4833" ht="15">
      <c r="D4833" s="71"/>
    </row>
    <row r="4834" ht="15">
      <c r="D4834" s="71"/>
    </row>
    <row r="4835" ht="15">
      <c r="D4835" s="71"/>
    </row>
    <row r="4836" ht="15">
      <c r="D4836" s="71"/>
    </row>
    <row r="4837" ht="15">
      <c r="D4837" s="71"/>
    </row>
    <row r="4838" ht="15">
      <c r="D4838" s="71"/>
    </row>
    <row r="4839" ht="15">
      <c r="D4839" s="71"/>
    </row>
    <row r="4840" ht="15">
      <c r="D4840" s="71"/>
    </row>
    <row r="4841" ht="15">
      <c r="D4841" s="71"/>
    </row>
    <row r="4842" ht="15">
      <c r="D4842" s="71"/>
    </row>
    <row r="4843" ht="15">
      <c r="D4843" s="71"/>
    </row>
    <row r="4844" ht="15">
      <c r="D4844" s="71"/>
    </row>
    <row r="4845" ht="15">
      <c r="D4845" s="71"/>
    </row>
    <row r="4846" ht="15">
      <c r="D4846" s="71"/>
    </row>
    <row r="4847" ht="15">
      <c r="D4847" s="71"/>
    </row>
    <row r="4848" ht="15">
      <c r="D4848" s="71"/>
    </row>
    <row r="4849" ht="15">
      <c r="D4849" s="71"/>
    </row>
    <row r="4850" ht="15">
      <c r="D4850" s="71"/>
    </row>
    <row r="4851" ht="15">
      <c r="D4851" s="71"/>
    </row>
    <row r="4852" ht="15">
      <c r="D4852" s="71"/>
    </row>
    <row r="4853" ht="15">
      <c r="D4853" s="71"/>
    </row>
    <row r="4854" ht="15">
      <c r="D4854" s="71"/>
    </row>
    <row r="4855" ht="15">
      <c r="D4855" s="71"/>
    </row>
    <row r="4856" ht="15">
      <c r="D4856" s="71"/>
    </row>
    <row r="4857" ht="15">
      <c r="D4857" s="71"/>
    </row>
    <row r="4858" ht="15">
      <c r="D4858" s="71"/>
    </row>
    <row r="4859" ht="15">
      <c r="D4859" s="71"/>
    </row>
    <row r="4860" ht="15">
      <c r="D4860" s="71"/>
    </row>
    <row r="4861" ht="15">
      <c r="D4861" s="71"/>
    </row>
    <row r="4862" ht="15">
      <c r="D4862" s="71"/>
    </row>
    <row r="4863" ht="15">
      <c r="D4863" s="71"/>
    </row>
    <row r="4864" ht="15">
      <c r="D4864" s="71"/>
    </row>
    <row r="4865" ht="15">
      <c r="D4865" s="71"/>
    </row>
    <row r="4866" ht="15">
      <c r="D4866" s="71"/>
    </row>
    <row r="4867" ht="15">
      <c r="D4867" s="71"/>
    </row>
    <row r="4868" ht="15">
      <c r="D4868" s="71"/>
    </row>
    <row r="4869" ht="15">
      <c r="D4869" s="71"/>
    </row>
    <row r="4870" ht="15">
      <c r="D4870" s="71"/>
    </row>
    <row r="4871" ht="15">
      <c r="D4871" s="71"/>
    </row>
    <row r="4872" ht="15">
      <c r="D4872" s="71"/>
    </row>
    <row r="4873" ht="15">
      <c r="D4873" s="71"/>
    </row>
    <row r="4874" ht="15">
      <c r="D4874" s="71"/>
    </row>
    <row r="4875" ht="15">
      <c r="D4875" s="71"/>
    </row>
    <row r="4876" ht="15">
      <c r="D4876" s="71"/>
    </row>
    <row r="4877" ht="15">
      <c r="D4877" s="71"/>
    </row>
    <row r="4878" ht="15">
      <c r="D4878" s="71"/>
    </row>
    <row r="4879" ht="15">
      <c r="D4879" s="71"/>
    </row>
    <row r="4880" ht="15">
      <c r="D4880" s="71"/>
    </row>
    <row r="4881" ht="15">
      <c r="D4881" s="71"/>
    </row>
    <row r="4882" ht="15">
      <c r="D4882" s="71"/>
    </row>
    <row r="4883" ht="15">
      <c r="D4883" s="71"/>
    </row>
    <row r="4884" ht="15">
      <c r="D4884" s="71"/>
    </row>
    <row r="4885" ht="15">
      <c r="D4885" s="71"/>
    </row>
    <row r="4886" ht="15">
      <c r="D4886" s="71"/>
    </row>
    <row r="4887" ht="15">
      <c r="D4887" s="71"/>
    </row>
    <row r="4888" ht="15">
      <c r="D4888" s="71"/>
    </row>
    <row r="4889" ht="15">
      <c r="D4889" s="71"/>
    </row>
    <row r="4890" ht="15">
      <c r="D4890" s="71"/>
    </row>
    <row r="4891" ht="15">
      <c r="D4891" s="71"/>
    </row>
    <row r="4892" ht="15">
      <c r="D4892" s="71"/>
    </row>
    <row r="4893" ht="15">
      <c r="D4893" s="71"/>
    </row>
    <row r="4894" ht="15">
      <c r="D4894" s="71"/>
    </row>
    <row r="4895" ht="15">
      <c r="D4895" s="71"/>
    </row>
    <row r="4896" ht="15">
      <c r="D4896" s="71"/>
    </row>
    <row r="4897" ht="15">
      <c r="D4897" s="71"/>
    </row>
    <row r="4898" ht="15">
      <c r="D4898" s="71"/>
    </row>
    <row r="4899" ht="15">
      <c r="D4899" s="71"/>
    </row>
    <row r="4900" ht="15">
      <c r="D4900" s="71"/>
    </row>
    <row r="4901" ht="15">
      <c r="D4901" s="71"/>
    </row>
    <row r="4902" ht="15">
      <c r="D4902" s="71"/>
    </row>
    <row r="4903" ht="15">
      <c r="D4903" s="71"/>
    </row>
    <row r="4904" ht="15">
      <c r="D4904" s="71"/>
    </row>
    <row r="4905" ht="15">
      <c r="D4905" s="71"/>
    </row>
    <row r="4906" ht="15">
      <c r="D4906" s="71"/>
    </row>
    <row r="4907" ht="15">
      <c r="D4907" s="71"/>
    </row>
    <row r="4908" ht="15">
      <c r="D4908" s="71"/>
    </row>
    <row r="4909" ht="15">
      <c r="D4909" s="71"/>
    </row>
    <row r="4910" ht="15">
      <c r="D4910" s="71"/>
    </row>
    <row r="4911" ht="15">
      <c r="D4911" s="71"/>
    </row>
    <row r="4912" ht="15">
      <c r="D4912" s="71"/>
    </row>
    <row r="4913" ht="15">
      <c r="D4913" s="71"/>
    </row>
    <row r="4914" ht="15">
      <c r="D4914" s="71"/>
    </row>
    <row r="4915" ht="15">
      <c r="D4915" s="71"/>
    </row>
    <row r="4916" ht="15">
      <c r="D4916" s="71"/>
    </row>
    <row r="4917" ht="15">
      <c r="D4917" s="71"/>
    </row>
    <row r="4918" ht="15">
      <c r="D4918" s="71"/>
    </row>
    <row r="4919" ht="15">
      <c r="D4919" s="71"/>
    </row>
    <row r="4920" ht="15">
      <c r="D4920" s="71"/>
    </row>
    <row r="4921" ht="15">
      <c r="D4921" s="71"/>
    </row>
    <row r="4922" ht="15">
      <c r="D4922" s="71"/>
    </row>
    <row r="4923" ht="15">
      <c r="D4923" s="71"/>
    </row>
    <row r="4924" ht="15">
      <c r="D4924" s="71"/>
    </row>
    <row r="4925" ht="15">
      <c r="D4925" s="71"/>
    </row>
    <row r="4926" ht="15">
      <c r="D4926" s="71"/>
    </row>
    <row r="4927" ht="15">
      <c r="D4927" s="71"/>
    </row>
    <row r="4928" ht="15">
      <c r="D4928" s="71"/>
    </row>
    <row r="4929" ht="15">
      <c r="D4929" s="71"/>
    </row>
    <row r="4930" ht="15">
      <c r="D4930" s="71"/>
    </row>
    <row r="4931" ht="15">
      <c r="D4931" s="71"/>
    </row>
    <row r="4932" ht="15">
      <c r="D4932" s="71"/>
    </row>
    <row r="4933" ht="15">
      <c r="D4933" s="71"/>
    </row>
    <row r="4934" ht="15">
      <c r="D4934" s="71"/>
    </row>
    <row r="4935" ht="15">
      <c r="D4935" s="71"/>
    </row>
    <row r="4936" ht="15">
      <c r="D4936" s="71"/>
    </row>
    <row r="4937" ht="15">
      <c r="D4937" s="71"/>
    </row>
    <row r="4938" ht="15">
      <c r="D4938" s="71"/>
    </row>
    <row r="4939" ht="15">
      <c r="D4939" s="71"/>
    </row>
    <row r="4940" ht="15">
      <c r="D4940" s="71"/>
    </row>
    <row r="4941" ht="15">
      <c r="D4941" s="71"/>
    </row>
    <row r="4942" ht="15">
      <c r="D4942" s="71"/>
    </row>
    <row r="4943" ht="15">
      <c r="D4943" s="71"/>
    </row>
    <row r="4944" ht="15">
      <c r="D4944" s="71"/>
    </row>
    <row r="4945" ht="15">
      <c r="D4945" s="71"/>
    </row>
    <row r="4946" ht="15">
      <c r="D4946" s="71"/>
    </row>
    <row r="4947" ht="15">
      <c r="D4947" s="71"/>
    </row>
    <row r="4948" ht="15">
      <c r="D4948" s="71"/>
    </row>
    <row r="4949" ht="15">
      <c r="D4949" s="71"/>
    </row>
    <row r="4950" ht="15">
      <c r="D4950" s="71"/>
    </row>
    <row r="4951" ht="15">
      <c r="D4951" s="71"/>
    </row>
    <row r="4952" ht="15">
      <c r="D4952" s="71"/>
    </row>
    <row r="4953" ht="15">
      <c r="D4953" s="71"/>
    </row>
    <row r="4954" ht="15">
      <c r="D4954" s="71"/>
    </row>
    <row r="4955" ht="15">
      <c r="D4955" s="71"/>
    </row>
    <row r="4956" ht="15">
      <c r="D4956" s="71"/>
    </row>
    <row r="4957" ht="15">
      <c r="D4957" s="71"/>
    </row>
    <row r="4958" ht="15">
      <c r="D4958" s="71"/>
    </row>
    <row r="4959" ht="15">
      <c r="D4959" s="71"/>
    </row>
    <row r="4960" ht="15">
      <c r="D4960" s="71"/>
    </row>
    <row r="4961" ht="15">
      <c r="D4961" s="71"/>
    </row>
    <row r="4962" ht="15">
      <c r="D4962" s="71"/>
    </row>
    <row r="4963" ht="15">
      <c r="D4963" s="71"/>
    </row>
    <row r="4964" ht="15">
      <c r="D4964" s="71"/>
    </row>
    <row r="4965" ht="15">
      <c r="D4965" s="71"/>
    </row>
    <row r="4966" ht="15">
      <c r="D4966" s="71"/>
    </row>
    <row r="4967" ht="15">
      <c r="D4967" s="71"/>
    </row>
    <row r="4968" ht="15">
      <c r="D4968" s="71"/>
    </row>
    <row r="4969" ht="15">
      <c r="D4969" s="71"/>
    </row>
    <row r="4970" ht="15">
      <c r="D4970" s="71"/>
    </row>
    <row r="4971" ht="15">
      <c r="D4971" s="71"/>
    </row>
    <row r="4972" ht="15">
      <c r="D4972" s="71"/>
    </row>
    <row r="4973" ht="15">
      <c r="D4973" s="71"/>
    </row>
    <row r="4974" ht="15">
      <c r="D4974" s="71"/>
    </row>
    <row r="4975" ht="15">
      <c r="D4975" s="71"/>
    </row>
    <row r="4976" ht="15">
      <c r="D4976" s="71"/>
    </row>
    <row r="4977" ht="15">
      <c r="D4977" s="71"/>
    </row>
    <row r="4978" ht="15">
      <c r="D4978" s="71"/>
    </row>
    <row r="4979" ht="15">
      <c r="D4979" s="71"/>
    </row>
    <row r="4980" ht="15">
      <c r="D4980" s="71"/>
    </row>
    <row r="4981" ht="15">
      <c r="D4981" s="71"/>
    </row>
    <row r="4982" ht="15">
      <c r="D4982" s="71"/>
    </row>
    <row r="4983" ht="15">
      <c r="D4983" s="71"/>
    </row>
    <row r="4984" ht="15">
      <c r="D4984" s="71"/>
    </row>
    <row r="4985" ht="15">
      <c r="D4985" s="71"/>
    </row>
    <row r="4986" ht="15">
      <c r="D4986" s="71"/>
    </row>
    <row r="4987" ht="15">
      <c r="D4987" s="71"/>
    </row>
    <row r="4988" ht="15">
      <c r="D4988" s="71"/>
    </row>
    <row r="4989" ht="15">
      <c r="D4989" s="71"/>
    </row>
    <row r="4990" ht="15">
      <c r="D4990" s="71"/>
    </row>
    <row r="4991" ht="15">
      <c r="D4991" s="71"/>
    </row>
    <row r="4992" ht="15">
      <c r="D4992" s="71"/>
    </row>
    <row r="4993" ht="15">
      <c r="D4993" s="71"/>
    </row>
    <row r="4994" ht="15">
      <c r="D4994" s="71"/>
    </row>
    <row r="4995" ht="15">
      <c r="D4995" s="71"/>
    </row>
    <row r="4996" ht="15">
      <c r="D4996" s="71"/>
    </row>
    <row r="4997" ht="15">
      <c r="D4997" s="71"/>
    </row>
    <row r="4998" ht="15">
      <c r="D4998" s="71"/>
    </row>
    <row r="4999" ht="15">
      <c r="D4999" s="71"/>
    </row>
    <row r="5000" ht="15">
      <c r="D5000" s="71"/>
    </row>
  </sheetData>
  <sheetProtection algorithmName="SHA-512" hashValue="5614XlzzhyPf0ar99W6WKVMoQMccWt29QBpl5GDpRtmI/UEWh+V42D5Zt93bPODEfFsgwwF3AHdLoOCgzOs+CA==" saltValue="roVpORCUemiX3aCai6rNKQ==" spinCount="100000" sheet="1" objects="1" scenarios="1" selectLockedCells="1"/>
  <mergeCells count="28">
    <mergeCell ref="C75:G75"/>
    <mergeCell ref="C81:G81"/>
    <mergeCell ref="C104:G104"/>
    <mergeCell ref="C83:G83"/>
    <mergeCell ref="C118:G118"/>
    <mergeCell ref="C120:G120"/>
    <mergeCell ref="C122:G122"/>
    <mergeCell ref="C86:G86"/>
    <mergeCell ref="C88:G88"/>
    <mergeCell ref="C90:G90"/>
    <mergeCell ref="C93:G93"/>
    <mergeCell ref="C95:G95"/>
    <mergeCell ref="C98:G98"/>
    <mergeCell ref="C58:G58"/>
    <mergeCell ref="C59:G59"/>
    <mergeCell ref="C60:G60"/>
    <mergeCell ref="C61:G61"/>
    <mergeCell ref="C35:G35"/>
    <mergeCell ref="C38:G38"/>
    <mergeCell ref="C48:G48"/>
    <mergeCell ref="C49:G49"/>
    <mergeCell ref="C50:G50"/>
    <mergeCell ref="C51:G51"/>
    <mergeCell ref="A1:G1"/>
    <mergeCell ref="C2:G2"/>
    <mergeCell ref="C3:G3"/>
    <mergeCell ref="C4:G4"/>
    <mergeCell ref="C30:G30"/>
  </mergeCells>
  <printOptions/>
  <pageMargins left="0.590551181102362" right="0.196850393700787" top="0.787401575" bottom="0.787401575" header="0.3" footer="0.3"/>
  <pageSetup horizontalDpi="600" verticalDpi="600" orientation="portrait" paperSize="9" r:id="rId3"/>
  <headerFooter>
    <oddFooter>&amp;LZpracováno programem BUILDpower S,  © RTS, a.s.&amp;RStránka &amp;P z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EC6F-72CD-40C9-B58B-904A46C71B75}">
  <sheetPr>
    <pageSetUpPr fitToPage="1"/>
  </sheetPr>
  <dimension ref="A1:EV32"/>
  <sheetViews>
    <sheetView zoomScale="70" zoomScaleNormal="70" zoomScaleSheetLayoutView="40" zoomScalePageLayoutView="55" workbookViewId="0" topLeftCell="E1">
      <selection activeCell="F8" sqref="F8"/>
    </sheetView>
  </sheetViews>
  <sheetFormatPr defaultColWidth="10.00390625" defaultRowHeight="15"/>
  <cols>
    <col min="1" max="2" width="9.8515625" style="112" customWidth="1"/>
    <col min="3" max="3" width="26.00390625" style="112" customWidth="1"/>
    <col min="4" max="4" width="12.140625" style="112" customWidth="1"/>
    <col min="5" max="5" width="9.28125" style="112" customWidth="1"/>
    <col min="6" max="6" width="14.140625" style="112" customWidth="1"/>
    <col min="7" max="7" width="15.8515625" style="112" customWidth="1"/>
    <col min="8" max="8" width="107.7109375" style="113" customWidth="1"/>
    <col min="9" max="9" width="62.140625" style="112" customWidth="1"/>
    <col min="10" max="10" width="41.00390625" style="112" customWidth="1"/>
    <col min="11" max="16384" width="10.00390625" style="112" customWidth="1"/>
  </cols>
  <sheetData>
    <row r="1" spans="1:8" s="123" customFormat="1" ht="29.25" customHeight="1">
      <c r="A1" s="167"/>
      <c r="B1" s="285" t="s">
        <v>1094</v>
      </c>
      <c r="C1" s="286"/>
      <c r="D1" s="278" t="s">
        <v>1093</v>
      </c>
      <c r="E1" s="279"/>
      <c r="F1" s="279"/>
      <c r="G1" s="279"/>
      <c r="H1" s="279"/>
    </row>
    <row r="2" spans="1:8" s="123" customFormat="1" ht="29.25" customHeight="1">
      <c r="A2" s="166"/>
      <c r="B2" s="287" t="s">
        <v>1092</v>
      </c>
      <c r="C2" s="288"/>
      <c r="D2" s="280" t="s">
        <v>1091</v>
      </c>
      <c r="E2" s="281"/>
      <c r="F2" s="281"/>
      <c r="G2" s="281"/>
      <c r="H2" s="281"/>
    </row>
    <row r="3" spans="1:8" s="123" customFormat="1" ht="29.25" customHeight="1">
      <c r="A3" s="166"/>
      <c r="B3" s="287" t="s">
        <v>1090</v>
      </c>
      <c r="C3" s="288"/>
      <c r="D3" s="280" t="s">
        <v>1089</v>
      </c>
      <c r="E3" s="281"/>
      <c r="F3" s="281"/>
      <c r="G3" s="281"/>
      <c r="H3" s="281"/>
    </row>
    <row r="4" spans="1:8" s="123" customFormat="1" ht="9" customHeight="1">
      <c r="A4" s="287"/>
      <c r="B4" s="287"/>
      <c r="C4" s="288"/>
      <c r="D4" s="280"/>
      <c r="E4" s="281"/>
      <c r="F4" s="281"/>
      <c r="G4" s="281"/>
      <c r="H4" s="281"/>
    </row>
    <row r="5" spans="1:8" ht="15">
      <c r="A5" s="165"/>
      <c r="B5" s="165"/>
      <c r="C5" s="164"/>
      <c r="D5" s="164"/>
      <c r="E5" s="164"/>
      <c r="F5" s="164"/>
      <c r="G5" s="164"/>
      <c r="H5" s="163"/>
    </row>
    <row r="6" spans="1:10" s="123" customFormat="1" ht="33.75" customHeight="1">
      <c r="A6" s="161" t="s">
        <v>1088</v>
      </c>
      <c r="B6" s="161" t="s">
        <v>1087</v>
      </c>
      <c r="C6" s="162" t="s">
        <v>1035</v>
      </c>
      <c r="D6" s="161" t="s">
        <v>1086</v>
      </c>
      <c r="E6" s="160" t="s">
        <v>1085</v>
      </c>
      <c r="F6" s="159" t="s">
        <v>1084</v>
      </c>
      <c r="G6" s="158" t="s">
        <v>1083</v>
      </c>
      <c r="H6" s="157" t="s">
        <v>1082</v>
      </c>
      <c r="J6" s="274"/>
    </row>
    <row r="7" spans="1:10" s="123" customFormat="1" ht="26.25" customHeight="1">
      <c r="A7" s="289" t="s">
        <v>1081</v>
      </c>
      <c r="B7" s="290"/>
      <c r="C7" s="291"/>
      <c r="D7" s="156"/>
      <c r="E7" s="156"/>
      <c r="F7" s="156"/>
      <c r="G7" s="155"/>
      <c r="H7" s="154"/>
      <c r="I7" s="153"/>
      <c r="J7" s="274"/>
    </row>
    <row r="8" spans="1:10" s="123" customFormat="1" ht="133.5" customHeight="1">
      <c r="A8" s="142">
        <v>1</v>
      </c>
      <c r="B8" s="142" t="s">
        <v>1080</v>
      </c>
      <c r="C8" s="144" t="s">
        <v>1079</v>
      </c>
      <c r="D8" s="142">
        <v>1.9</v>
      </c>
      <c r="E8" s="142" t="s">
        <v>1069</v>
      </c>
      <c r="F8" s="515">
        <v>0</v>
      </c>
      <c r="G8" s="141">
        <f>F8*D8</f>
        <v>0</v>
      </c>
      <c r="H8" s="152" t="s">
        <v>1078</v>
      </c>
      <c r="I8" s="151"/>
      <c r="J8" s="150"/>
    </row>
    <row r="9" spans="1:10" s="123" customFormat="1" ht="156" customHeight="1">
      <c r="A9" s="142">
        <v>2</v>
      </c>
      <c r="B9" s="142" t="s">
        <v>1077</v>
      </c>
      <c r="C9" s="144" t="s">
        <v>1076</v>
      </c>
      <c r="D9" s="142">
        <v>2.2</v>
      </c>
      <c r="E9" s="142" t="s">
        <v>1069</v>
      </c>
      <c r="F9" s="515">
        <v>0</v>
      </c>
      <c r="G9" s="141">
        <f>F9*D9</f>
        <v>0</v>
      </c>
      <c r="H9" s="149" t="s">
        <v>1075</v>
      </c>
      <c r="I9" s="148"/>
      <c r="J9" s="147"/>
    </row>
    <row r="10" spans="1:9" s="123" customFormat="1" ht="315.6" customHeight="1">
      <c r="A10" s="142">
        <v>3</v>
      </c>
      <c r="B10" s="142" t="s">
        <v>1074</v>
      </c>
      <c r="C10" s="144" t="s">
        <v>1073</v>
      </c>
      <c r="D10" s="143">
        <v>38</v>
      </c>
      <c r="E10" s="142" t="s">
        <v>1069</v>
      </c>
      <c r="F10" s="516">
        <v>0</v>
      </c>
      <c r="G10" s="141">
        <f>F10*D10</f>
        <v>0</v>
      </c>
      <c r="H10" s="146" t="s">
        <v>1072</v>
      </c>
      <c r="I10" s="145"/>
    </row>
    <row r="11" spans="1:9" s="123" customFormat="1" ht="101.25" customHeight="1">
      <c r="A11" s="142">
        <v>4</v>
      </c>
      <c r="B11" s="142" t="s">
        <v>1071</v>
      </c>
      <c r="C11" s="144" t="s">
        <v>1070</v>
      </c>
      <c r="D11" s="143">
        <v>48</v>
      </c>
      <c r="E11" s="142" t="s">
        <v>1069</v>
      </c>
      <c r="F11" s="516">
        <v>0</v>
      </c>
      <c r="G11" s="141">
        <f>F11*D11</f>
        <v>0</v>
      </c>
      <c r="H11" s="124" t="s">
        <v>1068</v>
      </c>
      <c r="I11" s="133"/>
    </row>
    <row r="12" spans="1:152" ht="21.75" customHeight="1">
      <c r="A12" s="282" t="s">
        <v>1067</v>
      </c>
      <c r="B12" s="283"/>
      <c r="C12" s="284"/>
      <c r="D12" s="140"/>
      <c r="E12" s="140"/>
      <c r="F12" s="517"/>
      <c r="G12" s="139"/>
      <c r="H12" s="137"/>
      <c r="I12" s="133"/>
      <c r="J12" s="133"/>
      <c r="K12" s="131"/>
      <c r="L12" s="133"/>
      <c r="M12" s="133"/>
      <c r="N12" s="132"/>
      <c r="O12" s="132"/>
      <c r="P12" s="131"/>
      <c r="Q12" s="134"/>
      <c r="R12" s="133"/>
      <c r="S12" s="131"/>
      <c r="T12" s="133"/>
      <c r="U12" s="133"/>
      <c r="V12" s="132"/>
      <c r="W12" s="132"/>
      <c r="X12" s="131"/>
      <c r="Y12" s="134"/>
      <c r="Z12" s="133"/>
      <c r="AA12" s="131"/>
      <c r="AB12" s="133"/>
      <c r="AC12" s="133"/>
      <c r="AD12" s="132"/>
      <c r="AE12" s="132"/>
      <c r="AF12" s="131"/>
      <c r="AG12" s="134"/>
      <c r="AH12" s="133"/>
      <c r="AI12" s="131"/>
      <c r="AJ12" s="133"/>
      <c r="AK12" s="133"/>
      <c r="AL12" s="132"/>
      <c r="AM12" s="132"/>
      <c r="AN12" s="131"/>
      <c r="AO12" s="134"/>
      <c r="AP12" s="133"/>
      <c r="AQ12" s="131"/>
      <c r="AR12" s="133"/>
      <c r="AS12" s="133"/>
      <c r="AT12" s="132"/>
      <c r="AU12" s="132"/>
      <c r="AV12" s="131"/>
      <c r="AW12" s="134"/>
      <c r="AX12" s="133"/>
      <c r="AY12" s="131"/>
      <c r="AZ12" s="133"/>
      <c r="BA12" s="133"/>
      <c r="BB12" s="132"/>
      <c r="BC12" s="132"/>
      <c r="BD12" s="131"/>
      <c r="BE12" s="134"/>
      <c r="BF12" s="133"/>
      <c r="BG12" s="131"/>
      <c r="BH12" s="133"/>
      <c r="BI12" s="133"/>
      <c r="BJ12" s="132"/>
      <c r="BK12" s="132"/>
      <c r="BL12" s="131"/>
      <c r="BM12" s="134"/>
      <c r="BN12" s="133"/>
      <c r="BO12" s="131"/>
      <c r="BP12" s="133"/>
      <c r="BQ12" s="133"/>
      <c r="BR12" s="132"/>
      <c r="BS12" s="132"/>
      <c r="BT12" s="131"/>
      <c r="BU12" s="134"/>
      <c r="BV12" s="133"/>
      <c r="BW12" s="131"/>
      <c r="BX12" s="133"/>
      <c r="BY12" s="133"/>
      <c r="BZ12" s="132"/>
      <c r="CA12" s="132"/>
      <c r="CB12" s="131"/>
      <c r="CC12" s="134"/>
      <c r="CD12" s="133"/>
      <c r="CE12" s="131"/>
      <c r="CF12" s="133"/>
      <c r="CG12" s="133"/>
      <c r="CH12" s="132"/>
      <c r="CI12" s="132"/>
      <c r="CJ12" s="131"/>
      <c r="CK12" s="134"/>
      <c r="CL12" s="133"/>
      <c r="CM12" s="131"/>
      <c r="CN12" s="133"/>
      <c r="CO12" s="133"/>
      <c r="CP12" s="132"/>
      <c r="CQ12" s="132"/>
      <c r="CR12" s="131"/>
      <c r="CS12" s="134"/>
      <c r="CT12" s="133"/>
      <c r="CU12" s="131"/>
      <c r="CV12" s="133"/>
      <c r="CW12" s="133"/>
      <c r="CX12" s="132"/>
      <c r="CY12" s="132"/>
      <c r="CZ12" s="131"/>
      <c r="DA12" s="134"/>
      <c r="DB12" s="133"/>
      <c r="DC12" s="131"/>
      <c r="DD12" s="133"/>
      <c r="DE12" s="133"/>
      <c r="DF12" s="132"/>
      <c r="DG12" s="132"/>
      <c r="DH12" s="131"/>
      <c r="DI12" s="134"/>
      <c r="DJ12" s="133"/>
      <c r="DK12" s="131"/>
      <c r="DL12" s="133"/>
      <c r="DM12" s="133"/>
      <c r="DN12" s="132"/>
      <c r="DO12" s="132"/>
      <c r="DP12" s="131"/>
      <c r="DQ12" s="134"/>
      <c r="DR12" s="133"/>
      <c r="DS12" s="131"/>
      <c r="DT12" s="133"/>
      <c r="DU12" s="133"/>
      <c r="DV12" s="132"/>
      <c r="DW12" s="132"/>
      <c r="DX12" s="131"/>
      <c r="DY12" s="134"/>
      <c r="DZ12" s="133"/>
      <c r="EA12" s="131"/>
      <c r="EB12" s="133"/>
      <c r="EC12" s="133"/>
      <c r="ED12" s="132"/>
      <c r="EE12" s="132"/>
      <c r="EF12" s="131"/>
      <c r="EG12" s="134"/>
      <c r="EH12" s="133"/>
      <c r="EI12" s="131"/>
      <c r="EJ12" s="133"/>
      <c r="EK12" s="133"/>
      <c r="EL12" s="132"/>
      <c r="EM12" s="132"/>
      <c r="EN12" s="131"/>
      <c r="EO12" s="134"/>
      <c r="EP12" s="133"/>
      <c r="EQ12" s="131"/>
      <c r="ER12" s="133"/>
      <c r="ES12" s="133"/>
      <c r="ET12" s="132"/>
      <c r="EU12" s="132"/>
      <c r="EV12" s="131"/>
    </row>
    <row r="13" spans="1:152" ht="32.25" customHeight="1">
      <c r="A13" s="130">
        <v>5</v>
      </c>
      <c r="B13" s="136" t="s">
        <v>1066</v>
      </c>
      <c r="C13" s="138" t="s">
        <v>1065</v>
      </c>
      <c r="D13" s="126">
        <v>1</v>
      </c>
      <c r="E13" s="126" t="s">
        <v>283</v>
      </c>
      <c r="F13" s="516">
        <v>0</v>
      </c>
      <c r="G13" s="125">
        <f aca="true" t="shared" si="0" ref="G13:G18">F13*D13</f>
        <v>0</v>
      </c>
      <c r="H13" s="137"/>
      <c r="I13" s="133"/>
      <c r="J13" s="133"/>
      <c r="K13" s="131"/>
      <c r="L13" s="133"/>
      <c r="M13" s="133"/>
      <c r="N13" s="132"/>
      <c r="O13" s="132"/>
      <c r="P13" s="131"/>
      <c r="Q13" s="134"/>
      <c r="R13" s="133"/>
      <c r="S13" s="131"/>
      <c r="T13" s="133"/>
      <c r="U13" s="133"/>
      <c r="V13" s="132"/>
      <c r="W13" s="132"/>
      <c r="X13" s="131"/>
      <c r="Y13" s="134"/>
      <c r="Z13" s="133"/>
      <c r="AA13" s="131"/>
      <c r="AB13" s="133"/>
      <c r="AC13" s="133"/>
      <c r="AD13" s="132"/>
      <c r="AE13" s="132"/>
      <c r="AF13" s="131"/>
      <c r="AG13" s="134"/>
      <c r="AH13" s="133"/>
      <c r="AI13" s="131"/>
      <c r="AJ13" s="133"/>
      <c r="AK13" s="133"/>
      <c r="AL13" s="132"/>
      <c r="AM13" s="132"/>
      <c r="AN13" s="131"/>
      <c r="AO13" s="134"/>
      <c r="AP13" s="133"/>
      <c r="AQ13" s="131"/>
      <c r="AR13" s="133"/>
      <c r="AS13" s="133"/>
      <c r="AT13" s="132"/>
      <c r="AU13" s="132"/>
      <c r="AV13" s="131"/>
      <c r="AW13" s="134"/>
      <c r="AX13" s="133"/>
      <c r="AY13" s="131"/>
      <c r="AZ13" s="133"/>
      <c r="BA13" s="133"/>
      <c r="BB13" s="132"/>
      <c r="BC13" s="132"/>
      <c r="BD13" s="131"/>
      <c r="BE13" s="134"/>
      <c r="BF13" s="133"/>
      <c r="BG13" s="131"/>
      <c r="BH13" s="133"/>
      <c r="BI13" s="133"/>
      <c r="BJ13" s="132"/>
      <c r="BK13" s="132"/>
      <c r="BL13" s="131"/>
      <c r="BM13" s="134"/>
      <c r="BN13" s="133"/>
      <c r="BO13" s="131"/>
      <c r="BP13" s="133"/>
      <c r="BQ13" s="133"/>
      <c r="BR13" s="132"/>
      <c r="BS13" s="132"/>
      <c r="BT13" s="131"/>
      <c r="BU13" s="134"/>
      <c r="BV13" s="133"/>
      <c r="BW13" s="131"/>
      <c r="BX13" s="133"/>
      <c r="BY13" s="133"/>
      <c r="BZ13" s="132"/>
      <c r="CA13" s="132"/>
      <c r="CB13" s="131"/>
      <c r="CC13" s="134"/>
      <c r="CD13" s="133"/>
      <c r="CE13" s="131"/>
      <c r="CF13" s="133"/>
      <c r="CG13" s="133"/>
      <c r="CH13" s="132"/>
      <c r="CI13" s="132"/>
      <c r="CJ13" s="131"/>
      <c r="CK13" s="134"/>
      <c r="CL13" s="133"/>
      <c r="CM13" s="131"/>
      <c r="CN13" s="133"/>
      <c r="CO13" s="133"/>
      <c r="CP13" s="132"/>
      <c r="CQ13" s="132"/>
      <c r="CR13" s="131"/>
      <c r="CS13" s="134"/>
      <c r="CT13" s="133"/>
      <c r="CU13" s="131"/>
      <c r="CV13" s="133"/>
      <c r="CW13" s="133"/>
      <c r="CX13" s="132"/>
      <c r="CY13" s="132"/>
      <c r="CZ13" s="131"/>
      <c r="DA13" s="134"/>
      <c r="DB13" s="133"/>
      <c r="DC13" s="131"/>
      <c r="DD13" s="133"/>
      <c r="DE13" s="133"/>
      <c r="DF13" s="132"/>
      <c r="DG13" s="132"/>
      <c r="DH13" s="131"/>
      <c r="DI13" s="134"/>
      <c r="DJ13" s="133"/>
      <c r="DK13" s="131"/>
      <c r="DL13" s="133"/>
      <c r="DM13" s="133"/>
      <c r="DN13" s="132"/>
      <c r="DO13" s="132"/>
      <c r="DP13" s="131"/>
      <c r="DQ13" s="134"/>
      <c r="DR13" s="133"/>
      <c r="DS13" s="131"/>
      <c r="DT13" s="133"/>
      <c r="DU13" s="133"/>
      <c r="DV13" s="132"/>
      <c r="DW13" s="132"/>
      <c r="DX13" s="131"/>
      <c r="DY13" s="134"/>
      <c r="DZ13" s="133"/>
      <c r="EA13" s="131"/>
      <c r="EB13" s="133"/>
      <c r="EC13" s="133"/>
      <c r="ED13" s="132"/>
      <c r="EE13" s="132"/>
      <c r="EF13" s="131"/>
      <c r="EG13" s="134"/>
      <c r="EH13" s="133"/>
      <c r="EI13" s="131"/>
      <c r="EJ13" s="133"/>
      <c r="EK13" s="133"/>
      <c r="EL13" s="132"/>
      <c r="EM13" s="132"/>
      <c r="EN13" s="131"/>
      <c r="EO13" s="134"/>
      <c r="EP13" s="133"/>
      <c r="EQ13" s="131"/>
      <c r="ER13" s="133"/>
      <c r="ES13" s="133"/>
      <c r="ET13" s="132"/>
      <c r="EU13" s="132"/>
      <c r="EV13" s="131"/>
    </row>
    <row r="14" spans="1:152" ht="32.25" customHeight="1">
      <c r="A14" s="130">
        <v>6</v>
      </c>
      <c r="B14" s="136" t="s">
        <v>1064</v>
      </c>
      <c r="C14" s="138" t="s">
        <v>1063</v>
      </c>
      <c r="D14" s="126">
        <v>1</v>
      </c>
      <c r="E14" s="126" t="s">
        <v>283</v>
      </c>
      <c r="F14" s="516">
        <v>0</v>
      </c>
      <c r="G14" s="125">
        <f t="shared" si="0"/>
        <v>0</v>
      </c>
      <c r="H14" s="138" t="s">
        <v>1062</v>
      </c>
      <c r="J14" s="133"/>
      <c r="K14" s="131"/>
      <c r="L14" s="133"/>
      <c r="M14" s="133"/>
      <c r="N14" s="132"/>
      <c r="O14" s="132"/>
      <c r="P14" s="131"/>
      <c r="Q14" s="134"/>
      <c r="R14" s="133"/>
      <c r="S14" s="131"/>
      <c r="T14" s="133"/>
      <c r="U14" s="133"/>
      <c r="V14" s="132"/>
      <c r="W14" s="132"/>
      <c r="X14" s="131"/>
      <c r="Y14" s="134"/>
      <c r="Z14" s="133"/>
      <c r="AA14" s="131"/>
      <c r="AB14" s="133"/>
      <c r="AC14" s="133"/>
      <c r="AD14" s="132"/>
      <c r="AE14" s="132"/>
      <c r="AF14" s="131"/>
      <c r="AG14" s="134"/>
      <c r="AH14" s="133"/>
      <c r="AI14" s="131"/>
      <c r="AJ14" s="133"/>
      <c r="AK14" s="133"/>
      <c r="AL14" s="132"/>
      <c r="AM14" s="132"/>
      <c r="AN14" s="131"/>
      <c r="AO14" s="134"/>
      <c r="AP14" s="133"/>
      <c r="AQ14" s="131"/>
      <c r="AR14" s="133"/>
      <c r="AS14" s="133"/>
      <c r="AT14" s="132"/>
      <c r="AU14" s="132"/>
      <c r="AV14" s="131"/>
      <c r="AW14" s="134"/>
      <c r="AX14" s="133"/>
      <c r="AY14" s="131"/>
      <c r="AZ14" s="133"/>
      <c r="BA14" s="133"/>
      <c r="BB14" s="132"/>
      <c r="BC14" s="132"/>
      <c r="BD14" s="131"/>
      <c r="BE14" s="134"/>
      <c r="BF14" s="133"/>
      <c r="BG14" s="131"/>
      <c r="BH14" s="133"/>
      <c r="BI14" s="133"/>
      <c r="BJ14" s="132"/>
      <c r="BK14" s="132"/>
      <c r="BL14" s="131"/>
      <c r="BM14" s="134"/>
      <c r="BN14" s="133"/>
      <c r="BO14" s="131"/>
      <c r="BP14" s="133"/>
      <c r="BQ14" s="133"/>
      <c r="BR14" s="132"/>
      <c r="BS14" s="132"/>
      <c r="BT14" s="131"/>
      <c r="BU14" s="134"/>
      <c r="BV14" s="133"/>
      <c r="BW14" s="131"/>
      <c r="BX14" s="133"/>
      <c r="BY14" s="133"/>
      <c r="BZ14" s="132"/>
      <c r="CA14" s="132"/>
      <c r="CB14" s="131"/>
      <c r="CC14" s="134"/>
      <c r="CD14" s="133"/>
      <c r="CE14" s="131"/>
      <c r="CF14" s="133"/>
      <c r="CG14" s="133"/>
      <c r="CH14" s="132"/>
      <c r="CI14" s="132"/>
      <c r="CJ14" s="131"/>
      <c r="CK14" s="134"/>
      <c r="CL14" s="133"/>
      <c r="CM14" s="131"/>
      <c r="CN14" s="133"/>
      <c r="CO14" s="133"/>
      <c r="CP14" s="132"/>
      <c r="CQ14" s="132"/>
      <c r="CR14" s="131"/>
      <c r="CS14" s="134"/>
      <c r="CT14" s="133"/>
      <c r="CU14" s="131"/>
      <c r="CV14" s="133"/>
      <c r="CW14" s="133"/>
      <c r="CX14" s="132"/>
      <c r="CY14" s="132"/>
      <c r="CZ14" s="131"/>
      <c r="DA14" s="134"/>
      <c r="DB14" s="133"/>
      <c r="DC14" s="131"/>
      <c r="DD14" s="133"/>
      <c r="DE14" s="133"/>
      <c r="DF14" s="132"/>
      <c r="DG14" s="132"/>
      <c r="DH14" s="131"/>
      <c r="DI14" s="134"/>
      <c r="DJ14" s="133"/>
      <c r="DK14" s="131"/>
      <c r="DL14" s="133"/>
      <c r="DM14" s="133"/>
      <c r="DN14" s="132"/>
      <c r="DO14" s="132"/>
      <c r="DP14" s="131"/>
      <c r="DQ14" s="134"/>
      <c r="DR14" s="133"/>
      <c r="DS14" s="131"/>
      <c r="DT14" s="133"/>
      <c r="DU14" s="133"/>
      <c r="DV14" s="132"/>
      <c r="DW14" s="132"/>
      <c r="DX14" s="131"/>
      <c r="DY14" s="134"/>
      <c r="DZ14" s="133"/>
      <c r="EA14" s="131"/>
      <c r="EB14" s="133"/>
      <c r="EC14" s="133"/>
      <c r="ED14" s="132"/>
      <c r="EE14" s="132"/>
      <c r="EF14" s="131"/>
      <c r="EG14" s="134"/>
      <c r="EH14" s="133"/>
      <c r="EI14" s="131"/>
      <c r="EJ14" s="133"/>
      <c r="EK14" s="133"/>
      <c r="EL14" s="132"/>
      <c r="EM14" s="132"/>
      <c r="EN14" s="131"/>
      <c r="EO14" s="134"/>
      <c r="EP14" s="133"/>
      <c r="EQ14" s="131"/>
      <c r="ER14" s="133"/>
      <c r="ES14" s="133"/>
      <c r="ET14" s="132"/>
      <c r="EU14" s="132"/>
      <c r="EV14" s="131"/>
    </row>
    <row r="15" spans="1:152" ht="32.25" customHeight="1">
      <c r="A15" s="130">
        <v>7</v>
      </c>
      <c r="B15" s="136" t="s">
        <v>1061</v>
      </c>
      <c r="C15" s="138" t="s">
        <v>1060</v>
      </c>
      <c r="D15" s="126">
        <v>1</v>
      </c>
      <c r="E15" s="126" t="s">
        <v>283</v>
      </c>
      <c r="F15" s="516">
        <v>0</v>
      </c>
      <c r="G15" s="125">
        <f t="shared" si="0"/>
        <v>0</v>
      </c>
      <c r="H15" s="137" t="s">
        <v>1059</v>
      </c>
      <c r="J15" s="133"/>
      <c r="K15" s="131"/>
      <c r="L15" s="133"/>
      <c r="M15" s="133"/>
      <c r="N15" s="132"/>
      <c r="O15" s="132"/>
      <c r="P15" s="131"/>
      <c r="Q15" s="134"/>
      <c r="R15" s="133"/>
      <c r="S15" s="131"/>
      <c r="T15" s="133"/>
      <c r="U15" s="133"/>
      <c r="V15" s="132"/>
      <c r="W15" s="132"/>
      <c r="X15" s="131"/>
      <c r="Y15" s="134"/>
      <c r="Z15" s="133"/>
      <c r="AA15" s="131"/>
      <c r="AB15" s="133"/>
      <c r="AC15" s="133"/>
      <c r="AD15" s="132"/>
      <c r="AE15" s="132"/>
      <c r="AF15" s="131"/>
      <c r="AG15" s="134"/>
      <c r="AH15" s="133"/>
      <c r="AI15" s="131"/>
      <c r="AJ15" s="133"/>
      <c r="AK15" s="133"/>
      <c r="AL15" s="132"/>
      <c r="AM15" s="132"/>
      <c r="AN15" s="131"/>
      <c r="AO15" s="134"/>
      <c r="AP15" s="133"/>
      <c r="AQ15" s="131"/>
      <c r="AR15" s="133"/>
      <c r="AS15" s="133"/>
      <c r="AT15" s="132"/>
      <c r="AU15" s="132"/>
      <c r="AV15" s="131"/>
      <c r="AW15" s="134"/>
      <c r="AX15" s="133"/>
      <c r="AY15" s="131"/>
      <c r="AZ15" s="133"/>
      <c r="BA15" s="133"/>
      <c r="BB15" s="132"/>
      <c r="BC15" s="132"/>
      <c r="BD15" s="131"/>
      <c r="BE15" s="134"/>
      <c r="BF15" s="133"/>
      <c r="BG15" s="131"/>
      <c r="BH15" s="133"/>
      <c r="BI15" s="133"/>
      <c r="BJ15" s="132"/>
      <c r="BK15" s="132"/>
      <c r="BL15" s="131"/>
      <c r="BM15" s="134"/>
      <c r="BN15" s="133"/>
      <c r="BO15" s="131"/>
      <c r="BP15" s="133"/>
      <c r="BQ15" s="133"/>
      <c r="BR15" s="132"/>
      <c r="BS15" s="132"/>
      <c r="BT15" s="131"/>
      <c r="BU15" s="134"/>
      <c r="BV15" s="133"/>
      <c r="BW15" s="131"/>
      <c r="BX15" s="133"/>
      <c r="BY15" s="133"/>
      <c r="BZ15" s="132"/>
      <c r="CA15" s="132"/>
      <c r="CB15" s="131"/>
      <c r="CC15" s="134"/>
      <c r="CD15" s="133"/>
      <c r="CE15" s="131"/>
      <c r="CF15" s="133"/>
      <c r="CG15" s="133"/>
      <c r="CH15" s="132"/>
      <c r="CI15" s="132"/>
      <c r="CJ15" s="131"/>
      <c r="CK15" s="134"/>
      <c r="CL15" s="133"/>
      <c r="CM15" s="131"/>
      <c r="CN15" s="133"/>
      <c r="CO15" s="133"/>
      <c r="CP15" s="132"/>
      <c r="CQ15" s="132"/>
      <c r="CR15" s="131"/>
      <c r="CS15" s="134"/>
      <c r="CT15" s="133"/>
      <c r="CU15" s="131"/>
      <c r="CV15" s="133"/>
      <c r="CW15" s="133"/>
      <c r="CX15" s="132"/>
      <c r="CY15" s="132"/>
      <c r="CZ15" s="131"/>
      <c r="DA15" s="134"/>
      <c r="DB15" s="133"/>
      <c r="DC15" s="131"/>
      <c r="DD15" s="133"/>
      <c r="DE15" s="133"/>
      <c r="DF15" s="132"/>
      <c r="DG15" s="132"/>
      <c r="DH15" s="131"/>
      <c r="DI15" s="134"/>
      <c r="DJ15" s="133"/>
      <c r="DK15" s="131"/>
      <c r="DL15" s="133"/>
      <c r="DM15" s="133"/>
      <c r="DN15" s="132"/>
      <c r="DO15" s="132"/>
      <c r="DP15" s="131"/>
      <c r="DQ15" s="134"/>
      <c r="DR15" s="133"/>
      <c r="DS15" s="131"/>
      <c r="DT15" s="133"/>
      <c r="DU15" s="133"/>
      <c r="DV15" s="132"/>
      <c r="DW15" s="132"/>
      <c r="DX15" s="131"/>
      <c r="DY15" s="134"/>
      <c r="DZ15" s="133"/>
      <c r="EA15" s="131"/>
      <c r="EB15" s="133"/>
      <c r="EC15" s="133"/>
      <c r="ED15" s="132"/>
      <c r="EE15" s="132"/>
      <c r="EF15" s="131"/>
      <c r="EG15" s="134"/>
      <c r="EH15" s="133"/>
      <c r="EI15" s="131"/>
      <c r="EJ15" s="133"/>
      <c r="EK15" s="133"/>
      <c r="EL15" s="132"/>
      <c r="EM15" s="132"/>
      <c r="EN15" s="131"/>
      <c r="EO15" s="134"/>
      <c r="EP15" s="133"/>
      <c r="EQ15" s="131"/>
      <c r="ER15" s="133"/>
      <c r="ES15" s="133"/>
      <c r="ET15" s="132"/>
      <c r="EU15" s="132"/>
      <c r="EV15" s="131"/>
    </row>
    <row r="16" spans="1:152" ht="66.75" customHeight="1">
      <c r="A16" s="130">
        <v>8</v>
      </c>
      <c r="B16" s="136" t="s">
        <v>1058</v>
      </c>
      <c r="C16" s="135" t="s">
        <v>1057</v>
      </c>
      <c r="D16" s="126">
        <v>3</v>
      </c>
      <c r="E16" s="127" t="s">
        <v>143</v>
      </c>
      <c r="F16" s="518">
        <v>0</v>
      </c>
      <c r="G16" s="125">
        <f t="shared" si="0"/>
        <v>0</v>
      </c>
      <c r="H16" s="124" t="s">
        <v>1056</v>
      </c>
      <c r="J16" s="133"/>
      <c r="K16" s="131"/>
      <c r="L16" s="133"/>
      <c r="M16" s="133"/>
      <c r="N16" s="132"/>
      <c r="O16" s="132"/>
      <c r="P16" s="131"/>
      <c r="Q16" s="134"/>
      <c r="R16" s="133"/>
      <c r="S16" s="131"/>
      <c r="T16" s="133"/>
      <c r="U16" s="133"/>
      <c r="V16" s="132"/>
      <c r="W16" s="132"/>
      <c r="X16" s="131"/>
      <c r="Y16" s="134"/>
      <c r="Z16" s="133"/>
      <c r="AA16" s="131"/>
      <c r="AB16" s="133"/>
      <c r="AC16" s="133"/>
      <c r="AD16" s="132"/>
      <c r="AE16" s="132"/>
      <c r="AF16" s="131"/>
      <c r="AG16" s="134"/>
      <c r="AH16" s="133"/>
      <c r="AI16" s="131"/>
      <c r="AJ16" s="133"/>
      <c r="AK16" s="133"/>
      <c r="AL16" s="132"/>
      <c r="AM16" s="132"/>
      <c r="AN16" s="131"/>
      <c r="AO16" s="134"/>
      <c r="AP16" s="133"/>
      <c r="AQ16" s="131"/>
      <c r="AR16" s="133"/>
      <c r="AS16" s="133"/>
      <c r="AT16" s="132"/>
      <c r="AU16" s="132"/>
      <c r="AV16" s="131"/>
      <c r="AW16" s="134"/>
      <c r="AX16" s="133"/>
      <c r="AY16" s="131"/>
      <c r="AZ16" s="133"/>
      <c r="BA16" s="133"/>
      <c r="BB16" s="132"/>
      <c r="BC16" s="132"/>
      <c r="BD16" s="131"/>
      <c r="BE16" s="134"/>
      <c r="BF16" s="133"/>
      <c r="BG16" s="131"/>
      <c r="BH16" s="133"/>
      <c r="BI16" s="133"/>
      <c r="BJ16" s="132"/>
      <c r="BK16" s="132"/>
      <c r="BL16" s="131"/>
      <c r="BM16" s="134"/>
      <c r="BN16" s="133"/>
      <c r="BO16" s="131"/>
      <c r="BP16" s="133"/>
      <c r="BQ16" s="133"/>
      <c r="BR16" s="132"/>
      <c r="BS16" s="132"/>
      <c r="BT16" s="131"/>
      <c r="BU16" s="134"/>
      <c r="BV16" s="133"/>
      <c r="BW16" s="131"/>
      <c r="BX16" s="133"/>
      <c r="BY16" s="133"/>
      <c r="BZ16" s="132"/>
      <c r="CA16" s="132"/>
      <c r="CB16" s="131"/>
      <c r="CC16" s="134"/>
      <c r="CD16" s="133"/>
      <c r="CE16" s="131"/>
      <c r="CF16" s="133"/>
      <c r="CG16" s="133"/>
      <c r="CH16" s="132"/>
      <c r="CI16" s="132"/>
      <c r="CJ16" s="131"/>
      <c r="CK16" s="134"/>
      <c r="CL16" s="133"/>
      <c r="CM16" s="131"/>
      <c r="CN16" s="133"/>
      <c r="CO16" s="133"/>
      <c r="CP16" s="132"/>
      <c r="CQ16" s="132"/>
      <c r="CR16" s="131"/>
      <c r="CS16" s="134"/>
      <c r="CT16" s="133"/>
      <c r="CU16" s="131"/>
      <c r="CV16" s="133"/>
      <c r="CW16" s="133"/>
      <c r="CX16" s="132"/>
      <c r="CY16" s="132"/>
      <c r="CZ16" s="131"/>
      <c r="DA16" s="134"/>
      <c r="DB16" s="133"/>
      <c r="DC16" s="131"/>
      <c r="DD16" s="133"/>
      <c r="DE16" s="133"/>
      <c r="DF16" s="132"/>
      <c r="DG16" s="132"/>
      <c r="DH16" s="131"/>
      <c r="DI16" s="134"/>
      <c r="DJ16" s="133"/>
      <c r="DK16" s="131"/>
      <c r="DL16" s="133"/>
      <c r="DM16" s="133"/>
      <c r="DN16" s="132"/>
      <c r="DO16" s="132"/>
      <c r="DP16" s="131"/>
      <c r="DQ16" s="134"/>
      <c r="DR16" s="133"/>
      <c r="DS16" s="131"/>
      <c r="DT16" s="133"/>
      <c r="DU16" s="133"/>
      <c r="DV16" s="132"/>
      <c r="DW16" s="132"/>
      <c r="DX16" s="131"/>
      <c r="DY16" s="134"/>
      <c r="DZ16" s="133"/>
      <c r="EA16" s="131"/>
      <c r="EB16" s="133"/>
      <c r="EC16" s="133"/>
      <c r="ED16" s="132"/>
      <c r="EE16" s="132"/>
      <c r="EF16" s="131"/>
      <c r="EG16" s="134"/>
      <c r="EH16" s="133"/>
      <c r="EI16" s="131"/>
      <c r="EJ16" s="133"/>
      <c r="EK16" s="133"/>
      <c r="EL16" s="132"/>
      <c r="EM16" s="132"/>
      <c r="EN16" s="131"/>
      <c r="EO16" s="134"/>
      <c r="EP16" s="133"/>
      <c r="EQ16" s="131"/>
      <c r="ER16" s="133"/>
      <c r="ES16" s="133"/>
      <c r="ET16" s="132"/>
      <c r="EU16" s="132"/>
      <c r="EV16" s="131"/>
    </row>
    <row r="17" spans="1:9" s="123" customFormat="1" ht="37.5" customHeight="1">
      <c r="A17" s="130">
        <v>9</v>
      </c>
      <c r="B17" s="129" t="s">
        <v>1053</v>
      </c>
      <c r="C17" s="128" t="s">
        <v>1055</v>
      </c>
      <c r="D17" s="127">
        <v>1</v>
      </c>
      <c r="E17" s="126" t="s">
        <v>143</v>
      </c>
      <c r="F17" s="516">
        <v>0</v>
      </c>
      <c r="G17" s="125">
        <f t="shared" si="0"/>
        <v>0</v>
      </c>
      <c r="H17" s="124" t="s">
        <v>1054</v>
      </c>
      <c r="I17" s="112"/>
    </row>
    <row r="18" spans="1:9" s="123" customFormat="1" ht="37.5" customHeight="1">
      <c r="A18" s="130">
        <v>10</v>
      </c>
      <c r="B18" s="129" t="s">
        <v>1053</v>
      </c>
      <c r="C18" s="128" t="s">
        <v>1052</v>
      </c>
      <c r="D18" s="127">
        <v>1</v>
      </c>
      <c r="E18" s="126" t="s">
        <v>143</v>
      </c>
      <c r="F18" s="516">
        <v>0</v>
      </c>
      <c r="G18" s="125">
        <f t="shared" si="0"/>
        <v>0</v>
      </c>
      <c r="H18" s="124" t="s">
        <v>1051</v>
      </c>
      <c r="I18" s="112"/>
    </row>
    <row r="19" spans="1:8" ht="30" customHeight="1">
      <c r="A19" s="120"/>
      <c r="B19" s="118"/>
      <c r="C19" s="118"/>
      <c r="D19" s="275" t="s">
        <v>1050</v>
      </c>
      <c r="E19" s="276"/>
      <c r="F19" s="277"/>
      <c r="G19" s="122">
        <f>SUM(G8:G18)</f>
        <v>0</v>
      </c>
      <c r="H19" s="121"/>
    </row>
    <row r="20" spans="2:8" ht="21" customHeight="1">
      <c r="B20" s="120"/>
      <c r="C20" s="118"/>
      <c r="D20" s="118"/>
      <c r="E20" s="118"/>
      <c r="F20" s="118"/>
      <c r="G20" s="118"/>
      <c r="H20" s="119"/>
    </row>
    <row r="21" spans="3:8" ht="15">
      <c r="C21" s="118"/>
      <c r="D21" s="118"/>
      <c r="E21" s="118"/>
      <c r="F21" s="118"/>
      <c r="G21" s="118"/>
      <c r="H21" s="117"/>
    </row>
    <row r="22" spans="3:8" ht="15">
      <c r="C22" s="118"/>
      <c r="D22" s="118"/>
      <c r="E22" s="118"/>
      <c r="F22" s="118"/>
      <c r="G22" s="118"/>
      <c r="H22" s="117"/>
    </row>
    <row r="24" ht="15">
      <c r="B24" s="116"/>
    </row>
    <row r="25" ht="15">
      <c r="B25" s="116"/>
    </row>
    <row r="27" ht="21">
      <c r="B27" s="115"/>
    </row>
    <row r="28" ht="21">
      <c r="B28" s="114"/>
    </row>
    <row r="29" ht="21">
      <c r="B29" s="114"/>
    </row>
    <row r="30" ht="21">
      <c r="B30" s="114"/>
    </row>
    <row r="31" ht="21">
      <c r="B31" s="114"/>
    </row>
    <row r="32" ht="21">
      <c r="B32" s="114"/>
    </row>
  </sheetData>
  <sheetProtection algorithmName="SHA-512" hashValue="li5ixCDNwa+iNP3j7l3yrB6iLhnKCr7NduIbuS/thzwJ+vAlQoohZQIb02OeitjWuXxsMzx+TDOUQlA1j5p80A==" saltValue="Z2CNkJfPtBDQ2MG0E2dDiA==" spinCount="100000" sheet="1" objects="1" scenarios="1" selectLockedCells="1"/>
  <mergeCells count="12">
    <mergeCell ref="A12:C12"/>
    <mergeCell ref="B1:C1"/>
    <mergeCell ref="B2:C2"/>
    <mergeCell ref="B3:C3"/>
    <mergeCell ref="A4:C4"/>
    <mergeCell ref="A7:C7"/>
    <mergeCell ref="J6:J7"/>
    <mergeCell ref="D19:F19"/>
    <mergeCell ref="D1:H1"/>
    <mergeCell ref="D2:H2"/>
    <mergeCell ref="D3:H3"/>
    <mergeCell ref="D4:H4"/>
  </mergeCells>
  <printOptions horizontalCentered="1"/>
  <pageMargins left="0.5118110236220472" right="0.5118110236220472" top="0.5905511811023623" bottom="0.5905511811023623" header="0.31496062992125984" footer="0.31496062992125984"/>
  <pageSetup fitToHeight="1" fitToWidth="1" horizontalDpi="1200" verticalDpi="1200" orientation="landscape" paperSize="9" scale="72" r:id="rId1"/>
  <headerFooter>
    <oddFooter xml:space="preserve">&amp;L&amp;"-,Obyčejné"Tab1 – výkaz výměr a specifikace akustických prvků&amp;R&amp;"-,Obyčejné"&amp;P/&amp;N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Vacek</dc:creator>
  <cp:keywords/>
  <dc:description/>
  <cp:lastModifiedBy>Vacek</cp:lastModifiedBy>
  <dcterms:created xsi:type="dcterms:W3CDTF">2023-06-12T10:20:34Z</dcterms:created>
  <dcterms:modified xsi:type="dcterms:W3CDTF">2023-06-13T09:19:28Z</dcterms:modified>
  <cp:category/>
  <cp:version/>
  <cp:contentType/>
  <cp:contentStatus/>
</cp:coreProperties>
</file>